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sheets/sheet10.xml" ContentType="application/vnd.openxmlformats-officedocument.spreadsheetml.worksheet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5.xml" ContentType="application/vnd.openxmlformats-officedocument.drawing+xml"/>
  <Override PartName="/xl/worksheets/sheet14.xml" ContentType="application/vnd.openxmlformats-officedocument.spreadsheetml.worksheet+xml"/>
  <Override PartName="/xl/drawings/drawing6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comments/comment1.xml" ContentType="application/vnd.openxmlformats-officedocument.spreadsheetml.comments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Contas" sheetId="4" state="visible" r:id="rId4"/>
    <sheet xmlns:r="http://schemas.openxmlformats.org/officeDocument/2006/relationships" name="Cartões" sheetId="5" state="visible" r:id="rId5"/>
    <sheet xmlns:r="http://schemas.openxmlformats.org/officeDocument/2006/relationships" name="Parcelados" sheetId="6" state="visible" r:id="rId6"/>
    <sheet xmlns:r="http://schemas.openxmlformats.org/officeDocument/2006/relationships" name="Orçamento" sheetId="7" state="visible" r:id="rId7"/>
    <sheet xmlns:r="http://schemas.openxmlformats.org/officeDocument/2006/relationships" name="Fluxo anual" sheetId="8" state="visible" r:id="rId8"/>
    <sheet xmlns:r="http://schemas.openxmlformats.org/officeDocument/2006/relationships" name="Dia a dia" sheetId="9" state="visible" r:id="rId9"/>
    <sheet xmlns:r="http://schemas.openxmlformats.org/officeDocument/2006/relationships" name="Recorrentes" sheetId="10" state="visible" r:id="rId10"/>
    <sheet xmlns:r="http://schemas.openxmlformats.org/officeDocument/2006/relationships" name="Metas" sheetId="11" state="visible" r:id="rId11"/>
    <sheet xmlns:r="http://schemas.openxmlformats.org/officeDocument/2006/relationships" name="Reserva" sheetId="12" state="visible" r:id="rId12"/>
    <sheet xmlns:r="http://schemas.openxmlformats.org/officeDocument/2006/relationships" name="Dívidas" sheetId="13" state="visible" r:id="rId13"/>
    <sheet xmlns:r="http://schemas.openxmlformats.org/officeDocument/2006/relationships" name="Investimentos" sheetId="14" state="visible" r:id="rId14"/>
    <sheet xmlns:r="http://schemas.openxmlformats.org/officeDocument/2006/relationships" name="Contas a pagar" sheetId="15" state="visible" r:id="rId15"/>
    <sheet xmlns:r="http://schemas.openxmlformats.org/officeDocument/2006/relationships" name="Assinaturas" sheetId="16" state="visible" r:id="rId16"/>
    <sheet xmlns:r="http://schemas.openxmlformats.org/officeDocument/2006/relationships" name="Simuladores" sheetId="17" state="visible" r:id="rId17"/>
    <sheet xmlns:r="http://schemas.openxmlformats.org/officeDocument/2006/relationships" name="Configurações" sheetId="18" state="visible" r:id="rId18"/>
    <sheet xmlns:r="http://schemas.openxmlformats.org/officeDocument/2006/relationships" name="Sobre" sheetId="19" state="visible" r:id="rId19"/>
    <sheet xmlns:r="http://schemas.openxmlformats.org/officeDocument/2006/relationships" name="Cálculo dívidas" sheetId="20" state="visible" r:id="rId20"/>
  </sheets>
  <definedNames>
    <definedName name="L_DATA">'Lançamentos'!$A$6:$A$5005</definedName>
    <definedName name="L_DESC">'Lançamentos'!$B$6:$B$5005</definedName>
    <definedName name="L_CAT">'Lançamentos'!$C$6:$C$5005</definedName>
    <definedName name="L_TIPO">'Lançamentos'!$D$6:$D$5005</definedName>
    <definedName name="L_GRUPO">'Lançamentos'!$E$6:$E$5005</definedName>
    <definedName name="L_VALOR">'Lançamentos'!$F$6:$F$5005</definedName>
    <definedName name="L_CONTA">'Lançamentos'!$G$6:$G$5005</definedName>
    <definedName name="L_FORMA">'Lançamentos'!$H$6:$H$5005</definedName>
    <definedName name="L_CARTAO">'Lançamentos'!$I$6:$I$5005</definedName>
    <definedName name="L_PARCELA">'Lançamentos'!$J$6:$J$5005</definedName>
    <definedName name="L_STATUS">'Lançamentos'!$K$6:$K$5005</definedName>
    <definedName name="L_DESTINO">'Lançamentos'!$L$6:$L$5005</definedName>
    <definedName name="L_AM">'Lançamentos'!$O$6:$O$5005</definedName>
    <definedName name="L_SINAL">'Lançamentos'!$P$6:$P$5005</definedName>
    <definedName name="CAT_NOME">'Configurações'!$A$14:$A$61</definedName>
    <definedName name="CAT_GRUPO">'Configurações'!$B$14:$B$61</definedName>
    <definedName name="CAT_TIPO">'Configurações'!$C$14:$C$61</definedName>
    <definedName name="LISTA_FORMAS">'Configurações'!$E$14:$E$25</definedName>
    <definedName name="LISTA_GRUPOS">'Configurações'!$G$14:$G$18</definedName>
    <definedName name="LISTA_STATUS">'Configurações'!$I$14:$I$15</definedName>
    <definedName name="LISTA_TIPOS_CONTA">'Configurações'!$K$14:$K$19</definedName>
    <definedName name="LISTA_MESES">'Configurações'!$M$14:$M$25</definedName>
    <definedName name="LISTA_ANOS">'Configurações'!$O$14:$O$21</definedName>
    <definedName name="LISTA_MESES_SEL">'Configurações'!$Q$14:$Q$26</definedName>
    <definedName name="PRESETS">'Configurações'!$S$14:$V$19</definedName>
    <definedName name="LISTA_PRESETS">'Configurações'!$S$14:$S$19</definedName>
    <definedName name="PERFIS">'Configurações'!$X$14:$Y$18</definedName>
    <definedName name="LISTA_PERFIS">'Configurações'!$X$14:$X$18</definedName>
    <definedName name="PERIODO">'Configurações'!$F$12</definedName>
    <definedName name="ANO_INI">'Configurações'!$B$5</definedName>
    <definedName name="NOME">'Configurações'!$B$6</definedName>
    <definedName name="REND_AA">'Configurações'!$B$7</definedName>
    <definedName name="INFL_AA">'Configurações'!$B$8</definedName>
    <definedName name="REND_AM">'Configurações'!$B$9</definedName>
    <definedName name="HOJE">'Configurações'!$B$10</definedName>
    <definedName name="ULT_LANC">'Configurações'!$F$5</definedName>
    <definedName name="ANO_SEL">'Configurações'!$F$6</definedName>
    <definedName name="MES_SEL">'Configurações'!$F$7</definedName>
    <definedName name="INI_MES">'Configurações'!$F$8</definedName>
    <definedName name="FIM_MES">'Configurações'!$F$9</definedName>
    <definedName name="AM_SEL">'Configurações'!$F$10</definedName>
    <definedName name="DIAS_MES">'Configurações'!$F$11</definedName>
    <definedName name="LISTA_CONTAS">'Contas'!$A$7:$A$18</definedName>
    <definedName name="CONTAS_TIPO">'Contas'!$B$7:$B$18</definedName>
    <definedName name="CONTAS_SALDO">'Contas'!$H$7:$H$18</definedName>
    <definedName name="LISTA_CARTOES">'Cartões'!$A$7:$A$12</definedName>
    <definedName name="CARTOES_FECHA">'Cartões'!$C$7:$C$12</definedName>
    <definedName name="CARTOES_VENCE">'Cartões'!$D$7:$D$12</definedName>
    <definedName name="PARC_CARTAO">'Parcelados'!$B$7:$B$66</definedName>
    <definedName name="PARC_CAT">'Parcelados'!$C$7:$C$66</definedName>
    <definedName name="PARC_RESTANTE">'Parcelados'!$K$7:$K$66</definedName>
    <definedName name="PARC_MESES">'Parcelados'!$M$6:$BT$6</definedName>
    <definedName name="PARC_MATRIZ">'Parcelados'!$M$7:$BT$66</definedName>
    <definedName name="PARC_TOTAL_MES">'Parcelados'!$M$67:$BT$67</definedName>
    <definedName name="CONTAS_SALDO_TOTAL">'Contas'!$A$5</definedName>
    <definedName name="CONTAS_DISPONIVEL">'Contas'!$B$5</definedName>
    <definedName name="CONTAS_POUPANCA">'Contas'!$D$5</definedName>
    <definedName name="CONTAS_INVEST">'Contas'!$F$5</definedName>
    <definedName name="CONTAS_SEM_INV">'Contas'!$H$5</definedName>
    <definedName name="CARTOES_FATURA_TOTAL">'Cartões'!$J$13</definedName>
    <definedName name="CARTOES_PARCELAS_FUTURAS">'Cartões'!$L$13</definedName>
    <definedName name="CARTOES_LIMITE_USO">'Cartões'!$K$13</definedName>
    <definedName name="CARTOES_LIMITE_TOTAL">'Cartões'!$B$13</definedName>
    <definedName name="CARTOES_PROJ_MESES">'Cartões'!$B$16:$M$16</definedName>
    <definedName name="CARTOES_PROJ_TOTAL">'Cartões'!$B$23:$M$23</definedName>
    <definedName name="FLUXO_MELHOR_MES">'Fluxo anual'!$A$23</definedName>
    <definedName name="FLUXO_MELHOR_SALDO">'Fluxo anual'!$C$23</definedName>
    <definedName name="FLUXO_PIOR_MES">'Fluxo anual'!$E$23</definedName>
    <definedName name="FLUXO_PIOR_SALDO">'Fluxo anual'!$G$23</definedName>
    <definedName name="FLUXO_REC_ANO">'Fluxo anual'!$O$10</definedName>
    <definedName name="FLUXO_DESP_ANO">'Fluxo anual'!$O$11</definedName>
    <definedName name="FLUXO_SALDO_ANO">'Fluxo anual'!$O$12</definedName>
    <definedName name="FLUXO_TAXA_ANO">'Fluxo anual'!$O$13</definedName>
    <definedName name="FLUXO_N_MESES">'Fluxo anual'!$C$19:$N$19</definedName>
    <definedName name="FLUXO_RECEITAS">'Fluxo anual'!$C$10:$N$10</definedName>
    <definedName name="FLUXO_DESPESAS">'Fluxo anual'!$C$11:$N$11</definedName>
    <definedName name="FLUXO_SALDO">'Fluxo anual'!$C$12:$N$12</definedName>
    <definedName name="FLUXO_ACUM">'Fluxo anual'!$C$14:$N$14</definedName>
    <definedName name="FLUXO_NECESS">'Fluxo anual'!$C$15:$N$15</definedName>
    <definedName name="FLUXO_DESEJO">'Fluxo anual'!$C$16:$N$16</definedName>
    <definedName name="FLUXO_APORTES">'Fluxo anual'!$C$17:$N$17</definedName>
    <definedName name="FLUXO_MESES">'Fluxo anual'!$C$9:$N$9</definedName>
    <definedName name="FLUXO_MES_NUM">'Fluxo anual'!$C$5:$N$5</definedName>
    <definedName name="FLUXO_CAT">'Fluxo anual'!$A$28:$A$75</definedName>
    <definedName name="FLUXO_GRUPO">'Fluxo anual'!$B$28:$B$75</definedName>
    <definedName name="FLUXO_MATRIZ">'Fluxo anual'!$C$28:$N$75</definedName>
    <definedName name="FLUXO_TOTAL_CAT">'Fluxo anual'!$O$28:$O$75</definedName>
    <definedName name="ORC_RENDA">'Orçamento'!$B$5</definedName>
    <definedName name="ORC_PCT_NEC">'Orçamento'!$B$10</definedName>
    <definedName name="ORC_PCT_DES">'Orçamento'!$B$11</definedName>
    <definedName name="ORC_PCT_POUP">'Orçamento'!$B$12</definedName>
    <definedName name="ORC_META_NEC">'Orçamento'!$C$10</definedName>
    <definedName name="ORC_META_DES">'Orçamento'!$C$11</definedName>
    <definedName name="ORC_META_POUP">'Orçamento'!$C$12</definedName>
    <definedName name="ORC_USAR">'Orçamento'!$B$7</definedName>
    <definedName name="ORC_PLAN_DESP_MES">'Orçamento'!$C$69</definedName>
    <definedName name="ORC_REAL_DESP_MES">'Orçamento'!$D$69</definedName>
    <definedName name="ORC_USO_MES">'Orçamento'!$G$69</definedName>
    <definedName name="ORC_PLAN_NEC_MES">'Orçamento'!$C$67</definedName>
    <definedName name="ORC_REAL_NEC_MES">'Orçamento'!$D$67</definedName>
    <definedName name="ORC_PLAN_DES_MES">'Orçamento'!$C$68</definedName>
    <definedName name="ORC_REAL_DES_MES">'Orçamento'!$D$68</definedName>
    <definedName name="ORC_CAT_MES">'Orçamento'!$A$19:$A$66</definedName>
    <definedName name="ORC_AUX_TOP">'Orçamento'!$I$19:$I$66</definedName>
    <definedName name="ORC_AUX_DELTA">'Orçamento'!$J$19:$J$66</definedName>
    <definedName name="ORC_AUX_DELTA_KEY">'Orçamento'!$K$19:$K$66</definedName>
    <definedName name="ORC_PLAN_COL">'Orçamento'!$C$19:$C$66</definedName>
    <definedName name="ORC_REAL_COL">'Orçamento'!$D$19:$D$66</definedName>
    <definedName name="ORC_VAR_ANO">'Orçamento'!$R$237</definedName>
    <definedName name="ORC_PLAN_ANO">'Orçamento'!$R$125</definedName>
    <definedName name="ORC_REAL_ANO">'Orçamento'!$R$181</definedName>
    <definedName name="DIA_SOBRA">'Dia a dia'!$A$6</definedName>
    <definedName name="DIA_RESTANTES">'Dia a dia'!$D$6</definedName>
    <definedName name="DIA_POR_DIA">'Dia a dia'!$F$6</definedName>
    <definedName name="DIA_MAIOR_GASTO">'Dia a dia'!$I$6</definedName>
    <definedName name="DIA_TOP_DESC">'Dia a dia'!$K$11:$K$20</definedName>
    <definedName name="DIA_TOP_CAT">'Dia a dia'!$L$11:$L$20</definedName>
    <definedName name="DIA_TOP_VALOR">'Dia a dia'!$M$11:$M$20</definedName>
    <definedName name="PREV_SALDO">'Recorrentes'!$B$10:$M$10</definedName>
    <definedName name="PREV_CAIXA">'Recorrentes'!$B$11:$M$11</definedName>
    <definedName name="PREV_CAIXA_FINAL">'Recorrentes'!$M$11</definedName>
    <definedName name="METAS_NOME">'Metas'!$A$7:$A$18</definedName>
    <definedName name="METAS_ALVO">'Metas'!$B$7:$B$18</definedName>
    <definedName name="METAS_GUARDADO">'Metas'!$D$7:$D$18</definedName>
    <definedName name="METAS_PCT">'Metas'!$G$7:$G$18</definedName>
    <definedName name="METAS_APORTE">'Metas'!$E$7:$E$18</definedName>
    <definedName name="METAS_NECESSARIO">'Metas'!$J$7:$J$18</definedName>
    <definedName name="METAS_SITUACAO">'Metas'!$L$7:$L$18</definedName>
    <definedName name="METAS_TOTAL_ALVO">'Metas'!$B$19</definedName>
    <definedName name="METAS_TOTAL_GUARDADO">'Metas'!$D$19</definedName>
    <definedName name="METAS_TOTAL_PCT">'Metas'!$G$19</definedName>
    <definedName name="METAS_TOTAL_NECESSARIO">'Metas'!$J$19</definedName>
    <definedName name="METAS_QTD_ATRASADAS">'Metas'!$L$20</definedName>
    <definedName name="RES_MESES_ALVO">'Reserva'!$B$8</definedName>
    <definedName name="RES_GASTO">'Reserva'!$B$12</definedName>
    <definedName name="RES_META">'Reserva'!$B$16</definedName>
    <definedName name="RES_ATUAL">'Reserva'!$B$17</definedName>
    <definedName name="RES_FALTA">'Reserva'!$B$18</definedName>
    <definedName name="RES_PCT">'Reserva'!$B$19</definedName>
    <definedName name="RES_COBERTURA">'Reserva'!$B$20</definedName>
    <definedName name="RES_SITUACAO">'Reserva'!$B$21</definedName>
    <definedName name="RES_MESES_COMPLETAR">'Reserva'!$B$22</definedName>
    <definedName name="DIV_SALDO_TOTAL">'Dívidas'!$D$5</definedName>
    <definedName name="DIV_PARCELAS_MES">'Dívidas'!$B$6</definedName>
    <definedName name="DIV_EXTRA">'Dívidas'!$B$4</definedName>
    <definedName name="DIV_ALERTAS">'Dívidas'!$G$9:$G$18</definedName>
    <definedName name="DIV_MESES_MIN">'Dívidas'!$B$23</definedName>
    <definedName name="DIV_MESES_BOLA">'Dívidas'!$B$24</definedName>
    <definedName name="DIV_MESES_AVAL">'Dívidas'!$B$25</definedName>
    <definedName name="DIV_JUROS_MIN">'Dívidas'!$E$23</definedName>
    <definedName name="DIV_JUROS_BOLA">'Dívidas'!$E$24</definedName>
    <definedName name="DIV_JUROS_AVAL">'Dívidas'!$E$25</definedName>
    <definedName name="DIV_ECONOMIA_AVAL">'Dívidas'!$E$26</definedName>
    <definedName name="DIV_QUITACAO_AVAL">'Dívidas'!$C$25</definedName>
    <definedName name="DIV_QUITACAO_BOLA">'Dívidas'!$C$24</definedName>
    <definedName name="PATRIMONIO_ATIVOS">'Investimentos'!$B$72</definedName>
    <definedName name="PATRIMONIO_PASSIVOS">'Investimentos'!$B$76</definedName>
    <definedName name="PATRIMONIO_LIQUIDO">'Investimentos'!$B$77</definedName>
    <definedName name="INV_TOTAL_ATUAL">'Investimentos'!$D$30</definedName>
    <definedName name="INV_TOTAL_APORTADO">'Investimentos'!$C$30</definedName>
    <definedName name="INV_RENT_PCT">'Investimentos'!$F$30</definedName>
    <definedName name="PATRIM_HIST_ATIVOS">'Investimentos'!$B$81:$B$104</definedName>
    <definedName name="PAGAR_ABERTO">'Contas a pagar'!$A$5</definedName>
    <definedName name="PAGAR_ATRASADAS">'Contas a pagar'!$B$5</definedName>
    <definedName name="PAGAR_7DIAS">'Contas a pagar'!$D$5</definedName>
    <definedName name="PAGAR_MES">'Contas a pagar'!$F$5</definedName>
    <definedName name="PAGAR_PROX_DATA">'Contas a pagar'!$K$8:$K$12</definedName>
    <definedName name="PAGAR_PROX_DESC">'Contas a pagar'!$L$8:$L$12</definedName>
    <definedName name="PAGAR_PROX_VALOR">'Contas a pagar'!$M$8:$M$12</definedName>
    <definedName name="PAGAR_PROX_DIAS">'Contas a pagar'!$N$8:$N$12</definedName>
    <definedName name="ASSIN_MENSAL">'Assinaturas'!$A$5</definedName>
    <definedName name="ASSIN_ANUAL">'Assinaturas'!$B$5</definedName>
    <definedName name="ASSIN_QTD">'Assinaturas'!$D$5</definedName>
    <definedName name="ASSIN_PESO">'Assinaturas'!$F$5</definedName>
    <definedName name="ASSIN_PROX_DATA">'Assinaturas'!$B$35</definedName>
    <definedName name="ASSIN_PROX_NOME">'Assinaturas'!$C$35</definedName>
    <definedName name="PAINEL_RECEITAS">'Painel'!$B$7</definedName>
    <definedName name="PAINEL_DESPESAS">'Painel'!$E$7</definedName>
    <definedName name="PAINEL_SALDO">'Painel'!$H$7</definedName>
    <definedName name="PAINEL_TAXA">'Painel'!$K$7</definedName>
    <definedName name="PAINEL_SCORE">'Painel'!$B$15</definedName>
    <definedName name="PAINEL_AUX_DELTA_KEY">'Painel'!$R$34</definedName>
    <definedName name="PAINEL_AUX_NOME">'Painel'!$R$36</definedName>
    <definedName name="PAINEL_AUX_DELTA">'Painel'!$R$37</definedName>
    <definedName name="PAINEL_TOP_NOMES">'Painel'!$Q$6:$Q$13</definedName>
    <definedName name="PAINEL_TOP_REAL">'Painel'!$R$6:$R$13</definedName>
    <definedName name="PAINEL_TOP_PLAN">'Painel'!$S$6:$S$13</definedName>
    <definedName name="_xlnm.Print_Area" localSheetId="0">'Comece aqui'!$A$1:$J$52</definedName>
    <definedName name="_xlnm.Print_Area" localSheetId="1">'Painel'!$A$1:$N$86</definedName>
    <definedName name="_xlnm._FilterDatabase" localSheetId="2" hidden="1">'Lançamentos'!$A$5:$P$5005</definedName>
    <definedName name="_xlnm.Print_Titles" localSheetId="2">'Lançamentos'!$5:$5</definedName>
    <definedName name="_xlnm.Print_Area" localSheetId="2">'Lançamentos'!$A$1:$M$5005</definedName>
    <definedName name="_xlnm.Print_Titles" localSheetId="5">'Parcelados'!$6:$6</definedName>
    <definedName name="_xlnm.Print_Area" localSheetId="5">'Parcelados'!$A$1:$K$67</definedName>
  </definedNames>
  <calcPr calcId="124519" fullCalcOnLoad="1"/>
</workbook>
</file>

<file path=xl/styles.xml><?xml version="1.0" encoding="utf-8"?>
<styleSheet xmlns="http://schemas.openxmlformats.org/spreadsheetml/2006/main">
  <numFmts count="17">
    <numFmt numFmtId="164" formatCode="0.0%"/>
    <numFmt numFmtId="165" formatCode="0.000%"/>
    <numFmt numFmtId="166" formatCode="yyyy-mm-dd"/>
    <numFmt numFmtId="167" formatCode="dd/mm/yyyy"/>
    <numFmt numFmtId="168" formatCode="&quot;R$&quot; #,##0.00;[Red]-&quot;R$&quot; #,##0.00"/>
    <numFmt numFmtId="169" formatCode="&quot;R$&quot; #,##0;[Red]-&quot;R$&quot; #,##0"/>
    <numFmt numFmtId="170" formatCode="mmm/yy"/>
    <numFmt numFmtId="171" formatCode="#,##0.00;-#,##0.00;;@"/>
    <numFmt numFmtId="172" formatCode="mm/yyyy"/>
    <numFmt numFmtId="173" formatCode="#,##0.00;-#,##0.00;&quot;-&quot;"/>
    <numFmt numFmtId="174" formatCode="0.0000000"/>
    <numFmt numFmtId="175" formatCode="0.0"/>
    <numFmt numFmtId="176" formatCode="0.0;[Red]-0.0"/>
    <numFmt numFmtId="177" formatCode="#,##0.00;[Red]-#,##0.00;;@"/>
    <numFmt numFmtId="178" formatCode="0.000000"/>
    <numFmt numFmtId="179" formatCode="0.0000%"/>
    <numFmt numFmtId="180" formatCode="0.0&quot; meses&quot;"/>
  </numFmts>
  <fonts count="28">
    <font>
      <name val="Calibri"/>
      <family val="2"/>
      <color theme="1"/>
      <sz val="11"/>
      <scheme val="minor"/>
    </font>
    <font>
      <name val="Calibri"/>
      <b val="1"/>
      <color rgb="006B6B6B"/>
      <sz val="9"/>
    </font>
    <font>
      <name val="Calibri"/>
      <sz val="11"/>
    </font>
    <font>
      <name val="Calibri"/>
      <b val="1"/>
      <color rgb="001A3328"/>
      <sz val="20"/>
    </font>
    <font>
      <name val="Calibri"/>
      <color rgb="006B6B6B"/>
      <sz val="11"/>
    </font>
    <font>
      <name val="Calibri"/>
      <b val="1"/>
      <color rgb="00C2410C"/>
      <sz val="13"/>
    </font>
    <font>
      <name val="Calibri"/>
      <b val="1"/>
      <sz val="11"/>
    </font>
    <font>
      <name val="Calibri"/>
      <b val="1"/>
      <color rgb="00FFFFFF"/>
      <sz val="11"/>
    </font>
    <font>
      <name val="Calibri"/>
      <color rgb="006B6B6B"/>
      <sz val="9"/>
    </font>
    <font>
      <name val="Calibri"/>
      <color rgb="008A8A8A"/>
      <sz val="9"/>
    </font>
    <font>
      <name val="Calibri"/>
      <color rgb="00A0A0A0"/>
      <sz val="8"/>
    </font>
    <font>
      <name val="Calibri"/>
      <color rgb="00C2410C"/>
      <sz val="11"/>
      <u val="single"/>
    </font>
    <font>
      <name val="Calibri"/>
      <b val="1"/>
      <color rgb="00FFFFFF"/>
      <sz val="8"/>
    </font>
    <font>
      <name val="Calibri"/>
      <b val="1"/>
      <color rgb="001A3328"/>
      <sz val="15"/>
    </font>
    <font>
      <name val="Calibri"/>
      <color rgb="00808080"/>
      <sz val="8"/>
    </font>
    <font>
      <name val="Calibri"/>
      <b val="1"/>
      <color rgb="00FFFFFF"/>
      <sz val="26"/>
    </font>
    <font>
      <name val="Calibri"/>
      <b val="1"/>
      <color rgb="009A3412"/>
      <sz val="10"/>
    </font>
    <font>
      <name val="Calibri"/>
      <b val="1"/>
      <color rgb="00FFFFFF"/>
      <sz val="18"/>
    </font>
    <font>
      <name val="Calibri"/>
      <b val="1"/>
      <color rgb="001A3328"/>
      <sz val="12"/>
    </font>
    <font>
      <name val="Calibri"/>
      <sz val="10"/>
    </font>
    <font>
      <name val="Calibri"/>
      <color rgb="006B6B6B"/>
      <sz val="10"/>
    </font>
    <font>
      <name val="Calibri"/>
      <b val="1"/>
      <color rgb="00FFFFFF"/>
      <sz val="24"/>
    </font>
    <font>
      <name val="Calibri"/>
      <b val="1"/>
      <color rgb="00FFD9BF"/>
      <sz val="14"/>
    </font>
    <font>
      <name val="Calibri"/>
      <i val="1"/>
      <color rgb="006B6B6B"/>
      <sz val="9"/>
    </font>
    <font>
      <name val="Calibri"/>
      <b val="1"/>
      <color rgb="001A3328"/>
      <sz val="44"/>
    </font>
    <font>
      <name val="Calibri"/>
      <sz val="12"/>
    </font>
    <font>
      <name val="Calibri"/>
      <b val="1"/>
      <color rgb="008A8A8A"/>
      <sz val="9"/>
    </font>
    <font>
      <name val="Calibri"/>
      <color rgb="008A8A8A"/>
      <sz val="8"/>
    </font>
  </fonts>
  <fills count="1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FEFEF"/>
      </patternFill>
    </fill>
    <fill>
      <patternFill patternType="solid">
        <fgColor rgb="001A3328"/>
      </patternFill>
    </fill>
    <fill>
      <patternFill patternType="solid">
        <fgColor rgb="009A9A9A"/>
      </patternFill>
    </fill>
    <fill>
      <patternFill patternType="solid">
        <fgColor rgb="004B5F54"/>
      </patternFill>
    </fill>
    <fill>
      <patternFill patternType="solid">
        <fgColor rgb="00F7F2EE"/>
      </patternFill>
    </fill>
    <fill>
      <patternFill patternType="solid">
        <fgColor rgb="00FFE3D2"/>
      </patternFill>
    </fill>
    <fill>
      <patternFill patternType="solid">
        <fgColor rgb="00FFFFFF"/>
      </patternFill>
    </fill>
    <fill>
      <patternFill patternType="solid">
        <fgColor rgb="00FFE8D9"/>
      </patternFill>
    </fill>
    <fill>
      <patternFill patternType="solid">
        <fgColor rgb="00C2410C"/>
      </patternFill>
    </fill>
    <fill>
      <patternFill patternType="solid">
        <fgColor rgb="00E3F1E8"/>
      </patternFill>
    </fill>
    <fill>
      <patternFill patternType="solid">
        <fgColor rgb="00FDE2E2"/>
      </patternFill>
    </fill>
  </fills>
  <borders count="16">
    <border>
      <left/>
      <right/>
      <top/>
      <bottom/>
      <diagonal/>
    </border>
    <border>
      <left style="thin">
        <color rgb="00D9D2CC"/>
      </left>
      <right style="thin">
        <color rgb="00D9D2CC"/>
      </right>
      <top style="thin">
        <color rgb="00D9D2CC"/>
      </top>
      <bottom style="thin">
        <color rgb="00D9D2CC"/>
      </bottom>
    </border>
    <border/>
    <border>
      <left style="thin">
        <color rgb="00D9D2CC"/>
      </left>
      <right style="thin">
        <color rgb="00D9D2CC"/>
      </right>
      <top style="thin">
        <color rgb="00D9D2CC"/>
      </top>
    </border>
    <border>
      <left style="thin">
        <color rgb="00D9D2CC"/>
      </left>
      <right style="thin">
        <color rgb="00D9D2CC"/>
      </right>
      <bottom style="thin">
        <color rgb="00D9D2CC"/>
      </bottom>
    </border>
    <border>
      <left style="thin">
        <color rgb="00D9D2CC"/>
      </left>
      <top style="thin">
        <color rgb="00D9D2CC"/>
      </top>
    </border>
    <border>
      <right style="thin">
        <color rgb="00D9D2CC"/>
      </right>
      <top style="thin">
        <color rgb="00D9D2CC"/>
      </top>
    </border>
    <border>
      <left/>
      <right/>
      <top style="thin">
        <color rgb="00D9D2CC"/>
      </top>
      <bottom/>
      <diagonal/>
    </border>
    <border>
      <left/>
      <right style="thin">
        <color rgb="00D9D2CC"/>
      </right>
      <top style="thin">
        <color rgb="00D9D2CC"/>
      </top>
      <bottom/>
      <diagonal/>
    </border>
    <border>
      <left style="thin">
        <color rgb="00D9D2CC"/>
      </left>
      <bottom style="thin">
        <color rgb="00D9D2CC"/>
      </bottom>
    </border>
    <border>
      <right style="thin">
        <color rgb="00D9D2CC"/>
      </right>
      <bottom style="thin">
        <color rgb="00D9D2CC"/>
      </bottom>
    </border>
    <border>
      <left/>
      <right style="thin">
        <color rgb="00D9D2CC"/>
      </right>
      <top/>
      <bottom/>
      <diagonal/>
    </border>
    <border>
      <left/>
      <right style="thin">
        <color rgb="00D9D2CC"/>
      </right>
      <top/>
      <bottom style="thin">
        <color rgb="00D9D2CC"/>
      </bottom>
      <diagonal/>
    </border>
    <border>
      <top style="thin">
        <color rgb="00D9D2CC"/>
      </top>
    </border>
    <border>
      <bottom style="thin">
        <color rgb="00D9D2CC"/>
      </bottom>
    </border>
    <border>
      <left/>
      <right/>
      <top/>
      <bottom style="thin">
        <color rgb="00D9D2CC"/>
      </bottom>
      <diagonal/>
    </border>
  </borders>
  <cellStyleXfs count="1">
    <xf numFmtId="0" fontId="0" fillId="0" borderId="0"/>
  </cellStyleXfs>
  <cellXfs count="158">
    <xf numFmtId="0" fontId="0" fillId="0" borderId="0" pivotButton="0" quotePrefix="0" xfId="0"/>
    <xf numFmtId="0" fontId="1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4" fillId="0" borderId="0" applyAlignment="1" pivotButton="0" quotePrefix="0" xfId="0">
      <alignment horizontal="left" indent="1"/>
    </xf>
    <xf numFmtId="0" fontId="16" fillId="10" borderId="0" applyAlignment="1" pivotButton="0" quotePrefix="0" xfId="0">
      <alignment vertical="center" wrapText="1" indent="1"/>
    </xf>
    <xf numFmtId="0" fontId="5" fillId="0" borderId="0" pivotButton="0" quotePrefix="0" xfId="0"/>
    <xf numFmtId="0" fontId="17" fillId="11" borderId="1" applyAlignment="1" pivotButton="0" quotePrefix="0" xfId="0">
      <alignment horizontal="center" vertical="center"/>
    </xf>
    <xf numFmtId="0" fontId="18" fillId="0" borderId="1" applyAlignment="1" pivotButton="0" quotePrefix="0" xfId="0">
      <alignment vertical="center" wrapText="1"/>
    </xf>
    <xf numFmtId="0" fontId="19" fillId="0" borderId="1" applyAlignment="1" pivotButton="0" quotePrefix="0" xfId="0">
      <alignment vertical="center" wrapText="1"/>
    </xf>
    <xf numFmtId="0" fontId="0" fillId="0" borderId="1" pivotButton="0" quotePrefix="0" xfId="0"/>
    <xf numFmtId="0" fontId="11" fillId="0" borderId="1" applyAlignment="1" pivotButton="0" quotePrefix="0" xfId="0">
      <alignment horizontal="center" vertical="center"/>
    </xf>
    <xf numFmtId="0" fontId="0" fillId="2" borderId="1" pivotButton="0" quotePrefix="0" xfId="0"/>
    <xf numFmtId="0" fontId="6" fillId="0" borderId="0" pivotButton="0" quotePrefix="0" xfId="0"/>
    <xf numFmtId="0" fontId="20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8" borderId="1" pivotButton="0" quotePrefix="0" xfId="0"/>
    <xf numFmtId="0" fontId="0" fillId="12" borderId="1" pivotButton="0" quotePrefix="0" xfId="0"/>
    <xf numFmtId="0" fontId="0" fillId="13" borderId="1" pivotButton="0" quotePrefix="0" xfId="0"/>
    <xf numFmtId="0" fontId="11" fillId="0" borderId="0" pivotButton="0" quotePrefix="0" xfId="0"/>
    <xf numFmtId="0" fontId="19" fillId="0" borderId="0" pivotButton="0" quotePrefix="0" xfId="0"/>
    <xf numFmtId="0" fontId="19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21" fillId="4" borderId="0" applyAlignment="1" pivotButton="0" quotePrefix="0" xfId="0">
      <alignment horizontal="left" vertical="center" wrapText="1" indent="1"/>
    </xf>
    <xf numFmtId="0" fontId="22" fillId="4" borderId="0" applyAlignment="1" pivotButton="0" quotePrefix="0" xfId="0">
      <alignment horizontal="right" vertical="center" indent="1"/>
    </xf>
    <xf numFmtId="0" fontId="4" fillId="0" borderId="0" applyAlignment="1" pivotButton="0" quotePrefix="0" xfId="0">
      <alignment horizontal="left" vertical="center" wrapText="1" indent="1"/>
    </xf>
    <xf numFmtId="0" fontId="26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23" fillId="0" borderId="0" applyAlignment="1" pivotButton="0" quotePrefix="0" xfId="0">
      <alignment horizontal="left" vertical="center" wrapText="1" indent="1"/>
    </xf>
    <xf numFmtId="0" fontId="12" fillId="5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 indent="1"/>
    </xf>
    <xf numFmtId="0" fontId="0" fillId="7" borderId="1" pivotButton="0" quotePrefix="0" xfId="0"/>
    <xf numFmtId="0" fontId="27" fillId="0" borderId="0" pivotButton="0" quotePrefix="0" xfId="0"/>
    <xf numFmtId="4" fontId="27" fillId="0" borderId="0" pivotButton="0" quotePrefix="0" xfId="0"/>
    <xf numFmtId="174" fontId="27" fillId="0" borderId="0" pivotButton="0" quotePrefix="0" xfId="0"/>
    <xf numFmtId="1" fontId="27" fillId="0" borderId="0" pivotButton="0" quotePrefix="0" xfId="0"/>
    <xf numFmtId="168" fontId="3" fillId="7" borderId="1" applyAlignment="1" pivotButton="0" quotePrefix="0" xfId="0">
      <alignment horizontal="left" vertical="center" wrapText="1" indent="1"/>
    </xf>
    <xf numFmtId="164" fontId="3" fillId="7" borderId="1" applyAlignment="1" pivotButton="0" quotePrefix="0" xfId="0">
      <alignment horizontal="left" vertical="center" wrapText="1" indent="1"/>
    </xf>
    <xf numFmtId="0" fontId="8" fillId="7" borderId="1" applyAlignment="1" pivotButton="0" quotePrefix="0" xfId="0">
      <alignment horizontal="left" vertical="center" wrapText="1" indent="1"/>
    </xf>
    <xf numFmtId="180" fontId="3" fillId="7" borderId="1" applyAlignment="1" pivotButton="0" quotePrefix="0" xfId="0">
      <alignment horizontal="left" vertical="center" wrapText="1" indent="1"/>
    </xf>
    <xf numFmtId="9" fontId="3" fillId="7" borderId="1" applyAlignment="1" pivotButton="0" quotePrefix="0" xfId="0">
      <alignment horizontal="left" vertical="center" wrapText="1" indent="1"/>
    </xf>
    <xf numFmtId="1" fontId="24" fillId="7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 wrapText="1"/>
    </xf>
    <xf numFmtId="0" fontId="19" fillId="9" borderId="1" applyAlignment="1" pivotButton="0" quotePrefix="0" xfId="0">
      <alignment horizontal="left" vertical="center" wrapText="1" indent="1"/>
    </xf>
    <xf numFmtId="0" fontId="0" fillId="9" borderId="1" pivotButton="0" quotePrefix="0" xfId="0"/>
    <xf numFmtId="164" fontId="6" fillId="9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175" fontId="6" fillId="9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180" fontId="6" fillId="9" borderId="1" applyAlignment="1" pivotButton="0" quotePrefix="0" xfId="0">
      <alignment horizontal="center" vertical="center" wrapText="1"/>
    </xf>
    <xf numFmtId="164" fontId="27" fillId="0" borderId="0" pivotButton="0" quotePrefix="0" xfId="0"/>
    <xf numFmtId="9" fontId="27" fillId="0" borderId="0" pivotButton="0" quotePrefix="0" xfId="0"/>
    <xf numFmtId="9" fontId="6" fillId="9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 wrapText="1" indent="1"/>
    </xf>
    <xf numFmtId="175" fontId="6" fillId="8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25" fillId="9" borderId="1" applyAlignment="1" pivotButton="0" quotePrefix="0" xfId="0">
      <alignment horizontal="left" vertical="center" wrapText="1" indent="1"/>
    </xf>
    <xf numFmtId="167" fontId="2" fillId="9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 wrapText="1" indent="1"/>
    </xf>
    <xf numFmtId="168" fontId="2" fillId="9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168" fontId="6" fillId="0" borderId="0" pivotButton="0" quotePrefix="0" xfId="0"/>
    <xf numFmtId="169" fontId="2" fillId="2" borderId="1" pivotButton="0" quotePrefix="0" xfId="0"/>
    <xf numFmtId="1" fontId="6" fillId="0" borderId="0" pivotButton="0" quotePrefix="0" xfId="0"/>
    <xf numFmtId="0" fontId="7" fillId="6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7" fontId="2" fillId="2" borderId="1" pivotButton="0" quotePrefix="0" xfId="0"/>
    <xf numFmtId="0" fontId="2" fillId="2" borderId="1" pivotButton="0" quotePrefix="0" xfId="0"/>
    <xf numFmtId="0" fontId="2" fillId="3" borderId="1" pivotButton="0" quotePrefix="0" xfId="0"/>
    <xf numFmtId="168" fontId="2" fillId="2" borderId="1" pivotButton="0" quotePrefix="0" xfId="0"/>
    <xf numFmtId="0" fontId="2" fillId="2" borderId="1" applyAlignment="1" pivotButton="0" quotePrefix="0" xfId="0">
      <alignment horizontal="center"/>
    </xf>
    <xf numFmtId="1" fontId="9" fillId="0" borderId="0" pivotButton="0" quotePrefix="0" xfId="0"/>
    <xf numFmtId="4" fontId="9" fillId="0" borderId="0" pivotButton="0" quotePrefix="0" xfId="0"/>
    <xf numFmtId="0" fontId="1" fillId="7" borderId="3" applyAlignment="1" pivotButton="0" quotePrefix="0" xfId="0">
      <alignment horizontal="left" vertical="center" indent="1"/>
    </xf>
    <xf numFmtId="0" fontId="0" fillId="0" borderId="8" pivotButton="0" quotePrefix="0" xfId="0"/>
    <xf numFmtId="168" fontId="3" fillId="7" borderId="4" applyAlignment="1" pivotButton="0" quotePrefix="0" xfId="0">
      <alignment horizontal="left" vertical="center" indent="1"/>
    </xf>
    <xf numFmtId="0" fontId="0" fillId="0" borderId="12" pivotButton="0" quotePrefix="0" xfId="0"/>
    <xf numFmtId="168" fontId="2" fillId="3" borderId="1" pivotButton="0" quotePrefix="0" xfId="0"/>
    <xf numFmtId="168" fontId="6" fillId="3" borderId="1" pivotButton="0" quotePrefix="0" xfId="0"/>
    <xf numFmtId="164" fontId="2" fillId="3" borderId="1" pivotButton="0" quotePrefix="0" xfId="0"/>
    <xf numFmtId="0" fontId="6" fillId="8" borderId="1" pivotButton="0" quotePrefix="0" xfId="0"/>
    <xf numFmtId="168" fontId="6" fillId="8" borderId="1" pivotButton="0" quotePrefix="0" xfId="0"/>
    <xf numFmtId="164" fontId="6" fillId="8" borderId="1" pivotButton="0" quotePrefix="0" xfId="0"/>
    <xf numFmtId="1" fontId="2" fillId="2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70" fontId="7" fillId="4" borderId="1" applyAlignment="1" pivotButton="0" quotePrefix="0" xfId="0">
      <alignment horizontal="center" vertical="center" wrapText="1"/>
    </xf>
    <xf numFmtId="171" fontId="2" fillId="3" borderId="1" pivotButton="0" quotePrefix="0" xfId="0"/>
    <xf numFmtId="0" fontId="10" fillId="0" borderId="0" applyAlignment="1" pivotButton="0" quotePrefix="0" xfId="0">
      <alignment horizontal="center" vertical="center" wrapText="1"/>
    </xf>
    <xf numFmtId="170" fontId="7" fillId="6" borderId="1" applyAlignment="1" pivotButton="0" quotePrefix="0" xfId="0">
      <alignment horizontal="center" vertical="center" wrapText="1"/>
    </xf>
    <xf numFmtId="172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71" fontId="2" fillId="0" borderId="1" pivotButton="0" quotePrefix="0" xfId="0"/>
    <xf numFmtId="168" fontId="6" fillId="0" borderId="2" pivotButton="0" quotePrefix="0" xfId="0"/>
    <xf numFmtId="0" fontId="6" fillId="3" borderId="1" pivotButton="0" quotePrefix="0" xfId="0"/>
    <xf numFmtId="9" fontId="2" fillId="3" borderId="1" pivotButton="0" quotePrefix="0" xfId="0"/>
    <xf numFmtId="0" fontId="2" fillId="3" borderId="1" applyAlignment="1" pivotButton="0" quotePrefix="0" xfId="0">
      <alignment horizontal="center" vertical="center" wrapText="1"/>
    </xf>
    <xf numFmtId="9" fontId="6" fillId="8" borderId="1" pivotButton="0" quotePrefix="0" xfId="0"/>
    <xf numFmtId="0" fontId="2" fillId="8" borderId="1" pivotButton="0" quotePrefix="0" xfId="0"/>
    <xf numFmtId="174" fontId="10" fillId="0" borderId="0" pivotButton="0" quotePrefix="0" xfId="0"/>
    <xf numFmtId="2" fontId="10" fillId="0" borderId="0" pivotButton="0" quotePrefix="0" xfId="0"/>
    <xf numFmtId="173" fontId="2" fillId="2" borderId="1" pivotButton="0" quotePrefix="0" xfId="0"/>
    <xf numFmtId="0" fontId="2" fillId="9" borderId="1" pivotButton="0" quotePrefix="0" xfId="0"/>
    <xf numFmtId="173" fontId="2" fillId="9" borderId="1" pivotButton="0" quotePrefix="0" xfId="0"/>
    <xf numFmtId="0" fontId="10" fillId="0" borderId="0" pivotButton="0" quotePrefix="0" xfId="0"/>
    <xf numFmtId="1" fontId="10" fillId="0" borderId="0" applyAlignment="1" pivotButton="0" quotePrefix="0" xfId="0">
      <alignment horizontal="center" vertical="center" wrapText="1"/>
    </xf>
    <xf numFmtId="167" fontId="10" fillId="0" borderId="0" applyAlignment="1" pivotButton="0" quotePrefix="0" xfId="0">
      <alignment horizontal="center" vertical="center" wrapText="1"/>
    </xf>
    <xf numFmtId="0" fontId="6" fillId="0" borderId="1" pivotButton="0" quotePrefix="0" xfId="0"/>
    <xf numFmtId="164" fontId="6" fillId="3" borderId="1" pivotButton="0" quotePrefix="0" xfId="0"/>
    <xf numFmtId="0" fontId="10" fillId="0" borderId="1" pivotButton="0" quotePrefix="0" xfId="0"/>
    <xf numFmtId="1" fontId="10" fillId="9" borderId="1" pivotButton="0" quotePrefix="0" xfId="0"/>
    <xf numFmtId="168" fontId="10" fillId="9" borderId="1" pivotButton="0" quotePrefix="0" xfId="0"/>
    <xf numFmtId="0" fontId="3" fillId="7" borderId="4" applyAlignment="1" pivotButton="0" quotePrefix="0" xfId="0">
      <alignment horizontal="left" vertical="center" indent="1"/>
    </xf>
    <xf numFmtId="0" fontId="0" fillId="0" borderId="7" pivotButton="0" quotePrefix="0" xfId="0"/>
    <xf numFmtId="168" fontId="13" fillId="7" borderId="4" applyAlignment="1" pivotButton="0" quotePrefix="0" xfId="0">
      <alignment horizontal="left" vertical="center" indent="1"/>
    </xf>
    <xf numFmtId="0" fontId="0" fillId="0" borderId="15" pivotButton="0" quotePrefix="0" xfId="0"/>
    <xf numFmtId="1" fontId="13" fillId="7" borderId="4" applyAlignment="1" pivotButton="0" quotePrefix="0" xfId="0">
      <alignment horizontal="left" vertical="center" indent="1"/>
    </xf>
    <xf numFmtId="167" fontId="2" fillId="2" borderId="1" applyAlignment="1" pivotButton="0" quotePrefix="0" xfId="0">
      <alignment horizontal="center" vertical="center" wrapText="1"/>
    </xf>
    <xf numFmtId="164" fontId="2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165" fontId="10" fillId="3" borderId="1" pivotButton="0" quotePrefix="0" xfId="0"/>
    <xf numFmtId="1" fontId="6" fillId="0" borderId="0" applyAlignment="1" pivotButton="0" quotePrefix="0" xfId="0">
      <alignment horizontal="center" vertical="center" wrapText="1"/>
    </xf>
    <xf numFmtId="1" fontId="2" fillId="3" borderId="1" pivotButton="0" quotePrefix="0" xfId="0"/>
    <xf numFmtId="1" fontId="2" fillId="2" borderId="1" pivotButton="0" quotePrefix="0" xfId="0"/>
    <xf numFmtId="168" fontId="6" fillId="3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175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67" fontId="6" fillId="0" borderId="0" pivotButton="0" quotePrefix="0" xfId="0"/>
    <xf numFmtId="2" fontId="2" fillId="2" borderId="1" pivotButton="0" quotePrefix="0" xfId="0"/>
    <xf numFmtId="1" fontId="6" fillId="3" borderId="1" applyAlignment="1" pivotButton="0" quotePrefix="0" xfId="0">
      <alignment horizontal="center" vertical="center" wrapText="1"/>
    </xf>
    <xf numFmtId="10" fontId="2" fillId="3" borderId="1" pivotButton="0" quotePrefix="0" xfId="0"/>
    <xf numFmtId="168" fontId="2" fillId="9" borderId="1" pivotButton="0" quotePrefix="0" xfId="0"/>
    <xf numFmtId="164" fontId="13" fillId="7" borderId="4" applyAlignment="1" pivotButton="0" quotePrefix="0" xfId="0">
      <alignment horizontal="left" vertical="center" indent="1"/>
    </xf>
    <xf numFmtId="9" fontId="2" fillId="2" borderId="1" pivotButton="0" quotePrefix="0" xfId="0"/>
    <xf numFmtId="176" fontId="2" fillId="3" borderId="1" pivotButton="0" quotePrefix="0" xfId="0"/>
    <xf numFmtId="177" fontId="6" fillId="3" borderId="1" pivotButton="0" quotePrefix="0" xfId="0"/>
    <xf numFmtId="178" fontId="10" fillId="0" borderId="0" pivotButton="0" quotePrefix="0" xfId="0"/>
    <xf numFmtId="178" fontId="10" fillId="3" borderId="1" pivotButton="0" quotePrefix="0" xfId="0"/>
    <xf numFmtId="179" fontId="6" fillId="3" borderId="1" pivotButton="0" quotePrefix="0" xfId="0"/>
    <xf numFmtId="175" fontId="6" fillId="3" borderId="1" pivotButton="0" quotePrefix="0" xfId="0"/>
    <xf numFmtId="167" fontId="2" fillId="3" borderId="1" pivotButton="0" quotePrefix="0" xfId="0"/>
    <xf numFmtId="165" fontId="2" fillId="3" borderId="1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4" fontId="14" fillId="0" borderId="0" pivotButton="0" quotePrefix="0" xfId="0"/>
    <xf numFmtId="172" fontId="14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dxfs count="24">
    <dxf>
      <font>
        <b val="1"/>
        <color rgb="00B91C1C"/>
        <sz val="20"/>
      </font>
    </dxf>
    <dxf>
      <font>
        <b val="1"/>
        <color rgb="00166534"/>
        <sz val="20"/>
      </font>
    </dxf>
    <dxf>
      <font>
        <b val="1"/>
        <color rgb="00B91C1C"/>
        <sz val="9"/>
      </font>
    </dxf>
    <dxf>
      <font>
        <b val="1"/>
        <color rgb="00166534"/>
        <sz val="9"/>
      </font>
    </dxf>
    <dxf>
      <fill>
        <patternFill patternType="solid">
          <fgColor rgb="00A7DDB8"/>
        </patternFill>
      </fill>
    </dxf>
    <dxf>
      <fill>
        <patternFill patternType="solid">
          <fgColor rgb="00D5EFC1"/>
        </patternFill>
      </fill>
    </dxf>
    <dxf>
      <fill>
        <patternFill patternType="solid">
          <fgColor rgb="00FFD9A8"/>
        </patternFill>
      </fill>
    </dxf>
    <dxf>
      <fill>
        <patternFill patternType="solid">
          <fgColor rgb="00F8B4B4"/>
        </patternFill>
      </fill>
    </dxf>
    <dxf>
      <font>
        <b val="1"/>
        <color rgb="00166534"/>
      </font>
    </dxf>
    <dxf>
      <font>
        <b val="1"/>
        <color rgb="004D7C0F"/>
      </font>
    </dxf>
    <dxf>
      <font>
        <b val="1"/>
        <color rgb="00C2410C"/>
      </font>
    </dxf>
    <dxf>
      <font>
        <b val="1"/>
        <color rgb="00B91C1C"/>
      </font>
    </dxf>
    <dxf>
      <font>
        <b val="1"/>
        <color rgb="00B91C1C"/>
      </font>
      <fill>
        <patternFill patternType="solid">
          <fgColor rgb="00FDE2E2"/>
        </patternFill>
      </fill>
    </dxf>
    <dxf>
      <font>
        <i val="1"/>
        <color rgb="009A3412"/>
      </font>
      <fill>
        <patternFill patternType="solid">
          <fgColor rgb="00FFE8D9"/>
        </patternFill>
      </fill>
    </dxf>
    <dxf>
      <font>
        <b val="1"/>
        <color rgb="009A3412"/>
      </font>
      <fill>
        <patternFill patternType="solid">
          <fgColor rgb="00FFE8D9"/>
        </patternFill>
      </fill>
    </dxf>
    <dxf>
      <font>
        <b val="1"/>
        <color rgb="00166534"/>
      </font>
      <fill>
        <patternFill patternType="solid">
          <fgColor rgb="00E3F1E8"/>
        </patternFill>
      </fill>
    </dxf>
    <dxf>
      <font>
        <color rgb="00B91C1C"/>
      </font>
      <fill>
        <patternFill patternType="solid">
          <fgColor rgb="00FDE2E2"/>
        </patternFill>
      </fill>
    </dxf>
    <dxf>
      <fill>
        <patternFill patternType="solid">
          <fgColor rgb="00FF6B2B"/>
        </patternFill>
      </fill>
    </dxf>
    <dxf>
      <fill>
        <patternFill patternType="solid">
          <fgColor rgb="00E3F1E8"/>
        </patternFill>
      </fill>
    </dxf>
    <dxf>
      <font>
        <color rgb="00166534"/>
      </font>
      <fill>
        <patternFill patternType="solid">
          <fgColor rgb="00E3F1E8"/>
        </patternFill>
      </fill>
    </dxf>
    <dxf>
      <fill>
        <patternFill patternType="solid">
          <fgColor rgb="00F7F2EE"/>
        </patternFill>
      </fill>
    </dxf>
    <dxf>
      <font>
        <b val="1"/>
      </font>
      <fill>
        <patternFill patternType="solid">
          <fgColor rgb="00FFD9BF"/>
        </patternFill>
      </fill>
    </dxf>
    <dxf>
      <font>
        <b val="1"/>
        <color rgb="00C2410C"/>
      </font>
      <fill>
        <patternFill patternType="solid">
          <fgColor rgb="00FFE8D9"/>
        </patternFill>
      </fill>
    </dxf>
    <dxf>
      <font>
        <i val="1"/>
        <color rgb="008A8A8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x despesas por mês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Receitas</v>
          </tx>
          <spPr>
            <a:solidFill xmlns:a="http://schemas.openxmlformats.org/drawingml/2006/main">
              <a:srgbClr val="2F7D4F"/>
            </a:solidFill>
            <a:ln xmlns:a="http://schemas.openxmlformats.org/drawingml/2006/main">
              <a:solidFill>
                <a:srgbClr val="2F7D4F"/>
              </a:solidFill>
              <a:prstDash val="solid"/>
            </a:ln>
          </spPr>
          <cat>
            <numRef>
              <f>'Fluxo anual'!$C$9:$N$9</f>
            </numRef>
          </cat>
          <val>
            <numRef>
              <f>'Fluxo anual'!$C$10:$N$10</f>
            </numRef>
          </val>
        </ser>
        <ser>
          <idx val="1"/>
          <order val="1"/>
          <tx>
            <v>Despesas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'Fluxo anual'!$C$9:$N$9</f>
            </numRef>
          </cat>
          <val>
            <numRef>
              <f>'Fluxo anual'!$C$11:$N$11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Para onde foi o dinheiro no mês (8 maiores categorias)</a:t>
            </a:r>
          </a:p>
        </rich>
      </tx>
      <overlay val="0"/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A332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2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F7D4F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25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E7490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1C1C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9A9A9A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D6C6B8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'Painel'!$Q$6:$Q$14</f>
            </numRef>
          </cat>
          <val>
            <numRef>
              <f>'Painel'!$R$6:$R$14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  <holeSize val="5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Regra 50/30/20: real x ideal (% da renda)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Real</v>
          </tx>
          <spPr>
            <a:solidFill xmlns:a="http://schemas.openxmlformats.org/drawingml/2006/main">
              <a:srgbClr val="1A3328"/>
            </a:solidFill>
            <a:ln xmlns:a="http://schemas.openxmlformats.org/drawingml/2006/main">
              <a:solidFill>
                <a:srgbClr val="1A3328"/>
              </a:solidFill>
              <a:prstDash val="solid"/>
            </a:ln>
          </spPr>
          <cat>
            <numRef>
              <f>'Painel'!$Q$18:$Q$20</f>
            </numRef>
          </cat>
          <val>
            <numRef>
              <f>'Painel'!$R$18:$R$20</f>
            </numRef>
          </val>
        </ser>
        <ser>
          <idx val="1"/>
          <order val="1"/>
          <tx>
            <v>Ideal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'Painel'!$Q$18:$Q$20</f>
            </numRef>
          </cat>
          <val>
            <numRef>
              <f>'Painel'!$S$18:$S$20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acumulado no ano</a:t>
            </a:r>
          </a:p>
        </rich>
      </tx>
      <overlay val="0"/>
    </title>
    <plotArea>
      <lineChart>
        <grouping val="standard"/>
        <ser>
          <idx val="0"/>
          <order val="0"/>
          <tx>
            <v>Saldo acumulado</v>
          </tx>
          <spPr>
            <a:ln xmlns:a="http://schemas.openxmlformats.org/drawingml/2006/main" w="28575">
              <a:solidFill>
                <a:srgbClr val="0E749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E7490"/>
              </a:solidFill>
              <a:ln xmlns:a="http://schemas.openxmlformats.org/drawingml/2006/main">
                <a:solidFill>
                  <a:srgbClr val="0E7490"/>
                </a:solidFill>
                <a:prstDash val="solid"/>
              </a:ln>
            </spPr>
          </marker>
          <cat>
            <numRef>
              <f>'Fluxo anual'!$C$9:$N$9</f>
            </numRef>
          </cat>
          <val>
            <numRef>
              <f>'Fluxo anual'!$C$14:$N$14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Orçamento x realizado (maiores gastos do mês)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Planejado</v>
          </tx>
          <spPr>
            <a:solidFill xmlns:a="http://schemas.openxmlformats.org/drawingml/2006/main">
              <a:srgbClr val="C9B8A8"/>
            </a:solidFill>
            <a:ln xmlns:a="http://schemas.openxmlformats.org/drawingml/2006/main">
              <a:solidFill>
                <a:srgbClr val="C9B8A8"/>
              </a:solidFill>
              <a:prstDash val="solid"/>
            </a:ln>
          </spPr>
          <cat>
            <numRef>
              <f>'Painel'!$Q$6:$Q$13</f>
            </numRef>
          </cat>
          <val>
            <numRef>
              <f>'Painel'!$S$6:$S$13</f>
            </numRef>
          </val>
        </ser>
        <ser>
          <idx val="1"/>
          <order val="1"/>
          <tx>
            <v>Realizado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'Painel'!$Q$6:$Q$13</f>
            </numRef>
          </cat>
          <val>
            <numRef>
              <f>'Painel'!$R$6:$R$13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Progresso das metas (% concluído)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% concluído</v>
          </tx>
          <spPr>
            <a:solidFill xmlns:a="http://schemas.openxmlformats.org/drawingml/2006/main">
              <a:srgbClr val="7C3AED"/>
            </a:solidFill>
            <a:ln xmlns:a="http://schemas.openxmlformats.org/drawingml/2006/main">
              <a:solidFill>
                <a:srgbClr val="7C3AED"/>
              </a:solidFill>
              <a:prstDash val="solid"/>
            </a:ln>
          </spPr>
          <cat>
            <numRef>
              <f>'Painel'!$Q$24:$Q$31</f>
            </numRef>
          </cat>
          <val>
            <numRef>
              <f>'Painel'!$R$24:$R$31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Parcelas já comprometidas por mês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strRef>
              <f>'Cartões'!A17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'Cartões'!$B$17:$M$17</f>
            </numRef>
          </val>
        </ser>
        <ser>
          <idx val="1"/>
          <order val="1"/>
          <tx>
            <strRef>
              <f>'Cartões'!A18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'Cartões'!$B$18:$M$18</f>
            </numRef>
          </val>
        </ser>
        <ser>
          <idx val="2"/>
          <order val="2"/>
          <tx>
            <strRef>
              <f>'Cartões'!A19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'Cartões'!$B$19:$M$19</f>
            </numRef>
          </val>
        </ser>
        <ser>
          <idx val="3"/>
          <order val="3"/>
          <tx>
            <strRef>
              <f>'Cartões'!A20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'Cartões'!$B$20:$M$20</f>
            </numRef>
          </val>
        </ser>
        <ser>
          <idx val="4"/>
          <order val="4"/>
          <tx>
            <strRef>
              <f>'Cartões'!A21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'Cartões'!$B$21:$M$21</f>
            </numRef>
          </val>
        </ser>
        <ser>
          <idx val="5"/>
          <order val="5"/>
          <tx>
            <strRef>
              <f>'Cartões'!A22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'Cartões'!$B$22:$M$22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dia do mês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'Dia a dia'!E10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'Dia a dia'!$A$11:$A$41</f>
            </numRef>
          </cat>
          <val>
            <numRef>
              <f>'Dia a dia'!$E$11:$E$41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do mês e caixa projetado</a:t>
            </a:r>
          </a:p>
        </rich>
      </tx>
      <overlay val="0"/>
    </title>
    <plotArea>
      <lineChart>
        <grouping val="standard"/>
        <ser>
          <idx val="0"/>
          <order val="0"/>
          <tx>
            <v>Saldo do mês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'Recorrentes'!$B$12:$M$12</f>
            </numRef>
          </cat>
          <val>
            <numRef>
              <f>'Recorrentes'!$B$10:$M$10</f>
            </numRef>
          </val>
          <smooth val="0"/>
        </ser>
        <ser>
          <idx val="1"/>
          <order val="1"/>
          <tx>
            <v>Caixa projetado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'Recorrentes'!$B$12:$M$12</f>
            </numRef>
          </cat>
          <val>
            <numRef>
              <f>'Recorrentes'!$B$11:$M$11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devedor ao longo do tempo</a:t>
            </a:r>
          </a:p>
        </rich>
      </tx>
      <overlay val="0"/>
    </title>
    <plotArea>
      <lineChart>
        <grouping val="standard"/>
        <ser>
          <idx val="0"/>
          <order val="0"/>
          <tx>
            <v>Bola de neve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'Dívidas'!$E$48:$E$107</f>
            </numRef>
          </val>
          <smooth val="0"/>
        </ser>
        <ser>
          <idx val="1"/>
          <order val="1"/>
          <tx>
            <v>Avalanche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'Dívidas'!$H$48:$H$107</f>
            </numRef>
          </val>
          <smooth val="0"/>
        </ser>
        <ser>
          <idx val="2"/>
          <order val="2"/>
          <tx>
            <v>Só o mínimo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'Dívidas'!$K$48:$K$107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6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Alocação: atual x alvo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'Investimentos'!C34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'Investimentos'!$A$35:$A$40</f>
            </numRef>
          </cat>
          <val>
            <numRef>
              <f>'Investimentos'!$C$35:$C$40</f>
            </numRef>
          </val>
        </ser>
        <ser>
          <idx val="1"/>
          <order val="1"/>
          <tx>
            <strRef>
              <f>'Investimentos'!D34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'Investimentos'!$A$35:$A$40</f>
            </numRef>
          </cat>
          <val>
            <numRef>
              <f>'Investimentos'!$D$35:$D$40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patrimônio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'Investimentos'!B80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'Investimentos'!$B$81:$B$104</f>
            </numRef>
          </val>
        </ser>
        <ser>
          <idx val="1"/>
          <order val="1"/>
          <tx>
            <strRef>
              <f>'Investimentos'!C80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'Investimentos'!$C$81:$C$104</f>
            </numRef>
          </val>
        </ser>
        <ser>
          <idx val="2"/>
          <order val="2"/>
          <tx>
            <strRef>
              <f>'Investimentos'!D80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'Investimentos'!$D$81:$D$104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2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Juros compostos: saldo x total aportado</a:t>
            </a:r>
          </a:p>
        </rich>
      </tx>
      <overlay val="0"/>
    </title>
    <plotArea>
      <lineChart>
        <grouping val="standard"/>
        <ser>
          <idx val="0"/>
          <order val="0"/>
          <tx>
            <v>Saldo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'Simuladores'!$E$6:$E$35</f>
            </numRef>
          </cat>
          <val>
            <numRef>
              <f>'Simuladores'!$F$6:$F$35</f>
            </numRef>
          </val>
          <smooth val="0"/>
        </ser>
        <ser>
          <idx val="1"/>
          <order val="1"/>
          <tx>
            <v>Total aportado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'Simuladores'!$E$6:$E$35</f>
            </numRef>
          </cat>
          <val>
            <numRef>
              <f>'Simuladores'!$G$6:$G$35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Theros</author>
  </authors>
  <commentList>
    <comment ref="B5" authorId="0" shapeId="0">
      <text>
        <t>O ano em que você começa a lançar. As projeções cobrem 5 anos a partir dele.</t>
      </text>
    </comment>
    <comment ref="B6" authorId="0" shapeId="0">
      <text>
        <t>Opcional.</t>
      </text>
    </comment>
    <comment ref="B7" authorId="0" shapeId="0">
      <text>
        <t>Usado em Metas, Reserva e Simuladores. Ex.: CDI de ~10,5% ao ano.</t>
      </text>
    </comment>
    <comment ref="B8" authorId="0" shapeId="0">
      <text>
        <t>Usada para trazer valores futuros a valor presente.</t>
      </text>
    </comment>
    <comment ref="B10" authorId="0" shapeId="0">
      <text>
        <t>No exemplo a data é fixa (18/12/2025). Na planilha em branco, a fórmula =HOJE() atualiza sozinha.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_rels/drawing2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1.xml" Id="rId1"/><Relationship Type="http://schemas.openxmlformats.org/officeDocument/2006/relationships/chart" Target="/xl/charts/chart12.xml" Id="rId2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540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29</row>
      <rowOff>0</rowOff>
    </from>
    <ext cx="540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45</row>
      <rowOff>0</rowOff>
    </from>
    <ext cx="5400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45</row>
      <rowOff>0</rowOff>
    </from>
    <ext cx="5400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61</row>
      <rowOff>0</rowOff>
    </from>
    <ext cx="5400000" cy="2736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7</col>
      <colOff>0</colOff>
      <row>61</row>
      <rowOff>0</rowOff>
    </from>
    <ext cx="5400000" cy="2736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26</row>
      <rowOff>0</rowOff>
    </from>
    <ext cx="86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22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15</row>
      <rowOff>0</rowOff>
    </from>
    <ext cx="86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2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8</col>
      <colOff>0</colOff>
      <row>31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78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rosapp.com/controle-financeiro?utm_source=planilha&amp;utm_medium=xlsx&amp;utm_campaign=download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8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19.xml.rels><Relationships xmlns="http://schemas.openxmlformats.org/package/2006/relationships"><Relationship Type="http://schemas.openxmlformats.org/officeDocument/2006/relationships/hyperlink" Target="mailto:rafaelfurlan@lunanexgen.com?subject=Feedback%20da%20planilha%20de%20controle%20financeiro" TargetMode="External" Id="rId1"/><Relationship Type="http://schemas.openxmlformats.org/officeDocument/2006/relationships/hyperlink" Target="https://therosapp.com/controle-financeiro?utm_source=planilha&amp;utm_medium=xlsx&amp;utm_campaign=download" TargetMode="External" Id="rId2"/></Relationships>
</file>

<file path=xl/worksheets/sheet1.xml><?xml version="1.0" encoding="utf-8"?>
<worksheet xmlns="http://schemas.openxmlformats.org/spreadsheetml/2006/main">
  <sheetPr>
    <tabColor rgb="00FF6B2B"/>
    <outlinePr summaryBelow="1" summaryRight="1"/>
    <pageSetUpPr fitToPage="1"/>
  </sheetPr>
  <dimension ref="B1:I5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3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2" customWidth="1" min="10" max="10"/>
  </cols>
  <sheetData>
    <row r="1" ht="44" customHeight="1">
      <c r="B1" s="1" t="inlineStr">
        <is>
          <t>Planilha de controle financeiro pessoal</t>
        </is>
      </c>
      <c r="C1" s="2" t="n"/>
      <c r="D1" s="2" t="n"/>
      <c r="E1" s="2" t="n"/>
      <c r="F1" s="2" t="n"/>
      <c r="G1" s="2" t="n"/>
      <c r="H1" s="2" t="n"/>
      <c r="I1" s="2" t="n"/>
    </row>
    <row r="2">
      <c r="B2" s="3" t="inlineStr">
        <is>
          <t>Gratuita · feita para Excel, Google Planilhas, Numbers e LibreOffice · feita pelo Theros · versão 2.0 (com dados de exemplo)</t>
        </is>
      </c>
    </row>
    <row r="3" ht="32" customHeight="1">
      <c r="B3" s="4" t="inlineStr">
        <is>
          <t>ATENÇÃO: esta é a versão de EXEMPLO, com dados fictícios de 2025 para você ver tudo funcionando. Para usar de verdade, baixe a versão em branco em https://therosapp.com/planilha-de-controle-financeiro</t>
        </is>
      </c>
    </row>
    <row r="5">
      <c r="B5" s="5" t="inlineStr">
        <is>
          <t>Comece em 5 passos (leva uns 10 minutos)</t>
        </is>
      </c>
    </row>
    <row r="6" ht="40" customHeight="1">
      <c r="B6" s="6" t="n">
        <v>1</v>
      </c>
      <c r="C6" s="7" t="inlineStr">
        <is>
          <t>Configure</t>
        </is>
      </c>
      <c r="D6" s="8" t="inlineStr">
        <is>
          <t>Em Configurações, coloque o seu nome, o ano inicial e confira as categorias (você pode renomear ou criar novas nas linhas vazias).</t>
        </is>
      </c>
      <c r="E6" s="9" t="n"/>
      <c r="F6" s="9" t="n"/>
      <c r="G6" s="9" t="n"/>
      <c r="H6" s="9" t="n"/>
      <c r="I6" s="10" t="inlineStr">
        <is>
          <t>Ir para a aba</t>
        </is>
      </c>
    </row>
    <row r="7" ht="40" customHeight="1">
      <c r="B7" s="6" t="n">
        <v>2</v>
      </c>
      <c r="C7" s="7" t="inlineStr">
        <is>
          <t>Cadastre contas e cartões</t>
        </is>
      </c>
      <c r="D7" s="8" t="inlineStr">
        <is>
          <t>Em Contas, informe cada conta e o saldo de hoje. Em Cartões, o limite e os dias de fechamento e vencimento.</t>
        </is>
      </c>
      <c r="E7" s="9" t="n"/>
      <c r="F7" s="9" t="n"/>
      <c r="G7" s="9" t="n"/>
      <c r="H7" s="9" t="n"/>
      <c r="I7" s="10" t="inlineStr">
        <is>
          <t>Ir para a aba</t>
        </is>
      </c>
    </row>
    <row r="8" ht="40" customHeight="1">
      <c r="B8" s="6" t="n">
        <v>3</v>
      </c>
      <c r="C8" s="7" t="inlineStr">
        <is>
          <t>Lance as movimentações</t>
        </is>
      </c>
      <c r="D8" s="8" t="inlineStr">
        <is>
          <t>Em Lançamentos, uma linha por receita, despesa ou valor guardado. Compras parceladas no cartão vão uma vez só em Parcelados.</t>
        </is>
      </c>
      <c r="E8" s="9" t="n"/>
      <c r="F8" s="9" t="n"/>
      <c r="G8" s="9" t="n"/>
      <c r="H8" s="9" t="n"/>
      <c r="I8" s="10" t="inlineStr">
        <is>
          <t>Ir para a aba</t>
        </is>
      </c>
    </row>
    <row r="9" ht="40" customHeight="1">
      <c r="B9" s="6" t="n">
        <v>4</v>
      </c>
      <c r="C9" s="7" t="inlineStr">
        <is>
          <t>Defina orçamento, metas e reserva</t>
        </is>
      </c>
      <c r="D9" s="8" t="inlineStr">
        <is>
          <t>Em Orçamento escolha um atalho (50/30/20 ou base zero). Em Metas e Reserva diga quanto quer juntar e até quando.</t>
        </is>
      </c>
      <c r="E9" s="9" t="n"/>
      <c r="F9" s="9" t="n"/>
      <c r="G9" s="9" t="n"/>
      <c r="H9" s="9" t="n"/>
      <c r="I9" s="10" t="inlineStr">
        <is>
          <t>Ir para a aba</t>
        </is>
      </c>
    </row>
    <row r="10" ht="40" customHeight="1">
      <c r="B10" s="6" t="n">
        <v>5</v>
      </c>
      <c r="C10" s="7" t="inlineStr">
        <is>
          <t>Acompanhe no Painel</t>
        </is>
      </c>
      <c r="D10" s="8" t="inlineStr">
        <is>
          <t>O Painel mostra o mês, a nota de saúde financeira, os gráficos e os destaques. Troque ano e mês nas células amarelas do topo.</t>
        </is>
      </c>
      <c r="E10" s="9" t="n"/>
      <c r="F10" s="9" t="n"/>
      <c r="G10" s="9" t="n"/>
      <c r="H10" s="9" t="n"/>
      <c r="I10" s="10" t="inlineStr">
        <is>
          <t>Ir para a aba</t>
        </is>
      </c>
    </row>
    <row r="12">
      <c r="B12" s="5" t="inlineStr">
        <is>
          <t>Legenda de cores</t>
        </is>
      </c>
    </row>
    <row r="13" ht="22" customHeight="1">
      <c r="B13" s="11" t="n"/>
      <c r="C13" s="12" t="inlineStr">
        <is>
          <t>Amarelo: você preenche</t>
        </is>
      </c>
      <c r="E13" s="13" t="inlineStr">
        <is>
          <t>Digite aqui. É onde ficam seus dados.</t>
        </is>
      </c>
    </row>
    <row r="14" ht="22" customHeight="1">
      <c r="B14" s="14" t="n"/>
      <c r="C14" s="12" t="inlineStr">
        <is>
          <t>Cinza: automático</t>
        </is>
      </c>
      <c r="E14" s="13" t="inlineStr">
        <is>
          <t>Fórmulas. Não digite por cima (se apagar sem querer, Ctrl+Z).</t>
        </is>
      </c>
    </row>
    <row r="15" ht="22" customHeight="1">
      <c r="B15" s="15" t="n"/>
      <c r="C15" s="12" t="inlineStr">
        <is>
          <t>Verde-escuro: cabeçalhos</t>
        </is>
      </c>
      <c r="E15" s="13" t="inlineStr">
        <is>
          <t>Títulos de colunas e seções.</t>
        </is>
      </c>
    </row>
    <row r="16" ht="22" customHeight="1">
      <c r="B16" s="16" t="n"/>
      <c r="C16" s="12" t="inlineStr">
        <is>
          <t>Pêssego: totais</t>
        </is>
      </c>
      <c r="E16" s="13" t="inlineStr">
        <is>
          <t>Somas e resultados principais.</t>
        </is>
      </c>
    </row>
    <row r="17" ht="22" customHeight="1">
      <c r="B17" s="17" t="n"/>
      <c r="C17" s="12" t="inlineStr">
        <is>
          <t>Verde-claro: dentro do plano</t>
        </is>
      </c>
      <c r="E17" s="13" t="inlineStr">
        <is>
          <t>Meta atingida ou dentro do orçamento.</t>
        </is>
      </c>
    </row>
    <row r="18" ht="22" customHeight="1">
      <c r="B18" s="18" t="n"/>
      <c r="C18" s="12" t="inlineStr">
        <is>
          <t>Rosa: atenção</t>
        </is>
      </c>
      <c r="E18" s="13" t="inlineStr">
        <is>
          <t>Estourou, atrasou ou precisa de correção.</t>
        </is>
      </c>
    </row>
    <row r="20">
      <c r="B20" s="5" t="inlineStr">
        <is>
          <t>O que cada aba faz</t>
        </is>
      </c>
    </row>
    <row r="21" ht="22" customHeight="1">
      <c r="B21" s="19" t="inlineStr">
        <is>
          <t>Painel</t>
        </is>
      </c>
      <c r="D21" s="20" t="inlineStr">
        <is>
          <t>Visão do mês: receitas, despesas, saldo, patrimônio, reserva, nota de saúde financeira, 6 gráficos e destaques.</t>
        </is>
      </c>
    </row>
    <row r="22" ht="22" customHeight="1">
      <c r="B22" s="19" t="inlineStr">
        <is>
          <t>Lançamentos</t>
        </is>
      </c>
      <c r="D22" s="20" t="inlineStr">
        <is>
          <t>Onde você registra tudo (até 5.000 linhas). Tipo e grupo aparecem sozinhos pela categoria.</t>
        </is>
      </c>
    </row>
    <row r="23" ht="22" customHeight="1">
      <c r="B23" s="19" t="inlineStr">
        <is>
          <t>Contas</t>
        </is>
      </c>
      <c r="D23" s="20" t="inlineStr">
        <is>
          <t>Saldo inicial e saldo atual de cada conta; transferências e aportes entre elas.</t>
        </is>
      </c>
    </row>
    <row r="24" ht="22" customHeight="1">
      <c r="B24" s="19" t="inlineStr">
        <is>
          <t>Cartões</t>
        </is>
      </c>
      <c r="D24" s="20" t="inlineStr">
        <is>
          <t>Fatura do mês, % do limite usado e parcelas já comprometidas nos próximos 12 meses.</t>
        </is>
      </c>
    </row>
    <row r="25" ht="22" customHeight="1">
      <c r="B25" s="19" t="inlineStr">
        <is>
          <t>Parcelados</t>
        </is>
      </c>
      <c r="D25" s="20" t="inlineStr">
        <is>
          <t>Cadastro das compras parceladas: a planilha espalha as parcelas pelos meses sozinha.</t>
        </is>
      </c>
    </row>
    <row r="26" ht="22" customHeight="1">
      <c r="B26" s="19" t="inlineStr">
        <is>
          <t>Orçamento</t>
        </is>
      </c>
      <c r="D26" s="20" t="inlineStr">
        <is>
          <t>Planejado x realizado por categoria e mês, com atalhos 50/30/20 e base zero.</t>
        </is>
      </c>
    </row>
    <row r="27" ht="22" customHeight="1">
      <c r="B27" s="19" t="inlineStr">
        <is>
          <t>Fluxo anual</t>
        </is>
      </c>
      <c r="D27" s="20" t="inlineStr">
        <is>
          <t>Receitas, despesas e saldo mês a mês, mapa de calor e melhor e pior mês.</t>
        </is>
      </c>
    </row>
    <row r="28" ht="22" customHeight="1">
      <c r="B28" s="19" t="inlineStr">
        <is>
          <t>Dia a dia</t>
        </is>
      </c>
      <c r="D28" s="20" t="inlineStr">
        <is>
          <t>Calendário do mês, quanto pode gastar por dia e os 10 maiores gastos.</t>
        </is>
      </c>
    </row>
    <row r="29" ht="22" customHeight="1">
      <c r="B29" s="19" t="inlineStr">
        <is>
          <t>Recorrentes</t>
        </is>
      </c>
      <c r="D29" s="20" t="inlineStr">
        <is>
          <t>Contas fixas e previsão de caixa dos próximos 12 meses.</t>
        </is>
      </c>
    </row>
    <row r="30" ht="22" customHeight="1">
      <c r="B30" s="19" t="inlineStr">
        <is>
          <t>Metas</t>
        </is>
      </c>
      <c r="D30" s="20" t="inlineStr">
        <is>
          <t>Valor-alvo, prazo, aporte necessário (PMT) e data de conclusão (NPER).</t>
        </is>
      </c>
    </row>
    <row r="31" ht="22" customHeight="1">
      <c r="B31" s="19" t="inlineStr">
        <is>
          <t>Reserva</t>
        </is>
      </c>
      <c r="D31" s="20" t="inlineStr">
        <is>
          <t>Quantos meses de gastos essenciais você tem guardados e quanto falta.</t>
        </is>
      </c>
    </row>
    <row r="32" ht="22" customHeight="1">
      <c r="B32" s="19" t="inlineStr">
        <is>
          <t>Dívidas</t>
        </is>
      </c>
      <c r="D32" s="20" t="inlineStr">
        <is>
          <t>Bola de neve x avalanche x só o mínimo, com cronograma de 60 meses.</t>
        </is>
      </c>
    </row>
    <row r="33" ht="22" customHeight="1">
      <c r="B33" s="19" t="inlineStr">
        <is>
          <t>Investimentos</t>
        </is>
      </c>
      <c r="D33" s="20" t="inlineStr">
        <is>
          <t>Carteira por classe, alocação x alvo e patrimônio líquido com histórico.</t>
        </is>
      </c>
    </row>
    <row r="34" ht="22" customHeight="1">
      <c r="B34" s="19" t="inlineStr">
        <is>
          <t>Contas a pagar</t>
        </is>
      </c>
      <c r="D34" s="20" t="inlineStr">
        <is>
          <t>Vencimentos, atrasos e os próximos 5 a vencer.</t>
        </is>
      </c>
    </row>
    <row r="35" ht="22" customHeight="1">
      <c r="B35" s="19" t="inlineStr">
        <is>
          <t>Assinaturas</t>
        </is>
      </c>
      <c r="D35" s="20" t="inlineStr">
        <is>
          <t>Quanto gasta por mês e por ano e quando cada uma renova.</t>
        </is>
      </c>
    </row>
    <row r="36" ht="22" customHeight="1">
      <c r="B36" s="19" t="inlineStr">
        <is>
          <t>Simuladores</t>
        </is>
      </c>
      <c r="D36" s="20" t="inlineStr">
        <is>
          <t>Juros compostos, independência financeira (25x) e custo de um hábito.</t>
        </is>
      </c>
    </row>
    <row r="37" ht="22" customHeight="1">
      <c r="B37" s="19" t="inlineStr">
        <is>
          <t>Configurações</t>
        </is>
      </c>
      <c r="D37" s="20" t="inlineStr">
        <is>
          <t>Categorias, premissas e listas. Aqui você personaliza a planilha.</t>
        </is>
      </c>
    </row>
    <row r="39">
      <c r="B39" s="5" t="inlineStr">
        <is>
          <t>Dicas rápidas</t>
        </is>
      </c>
    </row>
    <row r="40" ht="32" customHeight="1">
      <c r="B40" s="21" t="inlineStr">
        <is>
          <t>• Digite os valores sempre POSITIVOS. É a categoria que define se é receita, despesa ou valor guardado.</t>
        </is>
      </c>
    </row>
    <row r="41" ht="32" customHeight="1">
      <c r="B41" s="21" t="inlineStr">
        <is>
          <t>• Lançamentos com status Pendente contam no mês (visão por competência), mas não mexem no saldo da conta nem em "Contas a pagar" até você marcar Pago.</t>
        </is>
      </c>
    </row>
    <row r="42" ht="32" customHeight="1">
      <c r="B42" s="21" t="inlineStr">
        <is>
          <t>• Compra no cartão: preencha a coluna Cartão e deixe a Conta em branco. Ao pagar a fatura, lance "Pagamento de fatura" na conta de onde saiu o dinheiro.</t>
        </is>
      </c>
    </row>
    <row r="43" ht="32" customHeight="1">
      <c r="B43" s="21" t="inlineStr">
        <is>
          <t>• Compra parcelada: registre uma vez em Parcelados, não em Lançamentos. Parcelas entram nas despesas do mês da fatura.</t>
        </is>
      </c>
    </row>
    <row r="44" ht="32" customHeight="1">
      <c r="B44" s="21" t="inlineStr">
        <is>
          <t>• Renomeou uma categoria já usada? Troque o nome também nos lançamentos antigos (Ctrl+H) ou eles viram "Sem categoria".</t>
        </is>
      </c>
    </row>
    <row r="45" ht="32" customHeight="1">
      <c r="B45" s="21" t="inlineStr">
        <is>
          <t>• Google Planilhas: Arquivo &gt; Importar &gt; Fazer upload &gt; Substituir planilha. Numbers e LibreOffice abrem direto. Gráficos e barras podem ficar um pouco diferentes.</t>
        </is>
      </c>
    </row>
    <row r="46" ht="32" customHeight="1">
      <c r="B46" s="21" t="inlineStr">
        <is>
          <t>• Faça uma cópia de segurança (Salvar como) no começo de cada mês. As fórmulas leem até a linha 5.005 de Lançamentos.</t>
        </is>
      </c>
    </row>
    <row r="48" ht="30" customHeight="1">
      <c r="B48" s="22" t="inlineStr">
        <is>
          <t>Cansou de digitar? O Theros registra por texto, voz ou foto da nota, acompanha cartões e orçamento e responde no WhatsApp. O plano Free é grátis para sempre.</t>
        </is>
      </c>
    </row>
    <row r="49">
      <c r="B49" s="19" t="inlineStr">
        <is>
          <t>https://therosapp.com/controle-financeiro?utm_source=planilha&amp;utm_medium=xlsx&amp;utm_campaign=download</t>
        </is>
      </c>
    </row>
    <row r="51" ht="28" customHeight="1">
      <c r="B51" s="23" t="inlineStr">
        <is>
          <t>Esta planilha é uma ferramenta de organização e não substitui orientação financeira, contábil ou jurídica profissional. Simulações são estimativas, não promessas de rentabilidade.</t>
        </is>
      </c>
    </row>
  </sheetData>
  <mergeCells count="64">
    <mergeCell ref="D27:I27"/>
    <mergeCell ref="B25:C25"/>
    <mergeCell ref="C15:D15"/>
    <mergeCell ref="D10:H10"/>
    <mergeCell ref="D32:I32"/>
    <mergeCell ref="B3:I3"/>
    <mergeCell ref="C14:D14"/>
    <mergeCell ref="B22:C22"/>
    <mergeCell ref="B31:C31"/>
    <mergeCell ref="B27:C27"/>
    <mergeCell ref="E14:I14"/>
    <mergeCell ref="B46:I46"/>
    <mergeCell ref="E17:I17"/>
    <mergeCell ref="B43:I43"/>
    <mergeCell ref="B21:C21"/>
    <mergeCell ref="D6:H6"/>
    <mergeCell ref="B48:I48"/>
    <mergeCell ref="C16:D16"/>
    <mergeCell ref="D28:I28"/>
    <mergeCell ref="B2:I2"/>
    <mergeCell ref="D37:I37"/>
    <mergeCell ref="B23:C23"/>
    <mergeCell ref="E13:I13"/>
    <mergeCell ref="B42:I42"/>
    <mergeCell ref="B1:I1"/>
    <mergeCell ref="D30:I30"/>
    <mergeCell ref="D25:I25"/>
    <mergeCell ref="D33:I33"/>
    <mergeCell ref="D7:H7"/>
    <mergeCell ref="D24:I24"/>
    <mergeCell ref="E15:I15"/>
    <mergeCell ref="B29:C29"/>
    <mergeCell ref="B44:I44"/>
    <mergeCell ref="D29:I29"/>
    <mergeCell ref="D23:I23"/>
    <mergeCell ref="B34:C34"/>
    <mergeCell ref="B37:C37"/>
    <mergeCell ref="B28:C28"/>
    <mergeCell ref="D35:I35"/>
    <mergeCell ref="D26:I26"/>
    <mergeCell ref="C17:D17"/>
    <mergeCell ref="B49:I49"/>
    <mergeCell ref="D9:H9"/>
    <mergeCell ref="B40:I40"/>
    <mergeCell ref="D34:I34"/>
    <mergeCell ref="B24:C24"/>
    <mergeCell ref="D8:H8"/>
    <mergeCell ref="B30:C30"/>
    <mergeCell ref="B26:C26"/>
    <mergeCell ref="B33:C33"/>
    <mergeCell ref="B45:I45"/>
    <mergeCell ref="E16:I16"/>
    <mergeCell ref="D22:I22"/>
    <mergeCell ref="B51:I51"/>
    <mergeCell ref="D31:I31"/>
    <mergeCell ref="B36:C36"/>
    <mergeCell ref="B32:C32"/>
    <mergeCell ref="C13:D13"/>
    <mergeCell ref="D36:I36"/>
    <mergeCell ref="C18:D18"/>
    <mergeCell ref="B41:I41"/>
    <mergeCell ref="B35:C35"/>
    <mergeCell ref="D21:I21"/>
    <mergeCell ref="E18:I18"/>
  </mergeCells>
  <hyperlinks>
    <hyperlink ref="I6" location="'Configurações'!A1" display="Ir para a aba"/>
    <hyperlink ref="I7" location="'Contas'!A1" display="Ir para a aba"/>
    <hyperlink ref="I8" location="'Lançamentos'!A1" display="Ir para a aba"/>
    <hyperlink ref="I9" location="'Orçamento'!A1" display="Ir para a aba"/>
    <hyperlink ref="I10" location="'Painel'!A1" display="Ir para a aba"/>
    <hyperlink ref="B21" location="'Painel'!A1" display="Painel"/>
    <hyperlink ref="B22" location="'Lançamentos'!A1" display="Lançamentos"/>
    <hyperlink ref="B23" location="'Contas'!A1" display="Contas"/>
    <hyperlink ref="B24" location="'Cartões'!A1" display="Cartões"/>
    <hyperlink ref="B25" location="'Parcelados'!A1" display="Parcelados"/>
    <hyperlink ref="B26" location="'Orçamento'!A1" display="Orçamento"/>
    <hyperlink ref="B27" location="'Fluxo anual'!A1" display="Fluxo anual"/>
    <hyperlink ref="B28" location="'Dia a dia'!A1" display="Dia a dia"/>
    <hyperlink ref="B29" location="'Recorrentes'!A1" display="Recorrentes"/>
    <hyperlink ref="B30" location="'Metas'!A1" display="Metas"/>
    <hyperlink ref="B31" location="'Reserva'!A1" display="Reserva"/>
    <hyperlink ref="B32" location="'Dívidas'!A1" display="Dívidas"/>
    <hyperlink ref="B33" location="'Investimentos'!A1" display="Investimentos"/>
    <hyperlink ref="B34" location="'Contas a pagar'!A1" display="Contas a pagar"/>
    <hyperlink ref="B35" location="'Assinaturas'!A1" display="Assinaturas"/>
    <hyperlink ref="B36" location="'Simuladores'!A1" display="Simuladores"/>
    <hyperlink ref="B37" location="'Configurações'!A1" display="Configurações"/>
    <hyperlink xmlns:r="http://schemas.openxmlformats.org/officeDocument/2006/relationships" ref="B49" r:id="rId1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F6B2B"/>
    <outlinePr summaryBelow="1" summaryRight="1"/>
    <pageSetUpPr fitToPage="1"/>
  </sheetPr>
  <dimension ref="B1:U85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2" customWidth="1" min="14" max="14"/>
    <col width="4" customWidth="1" min="15" max="15"/>
    <col width="3" customWidth="1" min="16" max="16"/>
    <col width="30" customWidth="1" min="17" max="17"/>
    <col width="14" customWidth="1" min="18" max="18"/>
    <col width="14" customWidth="1" min="19" max="19"/>
    <col width="14" customWidth="1" min="20" max="20"/>
    <col width="9" customWidth="1" min="21" max="21"/>
  </cols>
  <sheetData>
    <row r="1" ht="38" customHeight="1">
      <c r="B1" s="24" t="inlineStr">
        <is>
          <t>Painel financeiro</t>
        </is>
      </c>
      <c r="C1" s="2" t="n"/>
      <c r="D1" s="2" t="n"/>
      <c r="E1" s="2" t="n"/>
      <c r="F1" s="2" t="n"/>
      <c r="G1" s="2" t="n"/>
      <c r="H1" s="2" t="n"/>
      <c r="I1" s="2" t="n"/>
      <c r="J1" s="25">
        <f>IF(NOME="","Theros","Olá, "&amp;NOME)</f>
        <v/>
      </c>
      <c r="K1" s="2" t="n"/>
      <c r="L1" s="2" t="n"/>
      <c r="M1" s="2" t="n"/>
    </row>
    <row r="2">
      <c r="B2" s="26">
        <f>"Período analisado: "&amp;PERIODO&amp;"   ·   "&amp;COUNT(L_VALOR)&amp;" lançamentos registrados   ·   dados dos Lançamentos, Cartões, Contas, Metas e Dívidas"</f>
        <v/>
      </c>
    </row>
    <row r="3">
      <c r="Q3" s="27" t="inlineStr">
        <is>
          <t>Dados auxiliares dos gráficos (não edite)</t>
        </is>
      </c>
    </row>
    <row r="4">
      <c r="B4" s="28" t="inlineStr">
        <is>
          <t>Ano</t>
        </is>
      </c>
      <c r="C4" s="29" t="inlineStr">
        <is>
          <t>Automático</t>
        </is>
      </c>
      <c r="E4" s="28" t="inlineStr">
        <is>
          <t>Mês</t>
        </is>
      </c>
      <c r="F4" s="29" t="inlineStr">
        <is>
          <t>Automático</t>
        </is>
      </c>
      <c r="H4" s="30" t="inlineStr">
        <is>
          <t>Automático = ano e mês do último lançamento. Troque para comparar outro período.</t>
        </is>
      </c>
    </row>
    <row r="5">
      <c r="Q5" s="31" t="inlineStr">
        <is>
          <t>Categoria</t>
        </is>
      </c>
      <c r="R5" s="31" t="inlineStr">
        <is>
          <t>Realizado (R$)</t>
        </is>
      </c>
      <c r="S5" s="31" t="inlineStr">
        <is>
          <t>Planejado (R$)</t>
        </is>
      </c>
      <c r="T5" s="31" t="inlineStr">
        <is>
          <t>chave</t>
        </is>
      </c>
      <c r="U5" s="31" t="inlineStr">
        <is>
          <t>índice</t>
        </is>
      </c>
    </row>
    <row r="6" ht="18" customHeight="1">
      <c r="B6" s="32" t="inlineStr">
        <is>
          <t>RECEITAS DO MÊS</t>
        </is>
      </c>
      <c r="C6" s="33" t="n"/>
      <c r="D6" s="33" t="n"/>
      <c r="E6" s="32" t="inlineStr">
        <is>
          <t>DESPESAS DO MÊS</t>
        </is>
      </c>
      <c r="F6" s="33" t="n"/>
      <c r="G6" s="33" t="n"/>
      <c r="H6" s="32" t="inlineStr">
        <is>
          <t>SALDO DO MÊS</t>
        </is>
      </c>
      <c r="I6" s="33" t="n"/>
      <c r="J6" s="33" t="n"/>
      <c r="K6" s="32" t="inlineStr">
        <is>
          <t>TAXA DE POUPANÇA</t>
        </is>
      </c>
      <c r="L6" s="33" t="n"/>
      <c r="M6" s="33" t="n"/>
      <c r="Q6" s="34">
        <f>IF(U6="","",INDEX(ORC_CAT_MES,U6))</f>
        <v/>
      </c>
      <c r="R6" s="35">
        <f>IF(U6="",0,ROUND(T6,2))</f>
        <v/>
      </c>
      <c r="S6" s="35">
        <f>IF(U6="",0,N(INDEX(ORC_PLAN_COL,U6)))</f>
        <v/>
      </c>
      <c r="T6" s="36">
        <f>IFERROR(LARGE(ORC_AUX_TOP,1),"")</f>
        <v/>
      </c>
      <c r="U6" s="37">
        <f>IF(T6="","",ROUND((T6-ROUND(T6,2))*10000000,0)-18)</f>
        <v/>
      </c>
    </row>
    <row r="7" ht="32" customHeight="1">
      <c r="B7" s="38">
        <f>INDEX(FLUXO_RECEITAS,MES_SEL)</f>
        <v/>
      </c>
      <c r="C7" s="33" t="n"/>
      <c r="D7" s="33" t="n"/>
      <c r="E7" s="38">
        <f>INDEX(FLUXO_DESPESAS,MES_SEL)</f>
        <v/>
      </c>
      <c r="F7" s="33" t="n"/>
      <c r="G7" s="33" t="n"/>
      <c r="H7" s="38">
        <f>B7-E7</f>
        <v/>
      </c>
      <c r="I7" s="33" t="n"/>
      <c r="J7" s="33" t="n"/>
      <c r="K7" s="39">
        <f>IF(B7=0,"",H7/B7)</f>
        <v/>
      </c>
      <c r="L7" s="33" t="n"/>
      <c r="M7" s="33" t="n"/>
      <c r="Q7" s="34">
        <f>IF(U7="","",INDEX(ORC_CAT_MES,U7))</f>
        <v/>
      </c>
      <c r="R7" s="35">
        <f>IF(U7="",0,ROUND(T7,2))</f>
        <v/>
      </c>
      <c r="S7" s="35">
        <f>IF(U7="",0,N(INDEX(ORC_PLAN_COL,U7)))</f>
        <v/>
      </c>
      <c r="T7" s="36">
        <f>IFERROR(LARGE(ORC_AUX_TOP,2),"")</f>
        <v/>
      </c>
      <c r="U7" s="37">
        <f>IF(T7="","",ROUND((T7-ROUND(T7,2))*10000000,0)-18)</f>
        <v/>
      </c>
    </row>
    <row r="8" ht="18" customHeight="1">
      <c r="B8" s="40">
        <f>IF(OR(MES_SEL=1,INDEX(FLUXO_RECEITAS,MAX(1,MES_SEL-1))=0),"",IF(B7&gt;=INDEX(FLUXO_RECEITAS,MAX(1,MES_SEL-1)),"▲ ","▼ ")&amp;ROUND(ABS(B7/INDEX(FLUXO_RECEITAS,MAX(1,MES_SEL-1))-1)*100,1)&amp;"% vs. mês anterior")</f>
        <v/>
      </c>
      <c r="C8" s="33" t="n"/>
      <c r="D8" s="33" t="n"/>
      <c r="E8" s="40">
        <f>IF(OR(MES_SEL=1,INDEX(FLUXO_DESPESAS,MAX(1,MES_SEL-1))=0),"",IF(E7&gt;=INDEX(FLUXO_DESPESAS,MAX(1,MES_SEL-1)),"▲ ","▼ ")&amp;ROUND(ABS(E7/INDEX(FLUXO_DESPESAS,MAX(1,MES_SEL-1))-1)*100,1)&amp;"% vs. mês anterior")</f>
        <v/>
      </c>
      <c r="F8" s="33" t="n"/>
      <c r="G8" s="33" t="n"/>
      <c r="H8" s="40">
        <f>IF(B7=0,"","sobra de "&amp;ROUND(H7/B7*100,1)&amp;"% da renda")</f>
        <v/>
      </c>
      <c r="I8" s="33" t="n"/>
      <c r="J8" s="33" t="n"/>
      <c r="K8" s="40" t="inlineStr">
        <is>
          <t>meta: guardar 20% da renda</t>
        </is>
      </c>
      <c r="L8" s="33" t="n"/>
      <c r="M8" s="33" t="n"/>
      <c r="Q8" s="34">
        <f>IF(U8="","",INDEX(ORC_CAT_MES,U8))</f>
        <v/>
      </c>
      <c r="R8" s="35">
        <f>IF(U8="",0,ROUND(T8,2))</f>
        <v/>
      </c>
      <c r="S8" s="35">
        <f>IF(U8="",0,N(INDEX(ORC_PLAN_COL,U8)))</f>
        <v/>
      </c>
      <c r="T8" s="36">
        <f>IFERROR(LARGE(ORC_AUX_TOP,3),"")</f>
        <v/>
      </c>
      <c r="U8" s="37">
        <f>IF(T8="","",ROUND((T8-ROUND(T8,2))*10000000,0)-18)</f>
        <v/>
      </c>
    </row>
    <row r="9">
      <c r="Q9" s="34">
        <f>IF(U9="","",INDEX(ORC_CAT_MES,U9))</f>
        <v/>
      </c>
      <c r="R9" s="35">
        <f>IF(U9="",0,ROUND(T9,2))</f>
        <v/>
      </c>
      <c r="S9" s="35">
        <f>IF(U9="",0,N(INDEX(ORC_PLAN_COL,U9)))</f>
        <v/>
      </c>
      <c r="T9" s="36">
        <f>IFERROR(LARGE(ORC_AUX_TOP,4),"")</f>
        <v/>
      </c>
      <c r="U9" s="37">
        <f>IF(T9="","",ROUND((T9-ROUND(T9,2))*10000000,0)-18)</f>
        <v/>
      </c>
    </row>
    <row r="10" ht="18" customHeight="1">
      <c r="B10" s="32" t="inlineStr">
        <is>
          <t>PATRIMÔNIO LÍQUIDO</t>
        </is>
      </c>
      <c r="C10" s="33" t="n"/>
      <c r="D10" s="33" t="n"/>
      <c r="E10" s="32" t="inlineStr">
        <is>
          <t>RESERVA DE EMERGÊNCIA</t>
        </is>
      </c>
      <c r="F10" s="33" t="n"/>
      <c r="G10" s="33" t="n"/>
      <c r="H10" s="32" t="inlineStr">
        <is>
          <t>% DO ORÇAMENTO USADO</t>
        </is>
      </c>
      <c r="I10" s="33" t="n"/>
      <c r="J10" s="33" t="n"/>
      <c r="K10" s="32" t="inlineStr">
        <is>
          <t>PODE GASTAR POR DIA</t>
        </is>
      </c>
      <c r="L10" s="33" t="n"/>
      <c r="M10" s="33" t="n"/>
      <c r="Q10" s="34">
        <f>IF(U10="","",INDEX(ORC_CAT_MES,U10))</f>
        <v/>
      </c>
      <c r="R10" s="35">
        <f>IF(U10="",0,ROUND(T10,2))</f>
        <v/>
      </c>
      <c r="S10" s="35">
        <f>IF(U10="",0,N(INDEX(ORC_PLAN_COL,U10)))</f>
        <v/>
      </c>
      <c r="T10" s="36">
        <f>IFERROR(LARGE(ORC_AUX_TOP,5),"")</f>
        <v/>
      </c>
      <c r="U10" s="37">
        <f>IF(T10="","",ROUND((T10-ROUND(T10,2))*10000000,0)-18)</f>
        <v/>
      </c>
    </row>
    <row r="11" ht="32" customHeight="1">
      <c r="B11" s="38">
        <f>PATRIMONIO_LIQUIDO</f>
        <v/>
      </c>
      <c r="C11" s="33" t="n"/>
      <c r="D11" s="33" t="n"/>
      <c r="E11" s="41">
        <f>RES_COBERTURA</f>
        <v/>
      </c>
      <c r="F11" s="33" t="n"/>
      <c r="G11" s="33" t="n"/>
      <c r="H11" s="42">
        <f>IF(ORC_PLAN_DESP_MES=0,"",ORC_USO_MES)</f>
        <v/>
      </c>
      <c r="I11" s="33" t="n"/>
      <c r="J11" s="33" t="n"/>
      <c r="K11" s="38">
        <f>DIA_POR_DIA</f>
        <v/>
      </c>
      <c r="L11" s="33" t="n"/>
      <c r="M11" s="33" t="n"/>
      <c r="Q11" s="34">
        <f>IF(U11="","",INDEX(ORC_CAT_MES,U11))</f>
        <v/>
      </c>
      <c r="R11" s="35">
        <f>IF(U11="",0,ROUND(T11,2))</f>
        <v/>
      </c>
      <c r="S11" s="35">
        <f>IF(U11="",0,N(INDEX(ORC_PLAN_COL,U11)))</f>
        <v/>
      </c>
      <c r="T11" s="36">
        <f>IFERROR(LARGE(ORC_AUX_TOP,6),"")</f>
        <v/>
      </c>
      <c r="U11" s="37">
        <f>IF(T11="","",ROUND((T11-ROUND(T11,2))*10000000,0)-18)</f>
        <v/>
      </c>
    </row>
    <row r="12" ht="18" customHeight="1">
      <c r="B12" s="40">
        <f>"ativos R$ "&amp;FIXED(PATRIMONIO_ATIVOS,0)&amp;"  ·  passivos R$ "&amp;FIXED(PATRIMONIO_PASSIVOS,0)</f>
        <v/>
      </c>
      <c r="C12" s="33" t="n"/>
      <c r="D12" s="33" t="n"/>
      <c r="E12" s="40">
        <f>"meta: "&amp;RES_MESES_ALVO&amp;" meses  ·  "&amp;RES_SITUACAO</f>
        <v/>
      </c>
      <c r="F12" s="33" t="n"/>
      <c r="G12" s="33" t="n"/>
      <c r="H12" s="40">
        <f>IF(ORC_PLAN_DESP_MES=0,"defina o orçamento na aba Orçamento","R$ "&amp;FIXED(ORC_REAL_DESP_MES,0)&amp;" de R$ "&amp;FIXED(ORC_PLAN_DESP_MES,0))</f>
        <v/>
      </c>
      <c r="I12" s="33" t="n"/>
      <c r="J12" s="33" t="n"/>
      <c r="K12" s="40">
        <f>IF(DIA_RESTANTES=0,"mês encerrado",DIA_RESTANTES&amp;" dias até o fim do mês")</f>
        <v/>
      </c>
      <c r="L12" s="33" t="n"/>
      <c r="M12" s="33" t="n"/>
      <c r="Q12" s="34">
        <f>IF(U12="","",INDEX(ORC_CAT_MES,U12))</f>
        <v/>
      </c>
      <c r="R12" s="35">
        <f>IF(U12="",0,ROUND(T12,2))</f>
        <v/>
      </c>
      <c r="S12" s="35">
        <f>IF(U12="",0,N(INDEX(ORC_PLAN_COL,U12)))</f>
        <v/>
      </c>
      <c r="T12" s="36">
        <f>IFERROR(LARGE(ORC_AUX_TOP,7),"")</f>
        <v/>
      </c>
      <c r="U12" s="37">
        <f>IF(T12="","",ROUND((T12-ROUND(T12,2))*10000000,0)-18)</f>
        <v/>
      </c>
    </row>
    <row r="13">
      <c r="Q13" s="34">
        <f>IF(U13="","",INDEX(ORC_CAT_MES,U13))</f>
        <v/>
      </c>
      <c r="R13" s="35">
        <f>IF(U13="",0,ROUND(T13,2))</f>
        <v/>
      </c>
      <c r="S13" s="35">
        <f>IF(U13="",0,N(INDEX(ORC_PLAN_COL,U13)))</f>
        <v/>
      </c>
      <c r="T13" s="36">
        <f>IFERROR(LARGE(ORC_AUX_TOP,8),"")</f>
        <v/>
      </c>
      <c r="U13" s="37">
        <f>IF(T13="","",ROUND((T13-ROUND(T13,2))*10000000,0)-18)</f>
        <v/>
      </c>
    </row>
    <row r="14">
      <c r="B14" s="5" t="inlineStr">
        <is>
          <t>Saúde financeira</t>
        </is>
      </c>
      <c r="Q14" s="34" t="inlineStr">
        <is>
          <t>Outras categorias</t>
        </is>
      </c>
      <c r="R14" s="35">
        <f>MAX(0,ORC_REAL_DESP_MES-SUM(R6:R13))</f>
        <v/>
      </c>
      <c r="S14" s="35">
        <f>MAX(0,ORC_PLAN_DESP_MES-SUM(S6:S13))</f>
        <v/>
      </c>
    </row>
    <row r="15">
      <c r="B15" s="43">
        <f>IF(COUNT(J16:J20)=0,"-",ROUND(SUM(J16:J20)/(20*COUNT(J16:J20))*100,0))</f>
        <v/>
      </c>
      <c r="C15" s="33" t="n"/>
      <c r="D15" s="44" t="inlineStr">
        <is>
          <t>Regra (cada uma vale até 20 pontos)</t>
        </is>
      </c>
      <c r="E15" s="15" t="n"/>
      <c r="F15" s="15" t="n"/>
      <c r="G15" s="15" t="n"/>
      <c r="H15" s="44" t="inlineStr">
        <is>
          <t>Seu valor</t>
        </is>
      </c>
      <c r="I15" s="44" t="inlineStr">
        <is>
          <t>Meta</t>
        </is>
      </c>
      <c r="J15" s="44" t="inlineStr">
        <is>
          <t>Pontos</t>
        </is>
      </c>
      <c r="K15" s="44" t="inlineStr">
        <is>
          <t>Situação</t>
        </is>
      </c>
      <c r="L15" s="15" t="n"/>
      <c r="M15" s="15" t="n"/>
    </row>
    <row r="16" ht="30" customHeight="1">
      <c r="B16" s="33" t="n"/>
      <c r="C16" s="33" t="n"/>
      <c r="D16" s="45" t="inlineStr">
        <is>
          <t>Poupança: guardar pelo menos 20% da renda do mês (receitas - despesas)</t>
        </is>
      </c>
      <c r="E16" s="46" t="n"/>
      <c r="F16" s="46" t="n"/>
      <c r="G16" s="46" t="n"/>
      <c r="H16" s="47">
        <f>IF($B$7=0,"-",$K$7)</f>
        <v/>
      </c>
      <c r="I16" s="48" t="inlineStr">
        <is>
          <t>≥ 20%</t>
        </is>
      </c>
      <c r="J16" s="49">
        <f>IF($B$7=0,"-",MAX(0,MIN(1,$K$7/0.2))*20)</f>
        <v/>
      </c>
      <c r="K16" s="50">
        <f>IF(ISNUMBER(J16),IF(J16&gt;=18,"● Ótimo",IF(J16&gt;=12,"● Bom",IF(J16&gt;=6,"● Atenção","● Crítico"))),"sem dados")</f>
        <v/>
      </c>
      <c r="L16" s="46" t="n"/>
      <c r="M16" s="46" t="n"/>
    </row>
    <row r="17" ht="30" customHeight="1">
      <c r="B17" s="33" t="n"/>
      <c r="C17" s="33" t="n"/>
      <c r="D17" s="45" t="inlineStr">
        <is>
          <t>Reserva de emergência: cobrir os meses-alvo do seu perfil (6 para CLT)</t>
        </is>
      </c>
      <c r="E17" s="46" t="n"/>
      <c r="F17" s="46" t="n"/>
      <c r="G17" s="46" t="n"/>
      <c r="H17" s="51">
        <f>IF(RES_GASTO=0,"-",RES_COBERTURA)</f>
        <v/>
      </c>
      <c r="I17" s="48">
        <f>"≥ "&amp;RES_MESES_ALVO&amp;" meses"</f>
        <v/>
      </c>
      <c r="J17" s="49">
        <f>IF(RES_GASTO=0,"-",MAX(0,MIN(1,RES_COBERTURA/RES_MESES_ALVO))*20)</f>
        <v/>
      </c>
      <c r="K17" s="50">
        <f>IF(ISNUMBER(J17),IF(J17&gt;=18,"● Ótimo",IF(J17&gt;=12,"● Bom",IF(J17&gt;=6,"● Atenção","● Crítico"))),"sem dados")</f>
        <v/>
      </c>
      <c r="L17" s="46" t="n"/>
      <c r="M17" s="46" t="n"/>
      <c r="Q17" s="31" t="inlineStr">
        <is>
          <t>Grupo</t>
        </is>
      </c>
      <c r="R17" s="31" t="inlineStr">
        <is>
          <t>Real (% da renda)</t>
        </is>
      </c>
      <c r="S17" s="31" t="inlineStr">
        <is>
          <t>Ideal (%)</t>
        </is>
      </c>
    </row>
    <row r="18" ht="30" customHeight="1">
      <c r="B18" s="33" t="n"/>
      <c r="C18" s="33" t="n"/>
      <c r="D18" s="45" t="inlineStr">
        <is>
          <t>Dívidas: parcelas mínimas até 30% da renda (60% ou mais zera os pontos)</t>
        </is>
      </c>
      <c r="E18" s="46" t="n"/>
      <c r="F18" s="46" t="n"/>
      <c r="G18" s="46" t="n"/>
      <c r="H18" s="47">
        <f>IF($B$7=0,"-",DIV_PARCELAS_MES/$B$7)</f>
        <v/>
      </c>
      <c r="I18" s="48" t="inlineStr">
        <is>
          <t>≤ 30%</t>
        </is>
      </c>
      <c r="J18" s="49">
        <f>IF($B$7=0,"-",MAX(0,MIN(1,(0.6-H18)/0.3))*20)</f>
        <v/>
      </c>
      <c r="K18" s="50">
        <f>IF(ISNUMBER(J18),IF(J18&gt;=18,"● Ótimo",IF(J18&gt;=12,"● Bom",IF(J18&gt;=6,"● Atenção","● Crítico"))),"sem dados")</f>
        <v/>
      </c>
      <c r="L18" s="46" t="n"/>
      <c r="M18" s="46" t="n"/>
      <c r="Q18" s="34" t="inlineStr">
        <is>
          <t>Necessidades</t>
        </is>
      </c>
      <c r="R18" s="52">
        <f>IF($B$7=0,0,INDEX(FLUXO_NECESS,MES_SEL)/$B$7)</f>
        <v/>
      </c>
      <c r="S18" s="53">
        <f>ORC_PCT_NEC</f>
        <v/>
      </c>
    </row>
    <row r="19" ht="30" customHeight="1">
      <c r="B19" s="33" t="n"/>
      <c r="C19" s="33" t="n"/>
      <c r="D19" s="45" t="inlineStr">
        <is>
          <t>Gastos fixos: necessidades até 50% da renda (80% ou mais zera os pontos)</t>
        </is>
      </c>
      <c r="E19" s="46" t="n"/>
      <c r="F19" s="46" t="n"/>
      <c r="G19" s="46" t="n"/>
      <c r="H19" s="47">
        <f>IF($B$7=0,"-",INDEX(FLUXO_NECESS,MES_SEL)/$B$7)</f>
        <v/>
      </c>
      <c r="I19" s="48" t="inlineStr">
        <is>
          <t>≤ 50%</t>
        </is>
      </c>
      <c r="J19" s="49">
        <f>IF($B$7=0,"-",MAX(0,MIN(1,(0.8-H19)/0.3))*20)</f>
        <v/>
      </c>
      <c r="K19" s="50">
        <f>IF(ISNUMBER(J19),IF(J19&gt;=18,"● Ótimo",IF(J19&gt;=12,"● Bom",IF(J19&gt;=6,"● Atenção","● Crítico"))),"sem dados")</f>
        <v/>
      </c>
      <c r="L19" s="46" t="n"/>
      <c r="M19" s="46" t="n"/>
      <c r="Q19" s="34" t="inlineStr">
        <is>
          <t>Desejos</t>
        </is>
      </c>
      <c r="R19" s="52">
        <f>IF($B$7=0,0,INDEX(FLUXO_DESEJO,MES_SEL)/$B$7)</f>
        <v/>
      </c>
      <c r="S19" s="53">
        <f>ORC_PCT_DES</f>
        <v/>
      </c>
    </row>
    <row r="20" ht="30" customHeight="1">
      <c r="B20" s="33" t="n"/>
      <c r="C20" s="33" t="n"/>
      <c r="D20" s="45" t="inlineStr">
        <is>
          <t>Orçamento respeitado: gastar no máximo o planejado (130% ou mais zera os pontos)</t>
        </is>
      </c>
      <c r="E20" s="46" t="n"/>
      <c r="F20" s="46" t="n"/>
      <c r="G20" s="46" t="n"/>
      <c r="H20" s="54">
        <f>IF(ORC_PLAN_DESP_MES=0,"-",ORC_USO_MES)</f>
        <v/>
      </c>
      <c r="I20" s="48" t="inlineStr">
        <is>
          <t>≤ 100%</t>
        </is>
      </c>
      <c r="J20" s="49">
        <f>IF(ORC_PLAN_DESP_MES=0,"-",MAX(0,MIN(1,(1.3-H20)/0.3))*20)</f>
        <v/>
      </c>
      <c r="K20" s="50">
        <f>IF(ISNUMBER(J20),IF(J20&gt;=18,"● Ótimo",IF(J20&gt;=12,"● Bom",IF(J20&gt;=6,"● Atenção","● Crítico"))),"sem dados")</f>
        <v/>
      </c>
      <c r="L20" s="46" t="n"/>
      <c r="M20" s="46" t="n"/>
      <c r="Q20" s="34" t="inlineStr">
        <is>
          <t>Poupança (sobra)</t>
        </is>
      </c>
      <c r="R20" s="52">
        <f>IF($B$7=0,0,$H$7/$B$7)</f>
        <v/>
      </c>
      <c r="S20" s="53">
        <f>ORC_PCT_POUP</f>
        <v/>
      </c>
    </row>
    <row r="21">
      <c r="B21" s="55">
        <f>IF(ISNUMBER(B15),IF(B15&gt;=80,"Excelente",IF(B15&gt;=60,"Boa",IF(B15&gt;=40,"Atenção","Crítica"))),"sem dados")</f>
        <v/>
      </c>
      <c r="C21" s="33" t="n"/>
      <c r="D21" s="56" t="inlineStr">
        <is>
          <t>Pontos obtidos (a nota é pontos obtidos ÷ pontos possíveis × 100)</t>
        </is>
      </c>
      <c r="E21" s="16" t="n"/>
      <c r="F21" s="16" t="n"/>
      <c r="G21" s="16" t="n"/>
      <c r="H21" s="16" t="n"/>
      <c r="I21" s="16" t="n"/>
      <c r="J21" s="57">
        <f>SUM(J16:J20)</f>
        <v/>
      </c>
      <c r="K21" s="58">
        <f>"de "&amp;20*COUNT(J16:J20)&amp;" possíveis"</f>
        <v/>
      </c>
      <c r="L21" s="16" t="n"/>
      <c r="M21" s="16" t="n"/>
    </row>
    <row r="22">
      <c r="B22" s="59" t="inlineStr">
        <is>
          <t>Sem dados suficientes para uma regra? Ela fica de fora da nota. Preencha lançamentos, orçamento e reserva para uma nota completa.</t>
        </is>
      </c>
    </row>
    <row r="23">
      <c r="Q23" s="31" t="inlineStr">
        <is>
          <t>Meta</t>
        </is>
      </c>
      <c r="R23" s="31" t="inlineStr">
        <is>
          <t>% concluído</t>
        </is>
      </c>
    </row>
    <row r="24">
      <c r="B24" s="5" t="inlineStr">
        <is>
          <t>Destaques do mês</t>
        </is>
      </c>
      <c r="Q24" s="34">
        <f>IF('Metas'!A7="","",'Metas'!A7)</f>
        <v/>
      </c>
      <c r="R24" s="53">
        <f>IF(ISNUMBER('Metas'!G7),MIN('Metas'!G7,1.5),0)</f>
        <v/>
      </c>
    </row>
    <row r="25" ht="26" customHeight="1">
      <c r="B25" s="60">
        <f>IF(DIA_MAIOR_GASTO=0,"▸ Maior gasto do mês: nenhuma despesa lançada ainda.","▸ Maior gasto do mês: "&amp;INDEX(DIA_TOP_DESC,1)&amp;" ("&amp;INDEX(DIA_TOP_CAT,1)&amp;"), R$ "&amp;FIXED(INDEX(DIA_TOP_VALOR,1),2)&amp;".")</f>
        <v/>
      </c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Q25" s="34">
        <f>IF('Metas'!A8="","",'Metas'!A8)</f>
        <v/>
      </c>
      <c r="R25" s="53">
        <f>IF(ISNUMBER('Metas'!G8),MIN('Metas'!G8,1.5),0)</f>
        <v/>
      </c>
    </row>
    <row r="26" ht="26" customHeight="1">
      <c r="B26" s="60">
        <f>IF(MES_SEL=1,"▸ Categoria que mais subiu: sem mês anterior no ano para comparar.",IF(ISNUMBER(PAINEL_AUX_DELTA_KEY),"▸ Categoria que mais subiu: "&amp;PAINEL_AUX_NOME&amp;" (+R$ "&amp;FIXED(PAINEL_AUX_DELTA,2)&amp;" em relação a "&amp;INDEX(LISTA_MESES,MES_SEL-1)&amp;").","▸ Categoria que mais subiu: nenhuma categoria subiu em relação ao mês anterior."))</f>
        <v/>
      </c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Q26" s="34">
        <f>IF('Metas'!A9="","",'Metas'!A9)</f>
        <v/>
      </c>
      <c r="R26" s="53">
        <f>IF(ISNUMBER('Metas'!G9),MIN('Metas'!G9,1.5),0)</f>
        <v/>
      </c>
    </row>
    <row r="27" ht="26" customHeight="1">
      <c r="B27" s="60">
        <f>IF(B7=0,"▸ Quanto sobrou: lance as receitas do mês para ver o resultado.",IF(H7&gt;=0,"▸ Quanto sobrou: R$ "&amp;FIXED(H7,2)&amp;" ("&amp;ROUND(K7*100,1)&amp;"% da renda).","▸ Faltou R$ "&amp;FIXED(-H7,2)&amp;": as despesas passaram da renda em "&amp;ROUND(-K7*100,1)&amp;"%."))</f>
        <v/>
      </c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Q27" s="34">
        <f>IF('Metas'!A10="","",'Metas'!A10)</f>
        <v/>
      </c>
      <c r="R27" s="53">
        <f>IF(ISNUMBER('Metas'!G10),MIN('Metas'!G10,1.5),0)</f>
        <v/>
      </c>
    </row>
    <row r="28">
      <c r="Q28" s="34">
        <f>IF('Metas'!A11="","",'Metas'!A11)</f>
        <v/>
      </c>
      <c r="R28" s="53">
        <f>IF(ISNUMBER('Metas'!G11),MIN('Metas'!G11,1.5),0)</f>
        <v/>
      </c>
    </row>
    <row r="29">
      <c r="B29" s="5" t="inlineStr">
        <is>
          <t>Gráficos do mês e do ano</t>
        </is>
      </c>
      <c r="Q29" s="34">
        <f>IF('Metas'!A12="","",'Metas'!A12)</f>
        <v/>
      </c>
      <c r="R29" s="53">
        <f>IF(ISNUMBER('Metas'!G12),MIN('Metas'!G12,1.5),0)</f>
        <v/>
      </c>
    </row>
    <row r="30">
      <c r="Q30" s="34">
        <f>IF('Metas'!A13="","",'Metas'!A13)</f>
        <v/>
      </c>
      <c r="R30" s="53">
        <f>IF(ISNUMBER('Metas'!G13),MIN('Metas'!G13,1.5),0)</f>
        <v/>
      </c>
    </row>
    <row r="31">
      <c r="Q31" s="34">
        <f>IF('Metas'!A14="","",'Metas'!A14)</f>
        <v/>
      </c>
      <c r="R31" s="53">
        <f>IF(ISNUMBER('Metas'!G14),MIN('Metas'!G14,1.5),0)</f>
        <v/>
      </c>
    </row>
    <row r="34">
      <c r="Q34" s="34" t="inlineStr">
        <is>
          <t>maior aumento: chave</t>
        </is>
      </c>
      <c r="R34" s="36">
        <f>IFERROR(LARGE(ORC_AUX_DELTA_KEY,1),"")</f>
        <v/>
      </c>
    </row>
    <row r="35">
      <c r="Q35" s="34" t="inlineStr">
        <is>
          <t>índice</t>
        </is>
      </c>
      <c r="R35" s="37">
        <f>IF(R34="","",ROUND((R34-ROUND(R34,2))*10000000,0)-18)</f>
        <v/>
      </c>
    </row>
    <row r="36">
      <c r="Q36" s="34" t="inlineStr">
        <is>
          <t>categoria</t>
        </is>
      </c>
      <c r="R36" s="34">
        <f>IF(R35="","",INDEX(ORC_CAT_MES,R35))</f>
        <v/>
      </c>
    </row>
    <row r="37">
      <c r="Q37" s="34" t="inlineStr">
        <is>
          <t>variação (R$)</t>
        </is>
      </c>
      <c r="R37" s="35">
        <f>IF(R34="","",ROUND(R34,2))</f>
        <v/>
      </c>
    </row>
    <row r="78">
      <c r="B78" s="5" t="inlineStr">
        <is>
          <t>Próximos vencimentos</t>
        </is>
      </c>
      <c r="H78" s="5" t="inlineStr">
        <is>
          <t>Maiores gastos do mês</t>
        </is>
      </c>
    </row>
    <row r="79">
      <c r="B79" s="44" t="inlineStr">
        <is>
          <t>Vence em</t>
        </is>
      </c>
      <c r="C79" s="44" t="inlineStr">
        <is>
          <t>Descrição</t>
        </is>
      </c>
      <c r="D79" s="15" t="n"/>
      <c r="E79" s="15" t="n"/>
      <c r="F79" s="44" t="inlineStr">
        <is>
          <t>Valor</t>
        </is>
      </c>
      <c r="G79" s="44" t="inlineStr">
        <is>
          <t>Faltam</t>
        </is>
      </c>
      <c r="H79" s="44" t="inlineStr">
        <is>
          <t>Descrição</t>
        </is>
      </c>
      <c r="I79" s="15" t="n"/>
      <c r="J79" s="15" t="n"/>
      <c r="K79" s="44" t="inlineStr">
        <is>
          <t>Categoria</t>
        </is>
      </c>
      <c r="L79" s="15" t="n"/>
      <c r="M79" s="44" t="inlineStr">
        <is>
          <t>Valor</t>
        </is>
      </c>
    </row>
    <row r="80">
      <c r="B80" s="61">
        <f>INDEX(PAGAR_PROX_DATA,1)</f>
        <v/>
      </c>
      <c r="C80" s="62">
        <f>INDEX(PAGAR_PROX_DESC,1)</f>
        <v/>
      </c>
      <c r="D80" s="46" t="n"/>
      <c r="E80" s="46" t="n"/>
      <c r="F80" s="63">
        <f>INDEX(PAGAR_PROX_VALOR,1)</f>
        <v/>
      </c>
      <c r="G80" s="50">
        <f>IF(INDEX(PAGAR_PROX_DIAS,1)="","",INDEX(PAGAR_PROX_DIAS,1)&amp;" d")</f>
        <v/>
      </c>
      <c r="H80" s="62">
        <f>INDEX(DIA_TOP_DESC,1)</f>
        <v/>
      </c>
      <c r="I80" s="46" t="n"/>
      <c r="J80" s="46" t="n"/>
      <c r="K80" s="62">
        <f>INDEX(DIA_TOP_CAT,1)</f>
        <v/>
      </c>
      <c r="L80" s="46" t="n"/>
      <c r="M80" s="63">
        <f>INDEX(DIA_TOP_VALOR,1)</f>
        <v/>
      </c>
    </row>
    <row r="81">
      <c r="B81" s="61">
        <f>INDEX(PAGAR_PROX_DATA,2)</f>
        <v/>
      </c>
      <c r="C81" s="62">
        <f>INDEX(PAGAR_PROX_DESC,2)</f>
        <v/>
      </c>
      <c r="D81" s="46" t="n"/>
      <c r="E81" s="46" t="n"/>
      <c r="F81" s="63">
        <f>INDEX(PAGAR_PROX_VALOR,2)</f>
        <v/>
      </c>
      <c r="G81" s="50">
        <f>IF(INDEX(PAGAR_PROX_DIAS,2)="","",INDEX(PAGAR_PROX_DIAS,2)&amp;" d")</f>
        <v/>
      </c>
      <c r="H81" s="62">
        <f>INDEX(DIA_TOP_DESC,2)</f>
        <v/>
      </c>
      <c r="I81" s="46" t="n"/>
      <c r="J81" s="46" t="n"/>
      <c r="K81" s="62">
        <f>INDEX(DIA_TOP_CAT,2)</f>
        <v/>
      </c>
      <c r="L81" s="46" t="n"/>
      <c r="M81" s="63">
        <f>INDEX(DIA_TOP_VALOR,2)</f>
        <v/>
      </c>
    </row>
    <row r="82">
      <c r="B82" s="61">
        <f>INDEX(PAGAR_PROX_DATA,3)</f>
        <v/>
      </c>
      <c r="C82" s="62">
        <f>INDEX(PAGAR_PROX_DESC,3)</f>
        <v/>
      </c>
      <c r="D82" s="46" t="n"/>
      <c r="E82" s="46" t="n"/>
      <c r="F82" s="63">
        <f>INDEX(PAGAR_PROX_VALOR,3)</f>
        <v/>
      </c>
      <c r="G82" s="50">
        <f>IF(INDEX(PAGAR_PROX_DIAS,3)="","",INDEX(PAGAR_PROX_DIAS,3)&amp;" d")</f>
        <v/>
      </c>
      <c r="H82" s="62">
        <f>INDEX(DIA_TOP_DESC,3)</f>
        <v/>
      </c>
      <c r="I82" s="46" t="n"/>
      <c r="J82" s="46" t="n"/>
      <c r="K82" s="62">
        <f>INDEX(DIA_TOP_CAT,3)</f>
        <v/>
      </c>
      <c r="L82" s="46" t="n"/>
      <c r="M82" s="63">
        <f>INDEX(DIA_TOP_VALOR,3)</f>
        <v/>
      </c>
    </row>
    <row r="83">
      <c r="B83" s="61">
        <f>INDEX(PAGAR_PROX_DATA,4)</f>
        <v/>
      </c>
      <c r="C83" s="62">
        <f>INDEX(PAGAR_PROX_DESC,4)</f>
        <v/>
      </c>
      <c r="D83" s="46" t="n"/>
      <c r="E83" s="46" t="n"/>
      <c r="F83" s="63">
        <f>INDEX(PAGAR_PROX_VALOR,4)</f>
        <v/>
      </c>
      <c r="G83" s="50">
        <f>IF(INDEX(PAGAR_PROX_DIAS,4)="","",INDEX(PAGAR_PROX_DIAS,4)&amp;" d")</f>
        <v/>
      </c>
      <c r="H83" s="62">
        <f>INDEX(DIA_TOP_DESC,4)</f>
        <v/>
      </c>
      <c r="I83" s="46" t="n"/>
      <c r="J83" s="46" t="n"/>
      <c r="K83" s="62">
        <f>INDEX(DIA_TOP_CAT,4)</f>
        <v/>
      </c>
      <c r="L83" s="46" t="n"/>
      <c r="M83" s="63">
        <f>INDEX(DIA_TOP_VALOR,4)</f>
        <v/>
      </c>
    </row>
    <row r="84">
      <c r="B84" s="61">
        <f>INDEX(PAGAR_PROX_DATA,5)</f>
        <v/>
      </c>
      <c r="C84" s="62">
        <f>INDEX(PAGAR_PROX_DESC,5)</f>
        <v/>
      </c>
      <c r="D84" s="46" t="n"/>
      <c r="E84" s="46" t="n"/>
      <c r="F84" s="63">
        <f>INDEX(PAGAR_PROX_VALOR,5)</f>
        <v/>
      </c>
      <c r="G84" s="50">
        <f>IF(INDEX(PAGAR_PROX_DIAS,5)="","",INDEX(PAGAR_PROX_DIAS,5)&amp;" d")</f>
        <v/>
      </c>
      <c r="H84" s="62">
        <f>INDEX(DIA_TOP_DESC,5)</f>
        <v/>
      </c>
      <c r="I84" s="46" t="n"/>
      <c r="J84" s="46" t="n"/>
      <c r="K84" s="62">
        <f>INDEX(DIA_TOP_CAT,5)</f>
        <v/>
      </c>
      <c r="L84" s="46" t="n"/>
      <c r="M84" s="63">
        <f>INDEX(DIA_TOP_VALOR,5)</f>
        <v/>
      </c>
    </row>
    <row r="85">
      <c r="B85" s="59" t="inlineStr">
        <is>
          <t>Cadastre vencimentos na aba Contas a pagar. Valores negativos em "Faltam" são contas atrasadas.</t>
        </is>
      </c>
    </row>
  </sheetData>
  <mergeCells count="65">
    <mergeCell ref="B11:D11"/>
    <mergeCell ref="B2:M2"/>
    <mergeCell ref="E10:G10"/>
    <mergeCell ref="D18:G18"/>
    <mergeCell ref="K83:L83"/>
    <mergeCell ref="C80:E80"/>
    <mergeCell ref="B8:D8"/>
    <mergeCell ref="C84:E84"/>
    <mergeCell ref="H79:J79"/>
    <mergeCell ref="K80:L80"/>
    <mergeCell ref="D15:G15"/>
    <mergeCell ref="K12:M12"/>
    <mergeCell ref="H11:J11"/>
    <mergeCell ref="H7:J7"/>
    <mergeCell ref="E6:G6"/>
    <mergeCell ref="K79:L79"/>
    <mergeCell ref="B10:D10"/>
    <mergeCell ref="K8:M8"/>
    <mergeCell ref="B21:C21"/>
    <mergeCell ref="H81:J81"/>
    <mergeCell ref="E11:G11"/>
    <mergeCell ref="H84:J84"/>
    <mergeCell ref="D20:G20"/>
    <mergeCell ref="H80:J80"/>
    <mergeCell ref="K81:L81"/>
    <mergeCell ref="B15:C20"/>
    <mergeCell ref="H12:J12"/>
    <mergeCell ref="D19:G19"/>
    <mergeCell ref="K17:M17"/>
    <mergeCell ref="C82:E82"/>
    <mergeCell ref="K84:L84"/>
    <mergeCell ref="B1:I1"/>
    <mergeCell ref="E7:G7"/>
    <mergeCell ref="K7:M7"/>
    <mergeCell ref="B6:D6"/>
    <mergeCell ref="J1:M1"/>
    <mergeCell ref="C81:E81"/>
    <mergeCell ref="K19:M19"/>
    <mergeCell ref="K10:M10"/>
    <mergeCell ref="K6:M6"/>
    <mergeCell ref="H8:J8"/>
    <mergeCell ref="E12:G12"/>
    <mergeCell ref="K18:M18"/>
    <mergeCell ref="B26:M26"/>
    <mergeCell ref="B7:D7"/>
    <mergeCell ref="K16:M16"/>
    <mergeCell ref="H82:J82"/>
    <mergeCell ref="C83:E83"/>
    <mergeCell ref="K15:M15"/>
    <mergeCell ref="K82:L82"/>
    <mergeCell ref="H10:J10"/>
    <mergeCell ref="D17:G17"/>
    <mergeCell ref="B25:M25"/>
    <mergeCell ref="H4:M4"/>
    <mergeCell ref="C79:E79"/>
    <mergeCell ref="E8:G8"/>
    <mergeCell ref="D16:G16"/>
    <mergeCell ref="K21:M21"/>
    <mergeCell ref="B27:M27"/>
    <mergeCell ref="K20:M20"/>
    <mergeCell ref="B12:D12"/>
    <mergeCell ref="H83:J83"/>
    <mergeCell ref="D21:I21"/>
    <mergeCell ref="K11:M11"/>
    <mergeCell ref="H6:J6"/>
  </mergeCells>
  <conditionalFormatting sqref="H7">
    <cfRule type="expression" priority="1" dxfId="0">
      <formula>H7&lt;0</formula>
    </cfRule>
    <cfRule type="expression" priority="2" dxfId="1">
      <formula>H7&gt;0</formula>
    </cfRule>
  </conditionalFormatting>
  <conditionalFormatting sqref="K7">
    <cfRule type="expression" priority="3" dxfId="1">
      <formula>AND(ISNUMBER(K7),K7&gt;=0.2)</formula>
    </cfRule>
    <cfRule type="expression" priority="4" dxfId="0">
      <formula>AND(ISNUMBER(K7),K7&lt;0)</formula>
    </cfRule>
  </conditionalFormatting>
  <conditionalFormatting sqref="E8">
    <cfRule type="expression" priority="5" dxfId="2">
      <formula>LEFT(E8,1)="▲"</formula>
    </cfRule>
    <cfRule type="expression" priority="8" dxfId="3">
      <formula>LEFT(E8,1)="▼"</formula>
    </cfRule>
  </conditionalFormatting>
  <conditionalFormatting sqref="B8">
    <cfRule type="expression" priority="6" dxfId="2">
      <formula>LEFT(B8,1)="▼"</formula>
    </cfRule>
    <cfRule type="expression" priority="7" dxfId="3">
      <formula>LEFT(B8,1)="▲"</formula>
    </cfRule>
  </conditionalFormatting>
  <conditionalFormatting sqref="H11">
    <cfRule type="expression" priority="9" dxfId="0">
      <formula>AND(ISNUMBER(H11),H11&gt;1)</formula>
    </cfRule>
  </conditionalFormatting>
  <conditionalFormatting sqref="B15:C21">
    <cfRule type="expression" priority="10" dxfId="4">
      <formula>AND(ISNUMBER($B$15),$B$15&gt;=80)</formula>
    </cfRule>
    <cfRule type="expression" priority="11" dxfId="5">
      <formula>AND(ISNUMBER($B$15),$B$15&gt;=60,$B$15&lt;80)</formula>
    </cfRule>
    <cfRule type="expression" priority="12" dxfId="6">
      <formula>AND(ISNUMBER($B$15),$B$15&gt;=40,$B$15&lt;60)</formula>
    </cfRule>
    <cfRule type="expression" priority="13" dxfId="7">
      <formula>AND(ISNUMBER($B$15),$B$15&lt;40)</formula>
    </cfRule>
  </conditionalFormatting>
  <conditionalFormatting sqref="K16:M20">
    <cfRule type="expression" priority="14" dxfId="8">
      <formula>$K16="● Ótimo"</formula>
    </cfRule>
    <cfRule type="expression" priority="15" dxfId="9">
      <formula>$K16="● Bom"</formula>
    </cfRule>
    <cfRule type="expression" priority="16" dxfId="10">
      <formula>$K16="● Atenção"</formula>
    </cfRule>
    <cfRule type="expression" priority="17" dxfId="11">
      <formula>$K16="● Crítico"</formula>
    </cfRule>
  </conditionalFormatting>
  <conditionalFormatting sqref="G80:G84">
    <cfRule type="expression" priority="18" dxfId="11">
      <formula>AND(G80&lt;&gt;"",VALUE(LEFT(G80,LEN(G80)-2))&lt;0)</formula>
    </cfRule>
  </conditionalFormatting>
  <dataValidations count="2">
    <dataValidation sqref="C4" showDropDown="0" showInputMessage="1" showErrorMessage="1" allowBlank="1" errorTitle="Ano inválido" error="Escolha um ano da lista ou &quot;Automático&quot;." promptTitle="Ano" prompt="&quot;Automático&quot; usa o ano do último lançamento." type="list">
      <formula1>='Configurações'!$O$14:$O$21</formula1>
    </dataValidation>
    <dataValidation sqref="F4" showDropDown="0" showInputMessage="1" showErrorMessage="1" allowBlank="1" errorTitle="Mês inválido" error="Escolha um mês da lista ou &quot;Automático&quot;." promptTitle="Mês" prompt="&quot;Automático&quot; usa o mês do último lançamento." type="list">
      <formula1>='Configurações'!$Q$14:$Q$26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3328"/>
    <outlinePr summaryBelow="1" summaryRight="1"/>
    <pageSetUpPr fitToPage="1"/>
  </sheetPr>
  <dimension ref="A1:P500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32" customWidth="1" min="3" max="3"/>
    <col width="13" customWidth="1" min="4" max="4"/>
    <col width="15" customWidth="1" min="5" max="5"/>
    <col width="15" customWidth="1" min="6" max="6"/>
    <col width="18" customWidth="1" min="7" max="7"/>
    <col width="17" customWidth="1" min="8" max="8"/>
    <col width="17" customWidth="1" min="9" max="9"/>
    <col width="10" customWidth="1" min="10" max="10"/>
    <col width="11" customWidth="1" min="11" max="11"/>
    <col width="18" customWidth="1" min="12" max="12"/>
    <col width="28" customWidth="1" min="13" max="13"/>
    <col width="2" customWidth="1" min="14" max="14"/>
    <col outlineLevel="1" width="10" customWidth="1" min="15" max="15"/>
    <col outlineLevel="1" width="14" customWidth="1" min="16" max="16"/>
  </cols>
  <sheetData>
    <row r="1" ht="30" customHeight="1">
      <c r="A1" s="64" t="inlineStr">
        <is>
          <t>Lançamentos</t>
        </is>
      </c>
    </row>
    <row r="2">
      <c r="A2" s="65" t="inlineStr">
        <is>
          <t>Uma linha por movimento. Preencha as células amarelas; Tipo e Grupo aparecem sozinhos a partir da categoria.</t>
        </is>
      </c>
    </row>
    <row r="3">
      <c r="A3" s="66" t="inlineStr">
        <is>
          <t>Receitas</t>
        </is>
      </c>
      <c r="B3" s="66" t="inlineStr">
        <is>
          <t>Despesas</t>
        </is>
      </c>
      <c r="C3" s="66" t="inlineStr">
        <is>
          <t>Poupança e investimentos</t>
        </is>
      </c>
      <c r="D3" s="66" t="inlineStr">
        <is>
          <t>Pendente (a pagar)</t>
        </is>
      </c>
      <c r="F3" s="66" t="inlineStr">
        <is>
          <t>Destacar valores a partir de</t>
        </is>
      </c>
      <c r="G3" s="66" t="inlineStr">
        <is>
          <t>Lançamentos</t>
        </is>
      </c>
    </row>
    <row r="4">
      <c r="A4" s="67">
        <f>SUMIFS(L_VALOR,L_TIPO,"Receita")</f>
        <v/>
      </c>
      <c r="B4" s="67">
        <f>SUMIFS(L_VALOR,L_TIPO,"Despesa")</f>
        <v/>
      </c>
      <c r="C4" s="67">
        <f>SUMIFS(L_VALOR,L_TIPO,"Poupança")</f>
        <v/>
      </c>
      <c r="D4" s="67">
        <f>SUMIFS(L_VALOR,L_STATUS,"Pendente",L_TIPO,"Despesa")</f>
        <v/>
      </c>
      <c r="F4" s="68" t="n">
        <v>1000</v>
      </c>
      <c r="G4" s="69">
        <f>COUNT(L_VALOR)</f>
        <v/>
      </c>
    </row>
    <row r="5" ht="32" customHeight="1">
      <c r="A5" s="44" t="inlineStr">
        <is>
          <t>Data</t>
        </is>
      </c>
      <c r="B5" s="44" t="inlineStr">
        <is>
          <t>Descrição</t>
        </is>
      </c>
      <c r="C5" s="44" t="inlineStr">
        <is>
          <t>Categoria</t>
        </is>
      </c>
      <c r="D5" s="70" t="inlineStr">
        <is>
          <t>Tipo</t>
        </is>
      </c>
      <c r="E5" s="70" t="inlineStr">
        <is>
          <t>Grupo</t>
        </is>
      </c>
      <c r="F5" s="44" t="inlineStr">
        <is>
          <t>Valor (R$)</t>
        </is>
      </c>
      <c r="G5" s="44" t="inlineStr">
        <is>
          <t>Conta</t>
        </is>
      </c>
      <c r="H5" s="44" t="inlineStr">
        <is>
          <t>Forma de pagamento</t>
        </is>
      </c>
      <c r="I5" s="44" t="inlineStr">
        <is>
          <t>Cartão (opcional)</t>
        </is>
      </c>
      <c r="J5" s="44" t="inlineStr">
        <is>
          <t>Parcela (x/y)</t>
        </is>
      </c>
      <c r="K5" s="44" t="inlineStr">
        <is>
          <t>Status</t>
        </is>
      </c>
      <c r="L5" s="44" t="inlineStr">
        <is>
          <t>Conta destino</t>
        </is>
      </c>
      <c r="M5" s="44" t="inlineStr">
        <is>
          <t>Observação</t>
        </is>
      </c>
      <c r="N5" s="71" t="n"/>
      <c r="O5" s="72" t="inlineStr">
        <is>
          <t>Ano-mês</t>
        </is>
      </c>
      <c r="P5" s="72" t="inlineStr">
        <is>
          <t>Valor c/ sinal</t>
        </is>
      </c>
    </row>
    <row r="6">
      <c r="A6" s="73" t="n">
        <v>45660</v>
      </c>
      <c r="B6" s="74" t="inlineStr">
        <is>
          <t>Netflix</t>
        </is>
      </c>
      <c r="C6" s="74" t="inlineStr">
        <is>
          <t>Assinaturas e streaming</t>
        </is>
      </c>
      <c r="D6" s="75">
        <f>IF($C6="","",IFERROR(INDEX(CAT_TIPO,MATCH($C6,CAT_NOME,0)),"Sem categoria"))</f>
        <v/>
      </c>
      <c r="E6" s="75">
        <f>IF($C6="","",IFERROR(INDEX(CAT_GRUPO,MATCH($C6,CAT_NOME,0)),"Sem categoria"))</f>
        <v/>
      </c>
      <c r="F6" s="76" t="n">
        <v>55.9</v>
      </c>
      <c r="G6" s="74" t="n"/>
      <c r="H6" s="74" t="inlineStr">
        <is>
          <t>Crédito</t>
        </is>
      </c>
      <c r="I6" s="74" t="inlineStr">
        <is>
          <t>Nubank Mastercard</t>
        </is>
      </c>
      <c r="J6" s="77" t="n"/>
      <c r="K6" s="77" t="n"/>
      <c r="L6" s="74" t="n"/>
      <c r="M6" s="74" t="n"/>
      <c r="O6" s="78">
        <f>IF($A6="","",YEAR($A6)*100+MONTH($A6))</f>
        <v/>
      </c>
      <c r="P6" s="79">
        <f>IF(OR($F6="",$D6=""),"",IF($D6="Receita",$F6,IF($D6="Transferência",0,-$F6)))</f>
        <v/>
      </c>
    </row>
    <row r="7">
      <c r="A7" s="73" t="n">
        <v>45660</v>
      </c>
      <c r="B7" s="74" t="inlineStr">
        <is>
          <t>Supermercado</t>
        </is>
      </c>
      <c r="C7" s="74" t="inlineStr">
        <is>
          <t>Mercado</t>
        </is>
      </c>
      <c r="D7" s="75">
        <f>IF($C7="","",IFERROR(INDEX(CAT_TIPO,MATCH($C7,CAT_NOME,0)),"Sem categoria"))</f>
        <v/>
      </c>
      <c r="E7" s="75">
        <f>IF($C7="","",IFERROR(INDEX(CAT_GRUPO,MATCH($C7,CAT_NOME,0)),"Sem categoria"))</f>
        <v/>
      </c>
      <c r="F7" s="76" t="n">
        <v>138.24</v>
      </c>
      <c r="G7" s="74" t="inlineStr">
        <is>
          <t>Conta Nubank</t>
        </is>
      </c>
      <c r="H7" s="74" t="inlineStr">
        <is>
          <t>Débito</t>
        </is>
      </c>
      <c r="I7" s="74" t="n"/>
      <c r="J7" s="77" t="n"/>
      <c r="K7" s="77" t="n"/>
      <c r="L7" s="74" t="n"/>
      <c r="M7" s="74" t="n"/>
      <c r="O7" s="78">
        <f>IF($A7="","",YEAR($A7)*100+MONTH($A7))</f>
        <v/>
      </c>
      <c r="P7" s="79">
        <f>IF(OR($F7="",$D7=""),"",IF($D7="Receita",$F7,IF($D7="Transferência",0,-$F7)))</f>
        <v/>
      </c>
    </row>
    <row r="8">
      <c r="A8" s="73" t="n">
        <v>45661</v>
      </c>
      <c r="B8" s="74" t="inlineStr">
        <is>
          <t>Spotify</t>
        </is>
      </c>
      <c r="C8" s="74" t="inlineStr">
        <is>
          <t>Assinaturas e streaming</t>
        </is>
      </c>
      <c r="D8" s="75">
        <f>IF($C8="","",IFERROR(INDEX(CAT_TIPO,MATCH($C8,CAT_NOME,0)),"Sem categoria"))</f>
        <v/>
      </c>
      <c r="E8" s="75">
        <f>IF($C8="","",IFERROR(INDEX(CAT_GRUPO,MATCH($C8,CAT_NOME,0)),"Sem categoria"))</f>
        <v/>
      </c>
      <c r="F8" s="76" t="n">
        <v>23.9</v>
      </c>
      <c r="G8" s="74" t="n"/>
      <c r="H8" s="74" t="inlineStr">
        <is>
          <t>Crédito</t>
        </is>
      </c>
      <c r="I8" s="74" t="inlineStr">
        <is>
          <t>Nubank Mastercard</t>
        </is>
      </c>
      <c r="J8" s="77" t="n"/>
      <c r="K8" s="77" t="n"/>
      <c r="L8" s="74" t="n"/>
      <c r="M8" s="74" t="n"/>
      <c r="O8" s="78">
        <f>IF($A8="","",YEAR($A8)*100+MONTH($A8))</f>
        <v/>
      </c>
      <c r="P8" s="79">
        <f>IF(OR($F8="",$D8=""),"",IF($D8="Receita",$F8,IF($D8="Transferência",0,-$F8)))</f>
        <v/>
      </c>
    </row>
    <row r="9">
      <c r="A9" s="73" t="n">
        <v>45662</v>
      </c>
      <c r="B9" s="74" t="inlineStr">
        <is>
          <t>Academia</t>
        </is>
      </c>
      <c r="C9" s="74" t="inlineStr">
        <is>
          <t>Assinaturas e streaming</t>
        </is>
      </c>
      <c r="D9" s="75">
        <f>IF($C9="","",IFERROR(INDEX(CAT_TIPO,MATCH($C9,CAT_NOME,0)),"Sem categoria"))</f>
        <v/>
      </c>
      <c r="E9" s="75">
        <f>IF($C9="","",IFERROR(INDEX(CAT_GRUPO,MATCH($C9,CAT_NOME,0)),"Sem categoria"))</f>
        <v/>
      </c>
      <c r="F9" s="76" t="n">
        <v>119.9</v>
      </c>
      <c r="G9" s="74" t="n"/>
      <c r="H9" s="74" t="inlineStr">
        <is>
          <t>Crédito</t>
        </is>
      </c>
      <c r="I9" s="74" t="inlineStr">
        <is>
          <t>Nubank Mastercard</t>
        </is>
      </c>
      <c r="J9" s="77" t="n"/>
      <c r="K9" s="77" t="n"/>
      <c r="L9" s="74" t="n"/>
      <c r="M9" s="74" t="n"/>
      <c r="O9" s="78">
        <f>IF($A9="","",YEAR($A9)*100+MONTH($A9))</f>
        <v/>
      </c>
      <c r="P9" s="79">
        <f>IF(OR($F9="",$D9=""),"",IF($D9="Receita",$F9,IF($D9="Transferência",0,-$F9)))</f>
        <v/>
      </c>
    </row>
    <row r="10">
      <c r="A10" s="73" t="n">
        <v>45662</v>
      </c>
      <c r="B10" s="74" t="inlineStr">
        <is>
          <t>Salário</t>
        </is>
      </c>
      <c r="C10" s="74" t="inlineStr">
        <is>
          <t>Salário</t>
        </is>
      </c>
      <c r="D10" s="75">
        <f>IF($C10="","",IFERROR(INDEX(CAT_TIPO,MATCH($C10,CAT_NOME,0)),"Sem categoria"))</f>
        <v/>
      </c>
      <c r="E10" s="75">
        <f>IF($C10="","",IFERROR(INDEX(CAT_GRUPO,MATCH($C10,CAT_NOME,0)),"Sem categoria"))</f>
        <v/>
      </c>
      <c r="F10" s="76" t="n">
        <v>5600</v>
      </c>
      <c r="G10" s="74" t="inlineStr">
        <is>
          <t>Conta Nubank</t>
        </is>
      </c>
      <c r="H10" s="74" t="inlineStr">
        <is>
          <t>Transferência</t>
        </is>
      </c>
      <c r="I10" s="74" t="n"/>
      <c r="J10" s="77" t="n"/>
      <c r="K10" s="77" t="n"/>
      <c r="L10" s="74" t="n"/>
      <c r="M10" s="74" t="n"/>
      <c r="O10" s="78">
        <f>IF($A10="","",YEAR($A10)*100+MONTH($A10))</f>
        <v/>
      </c>
      <c r="P10" s="79">
        <f>IF(OR($F10="",$D10=""),"",IF($D10="Receita",$F10,IF($D10="Transferência",0,-$F10)))</f>
        <v/>
      </c>
    </row>
    <row r="11">
      <c r="A11" s="73" t="n">
        <v>45663</v>
      </c>
      <c r="B11" s="74" t="inlineStr">
        <is>
          <t>Plano de saúde</t>
        </is>
      </c>
      <c r="C11" s="74" t="inlineStr">
        <is>
          <t>Saúde e farmácia</t>
        </is>
      </c>
      <c r="D11" s="75">
        <f>IF($C11="","",IFERROR(INDEX(CAT_TIPO,MATCH($C11,CAT_NOME,0)),"Sem categoria"))</f>
        <v/>
      </c>
      <c r="E11" s="75">
        <f>IF($C11="","",IFERROR(INDEX(CAT_GRUPO,MATCH($C11,CAT_NOME,0)),"Sem categoria"))</f>
        <v/>
      </c>
      <c r="F11" s="76" t="n">
        <v>290</v>
      </c>
      <c r="G11" s="74" t="inlineStr">
        <is>
          <t>Conta Nubank</t>
        </is>
      </c>
      <c r="H11" s="74" t="inlineStr">
        <is>
          <t>Débito automático</t>
        </is>
      </c>
      <c r="I11" s="74" t="n"/>
      <c r="J11" s="77" t="n"/>
      <c r="K11" s="77" t="n"/>
      <c r="L11" s="74" t="n"/>
      <c r="M11" s="74" t="n"/>
      <c r="O11" s="78">
        <f>IF($A11="","",YEAR($A11)*100+MONTH($A11))</f>
        <v/>
      </c>
      <c r="P11" s="79">
        <f>IF(OR($F11="",$D11=""),"",IF($D11="Receita",$F11,IF($D11="Transferência",0,-$F11)))</f>
        <v/>
      </c>
    </row>
    <row r="12">
      <c r="A12" s="73" t="n">
        <v>45664</v>
      </c>
      <c r="B12" s="74" t="inlineStr">
        <is>
          <t>Combustível</t>
        </is>
      </c>
      <c r="C12" s="74" t="inlineStr">
        <is>
          <t>Transporte</t>
        </is>
      </c>
      <c r="D12" s="75">
        <f>IF($C12="","",IFERROR(INDEX(CAT_TIPO,MATCH($C12,CAT_NOME,0)),"Sem categoria"))</f>
        <v/>
      </c>
      <c r="E12" s="75">
        <f>IF($C12="","",IFERROR(INDEX(CAT_GRUPO,MATCH($C12,CAT_NOME,0)),"Sem categoria"))</f>
        <v/>
      </c>
      <c r="F12" s="76" t="n">
        <v>95.67</v>
      </c>
      <c r="G12" s="74" t="n"/>
      <c r="H12" s="74" t="inlineStr">
        <is>
          <t>Crédito</t>
        </is>
      </c>
      <c r="I12" s="74" t="inlineStr">
        <is>
          <t>Itaú Visa</t>
        </is>
      </c>
      <c r="J12" s="77" t="n"/>
      <c r="K12" s="77" t="n"/>
      <c r="L12" s="74" t="n"/>
      <c r="M12" s="74" t="n"/>
      <c r="O12" s="78">
        <f>IF($A12="","",YEAR($A12)*100+MONTH($A12))</f>
        <v/>
      </c>
      <c r="P12" s="79">
        <f>IF(OR($F12="",$D12=""),"",IF($D12="Receita",$F12,IF($D12="Transferência",0,-$F12)))</f>
        <v/>
      </c>
    </row>
    <row r="13">
      <c r="A13" s="73" t="n">
        <v>45665</v>
      </c>
      <c r="B13" s="74" t="inlineStr">
        <is>
          <t>Aluguel</t>
        </is>
      </c>
      <c r="C13" s="74" t="inlineStr">
        <is>
          <t>Moradia (aluguel ou financiamento)</t>
        </is>
      </c>
      <c r="D13" s="75">
        <f>IF($C13="","",IFERROR(INDEX(CAT_TIPO,MATCH($C13,CAT_NOME,0)),"Sem categoria"))</f>
        <v/>
      </c>
      <c r="E13" s="75">
        <f>IF($C13="","",IFERROR(INDEX(CAT_GRUPO,MATCH($C13,CAT_NOME,0)),"Sem categoria"))</f>
        <v/>
      </c>
      <c r="F13" s="76" t="n">
        <v>1150</v>
      </c>
      <c r="G13" s="74" t="inlineStr">
        <is>
          <t>Conta Nubank</t>
        </is>
      </c>
      <c r="H13" s="74" t="inlineStr">
        <is>
          <t>Boleto</t>
        </is>
      </c>
      <c r="I13" s="74" t="n"/>
      <c r="J13" s="77" t="n"/>
      <c r="K13" s="77" t="n"/>
      <c r="L13" s="74" t="n"/>
      <c r="M13" s="74" t="n"/>
      <c r="O13" s="78">
        <f>IF($A13="","",YEAR($A13)*100+MONTH($A13))</f>
        <v/>
      </c>
      <c r="P13" s="79">
        <f>IF(OR($F13="",$D13=""),"",IF($D13="Receita",$F13,IF($D13="Transferência",0,-$F13)))</f>
        <v/>
      </c>
    </row>
    <row r="14">
      <c r="A14" s="73" t="n">
        <v>45666</v>
      </c>
      <c r="B14" s="74" t="inlineStr">
        <is>
          <t>Farmácia</t>
        </is>
      </c>
      <c r="C14" s="74" t="inlineStr">
        <is>
          <t>Saúde e farmácia</t>
        </is>
      </c>
      <c r="D14" s="75">
        <f>IF($C14="","",IFERROR(INDEX(CAT_TIPO,MATCH($C14,CAT_NOME,0)),"Sem categoria"))</f>
        <v/>
      </c>
      <c r="E14" s="75">
        <f>IF($C14="","",IFERROR(INDEX(CAT_GRUPO,MATCH($C14,CAT_NOME,0)),"Sem categoria"))</f>
        <v/>
      </c>
      <c r="F14" s="76" t="n">
        <v>41.95</v>
      </c>
      <c r="G14" s="74" t="n"/>
      <c r="H14" s="74" t="inlineStr">
        <is>
          <t>Crédito</t>
        </is>
      </c>
      <c r="I14" s="74" t="inlineStr">
        <is>
          <t>Itaú Visa</t>
        </is>
      </c>
      <c r="J14" s="77" t="n"/>
      <c r="K14" s="77" t="n"/>
      <c r="L14" s="74" t="n"/>
      <c r="M14" s="74" t="n"/>
      <c r="O14" s="78">
        <f>IF($A14="","",YEAR($A14)*100+MONTH($A14))</f>
        <v/>
      </c>
      <c r="P14" s="79">
        <f>IF(OR($F14="",$D14=""),"",IF($D14="Receita",$F14,IF($D14="Transferência",0,-$F14)))</f>
        <v/>
      </c>
    </row>
    <row r="15">
      <c r="A15" s="73" t="n">
        <v>45667</v>
      </c>
      <c r="B15" s="74" t="inlineStr">
        <is>
          <t>Condomínio</t>
        </is>
      </c>
      <c r="C15" s="74" t="inlineStr">
        <is>
          <t>Condomínio e IPTU</t>
        </is>
      </c>
      <c r="D15" s="75">
        <f>IF($C15="","",IFERROR(INDEX(CAT_TIPO,MATCH($C15,CAT_NOME,0)),"Sem categoria"))</f>
        <v/>
      </c>
      <c r="E15" s="75">
        <f>IF($C15="","",IFERROR(INDEX(CAT_GRUPO,MATCH($C15,CAT_NOME,0)),"Sem categoria"))</f>
        <v/>
      </c>
      <c r="F15" s="76" t="n">
        <v>290</v>
      </c>
      <c r="G15" s="74" t="inlineStr">
        <is>
          <t>Conta Nubank</t>
        </is>
      </c>
      <c r="H15" s="74" t="inlineStr">
        <is>
          <t>Boleto</t>
        </is>
      </c>
      <c r="I15" s="74" t="n"/>
      <c r="J15" s="77" t="n"/>
      <c r="K15" s="77" t="n"/>
      <c r="L15" s="74" t="n"/>
      <c r="M15" s="74" t="n"/>
      <c r="O15" s="78">
        <f>IF($A15="","",YEAR($A15)*100+MONTH($A15))</f>
        <v/>
      </c>
      <c r="P15" s="79">
        <f>IF(OR($F15="",$D15=""),"",IF($D15="Receita",$F15,IF($D15="Transferência",0,-$F15)))</f>
        <v/>
      </c>
    </row>
    <row r="16">
      <c r="A16" s="73" t="n">
        <v>45667</v>
      </c>
      <c r="B16" s="74" t="inlineStr">
        <is>
          <t>Supermercado</t>
        </is>
      </c>
      <c r="C16" s="74" t="inlineStr">
        <is>
          <t>Mercado</t>
        </is>
      </c>
      <c r="D16" s="75">
        <f>IF($C16="","",IFERROR(INDEX(CAT_TIPO,MATCH($C16,CAT_NOME,0)),"Sem categoria"))</f>
        <v/>
      </c>
      <c r="E16" s="75">
        <f>IF($C16="","",IFERROR(INDEX(CAT_GRUPO,MATCH($C16,CAT_NOME,0)),"Sem categoria"))</f>
        <v/>
      </c>
      <c r="F16" s="76" t="n">
        <v>132.02</v>
      </c>
      <c r="G16" s="74" t="inlineStr">
        <is>
          <t>Conta Nubank</t>
        </is>
      </c>
      <c r="H16" s="74" t="inlineStr">
        <is>
          <t>Débito</t>
        </is>
      </c>
      <c r="I16" s="74" t="n"/>
      <c r="J16" s="77" t="n"/>
      <c r="K16" s="77" t="n"/>
      <c r="L16" s="74" t="n"/>
      <c r="M16" s="74" t="n"/>
      <c r="O16" s="78">
        <f>IF($A16="","",YEAR($A16)*100+MONTH($A16))</f>
        <v/>
      </c>
      <c r="P16" s="79">
        <f>IF(OR($F16="",$D16=""),"",IF($D16="Receita",$F16,IF($D16="Transferência",0,-$F16)))</f>
        <v/>
      </c>
    </row>
    <row r="17">
      <c r="A17" s="73" t="n">
        <v>45668</v>
      </c>
      <c r="B17" s="74" t="inlineStr">
        <is>
          <t>Uber</t>
        </is>
      </c>
      <c r="C17" s="74" t="inlineStr">
        <is>
          <t>Transporte</t>
        </is>
      </c>
      <c r="D17" s="75">
        <f>IF($C17="","",IFERROR(INDEX(CAT_TIPO,MATCH($C17,CAT_NOME,0)),"Sem categoria"))</f>
        <v/>
      </c>
      <c r="E17" s="75">
        <f>IF($C17="","",IFERROR(INDEX(CAT_GRUPO,MATCH($C17,CAT_NOME,0)),"Sem categoria"))</f>
        <v/>
      </c>
      <c r="F17" s="76" t="n">
        <v>40.55</v>
      </c>
      <c r="G17" s="74" t="n"/>
      <c r="H17" s="74" t="inlineStr">
        <is>
          <t>Crédito</t>
        </is>
      </c>
      <c r="I17" s="74" t="inlineStr">
        <is>
          <t>Nubank Mastercard</t>
        </is>
      </c>
      <c r="J17" s="77" t="n"/>
      <c r="K17" s="77" t="n"/>
      <c r="L17" s="74" t="n"/>
      <c r="M17" s="74" t="n"/>
      <c r="O17" s="78">
        <f>IF($A17="","",YEAR($A17)*100+MONTH($A17))</f>
        <v/>
      </c>
      <c r="P17" s="79">
        <f>IF(OR($F17="",$D17=""),"",IF($D17="Receita",$F17,IF($D17="Transferência",0,-$F17)))</f>
        <v/>
      </c>
    </row>
    <row r="18">
      <c r="A18" s="73" t="n">
        <v>45669</v>
      </c>
      <c r="B18" s="74" t="inlineStr">
        <is>
          <t>Parcela do financiamento do carro</t>
        </is>
      </c>
      <c r="C18" s="74" t="inlineStr">
        <is>
          <t>Dívidas e parcelas</t>
        </is>
      </c>
      <c r="D18" s="75">
        <f>IF($C18="","",IFERROR(INDEX(CAT_TIPO,MATCH($C18,CAT_NOME,0)),"Sem categoria"))</f>
        <v/>
      </c>
      <c r="E18" s="75">
        <f>IF($C18="","",IFERROR(INDEX(CAT_GRUPO,MATCH($C18,CAT_NOME,0)),"Sem categoria"))</f>
        <v/>
      </c>
      <c r="F18" s="76" t="n">
        <v>560</v>
      </c>
      <c r="G18" s="74" t="inlineStr">
        <is>
          <t>Conta Nubank</t>
        </is>
      </c>
      <c r="H18" s="74" t="inlineStr">
        <is>
          <t>Boleto</t>
        </is>
      </c>
      <c r="I18" s="74" t="n"/>
      <c r="J18" s="77" t="inlineStr">
        <is>
          <t>13/48</t>
        </is>
      </c>
      <c r="K18" s="77" t="n"/>
      <c r="L18" s="74" t="n"/>
      <c r="M18" s="74" t="n"/>
      <c r="O18" s="78">
        <f>IF($A18="","",YEAR($A18)*100+MONTH($A18))</f>
        <v/>
      </c>
      <c r="P18" s="79">
        <f>IF(OR($F18="",$D18=""),"",IF($D18="Receita",$F18,IF($D18="Transferência",0,-$F18)))</f>
        <v/>
      </c>
    </row>
    <row r="19">
      <c r="A19" s="73" t="n">
        <v>45669</v>
      </c>
      <c r="B19" s="74" t="inlineStr">
        <is>
          <t>Seguro do carro</t>
        </is>
      </c>
      <c r="C19" s="74" t="inlineStr">
        <is>
          <t>Seguros</t>
        </is>
      </c>
      <c r="D19" s="75">
        <f>IF($C19="","",IFERROR(INDEX(CAT_TIPO,MATCH($C19,CAT_NOME,0)),"Sem categoria"))</f>
        <v/>
      </c>
      <c r="E19" s="75">
        <f>IF($C19="","",IFERROR(INDEX(CAT_GRUPO,MATCH($C19,CAT_NOME,0)),"Sem categoria"))</f>
        <v/>
      </c>
      <c r="F19" s="76" t="n">
        <v>140</v>
      </c>
      <c r="G19" s="74" t="inlineStr">
        <is>
          <t>Conta Nubank</t>
        </is>
      </c>
      <c r="H19" s="74" t="inlineStr">
        <is>
          <t>Débito automático</t>
        </is>
      </c>
      <c r="I19" s="74" t="n"/>
      <c r="J19" s="77" t="n"/>
      <c r="K19" s="77" t="n"/>
      <c r="L19" s="74" t="n"/>
      <c r="M19" s="74" t="n"/>
      <c r="O19" s="78">
        <f>IF($A19="","",YEAR($A19)*100+MONTH($A19))</f>
        <v/>
      </c>
      <c r="P19" s="79">
        <f>IF(OR($F19="",$D19=""),"",IF($D19="Receita",$F19,IF($D19="Transferência",0,-$F19)))</f>
        <v/>
      </c>
    </row>
    <row r="20">
      <c r="A20" s="73" t="n">
        <v>45670</v>
      </c>
      <c r="B20" s="74" t="inlineStr">
        <is>
          <t>Jantar fora</t>
        </is>
      </c>
      <c r="C20" s="74" t="inlineStr">
        <is>
          <t>Restaurantes e delivery</t>
        </is>
      </c>
      <c r="D20" s="75">
        <f>IF($C20="","",IFERROR(INDEX(CAT_TIPO,MATCH($C20,CAT_NOME,0)),"Sem categoria"))</f>
        <v/>
      </c>
      <c r="E20" s="75">
        <f>IF($C20="","",IFERROR(INDEX(CAT_GRUPO,MATCH($C20,CAT_NOME,0)),"Sem categoria"))</f>
        <v/>
      </c>
      <c r="F20" s="76" t="n">
        <v>65.66</v>
      </c>
      <c r="G20" s="74" t="n"/>
      <c r="H20" s="74" t="inlineStr">
        <is>
          <t>Crédito</t>
        </is>
      </c>
      <c r="I20" s="74" t="inlineStr">
        <is>
          <t>Nubank Mastercard</t>
        </is>
      </c>
      <c r="J20" s="77" t="n"/>
      <c r="K20" s="77" t="n"/>
      <c r="L20" s="74" t="n"/>
      <c r="M20" s="74" t="n"/>
      <c r="O20" s="78">
        <f>IF($A20="","",YEAR($A20)*100+MONTH($A20))</f>
        <v/>
      </c>
      <c r="P20" s="79">
        <f>IF(OR($F20="",$D20=""),"",IF($D20="Receita",$F20,IF($D20="Transferência",0,-$F20)))</f>
        <v/>
      </c>
    </row>
    <row r="21">
      <c r="A21" s="73" t="n">
        <v>45671</v>
      </c>
      <c r="B21" s="74" t="inlineStr">
        <is>
          <t>Conta de luz</t>
        </is>
      </c>
      <c r="C21" s="74" t="inlineStr">
        <is>
          <t>Contas da casa (luz, água, gás)</t>
        </is>
      </c>
      <c r="D21" s="75">
        <f>IF($C21="","",IFERROR(INDEX(CAT_TIPO,MATCH($C21,CAT_NOME,0)),"Sem categoria"))</f>
        <v/>
      </c>
      <c r="E21" s="75">
        <f>IF($C21="","",IFERROR(INDEX(CAT_GRUPO,MATCH($C21,CAT_NOME,0)),"Sem categoria"))</f>
        <v/>
      </c>
      <c r="F21" s="76" t="n">
        <v>163.13</v>
      </c>
      <c r="G21" s="74" t="inlineStr">
        <is>
          <t>Conta Nubank</t>
        </is>
      </c>
      <c r="H21" s="74" t="inlineStr">
        <is>
          <t>Débito automático</t>
        </is>
      </c>
      <c r="I21" s="74" t="n"/>
      <c r="J21" s="77" t="n"/>
      <c r="K21" s="77" t="n"/>
      <c r="L21" s="74" t="n"/>
      <c r="M21" s="74" t="n"/>
      <c r="O21" s="78">
        <f>IF($A21="","",YEAR($A21)*100+MONTH($A21))</f>
        <v/>
      </c>
      <c r="P21" s="79">
        <f>IF(OR($F21="",$D21=""),"",IF($D21="Receita",$F21,IF($D21="Transferência",0,-$F21)))</f>
        <v/>
      </c>
    </row>
    <row r="22">
      <c r="A22" s="73" t="n">
        <v>45672</v>
      </c>
      <c r="B22" s="74" t="inlineStr">
        <is>
          <t>IPVA 2025 (cota única)</t>
        </is>
      </c>
      <c r="C22" s="74" t="inlineStr">
        <is>
          <t>Impostos e taxas</t>
        </is>
      </c>
      <c r="D22" s="75">
        <f>IF($C22="","",IFERROR(INDEX(CAT_TIPO,MATCH($C22,CAT_NOME,0)),"Sem categoria"))</f>
        <v/>
      </c>
      <c r="E22" s="75">
        <f>IF($C22="","",IFERROR(INDEX(CAT_GRUPO,MATCH($C22,CAT_NOME,0)),"Sem categoria"))</f>
        <v/>
      </c>
      <c r="F22" s="76" t="n">
        <v>1180</v>
      </c>
      <c r="G22" s="74" t="inlineStr">
        <is>
          <t>Conta Nubank</t>
        </is>
      </c>
      <c r="H22" s="74" t="inlineStr">
        <is>
          <t>Pix</t>
        </is>
      </c>
      <c r="I22" s="74" t="n"/>
      <c r="J22" s="77" t="n"/>
      <c r="K22" s="77" t="n"/>
      <c r="L22" s="74" t="n"/>
      <c r="M22" s="74" t="n"/>
      <c r="O22" s="78">
        <f>IF($A22="","",YEAR($A22)*100+MONTH($A22))</f>
        <v/>
      </c>
      <c r="P22" s="79">
        <f>IF(OR($F22="",$D22=""),"",IF($D22="Receita",$F22,IF($D22="Transferência",0,-$F22)))</f>
        <v/>
      </c>
    </row>
    <row r="23">
      <c r="A23" s="73" t="n">
        <v>45672</v>
      </c>
      <c r="B23" s="74" t="inlineStr">
        <is>
          <t>Roupas e acessórios</t>
        </is>
      </c>
      <c r="C23" s="74" t="inlineStr">
        <is>
          <t>Compras pessoais</t>
        </is>
      </c>
      <c r="D23" s="75">
        <f>IF($C23="","",IFERROR(INDEX(CAT_TIPO,MATCH($C23,CAT_NOME,0)),"Sem categoria"))</f>
        <v/>
      </c>
      <c r="E23" s="75">
        <f>IF($C23="","",IFERROR(INDEX(CAT_GRUPO,MATCH($C23,CAT_NOME,0)),"Sem categoria"))</f>
        <v/>
      </c>
      <c r="F23" s="76" t="n">
        <v>82.31</v>
      </c>
      <c r="G23" s="74" t="n"/>
      <c r="H23" s="74" t="inlineStr">
        <is>
          <t>Crédito</t>
        </is>
      </c>
      <c r="I23" s="74" t="inlineStr">
        <is>
          <t>Nubank Mastercard</t>
        </is>
      </c>
      <c r="J23" s="77" t="n"/>
      <c r="K23" s="77" t="n"/>
      <c r="L23" s="74" t="n"/>
      <c r="M23" s="74" t="n"/>
      <c r="O23" s="78">
        <f>IF($A23="","",YEAR($A23)*100+MONTH($A23))</f>
        <v/>
      </c>
      <c r="P23" s="79">
        <f>IF(OR($F23="",$D23=""),"",IF($D23="Receita",$F23,IF($D23="Transferência",0,-$F23)))</f>
        <v/>
      </c>
    </row>
    <row r="24">
      <c r="A24" s="73" t="n">
        <v>45673</v>
      </c>
      <c r="B24" s="74" t="inlineStr">
        <is>
          <t>Combustível</t>
        </is>
      </c>
      <c r="C24" s="74" t="inlineStr">
        <is>
          <t>Transporte</t>
        </is>
      </c>
      <c r="D24" s="75">
        <f>IF($C24="","",IFERROR(INDEX(CAT_TIPO,MATCH($C24,CAT_NOME,0)),"Sem categoria"))</f>
        <v/>
      </c>
      <c r="E24" s="75">
        <f>IF($C24="","",IFERROR(INDEX(CAT_GRUPO,MATCH($C24,CAT_NOME,0)),"Sem categoria"))</f>
        <v/>
      </c>
      <c r="F24" s="76" t="n">
        <v>106.73</v>
      </c>
      <c r="G24" s="74" t="n"/>
      <c r="H24" s="74" t="inlineStr">
        <is>
          <t>Crédito</t>
        </is>
      </c>
      <c r="I24" s="74" t="inlineStr">
        <is>
          <t>Itaú Visa</t>
        </is>
      </c>
      <c r="J24" s="77" t="n"/>
      <c r="K24" s="77" t="n"/>
      <c r="L24" s="74" t="n"/>
      <c r="M24" s="74" t="n"/>
      <c r="O24" s="78">
        <f>IF($A24="","",YEAR($A24)*100+MONTH($A24))</f>
        <v/>
      </c>
      <c r="P24" s="79">
        <f>IF(OR($F24="",$D24=""),"",IF($D24="Receita",$F24,IF($D24="Transferência",0,-$F24)))</f>
        <v/>
      </c>
    </row>
    <row r="25">
      <c r="A25" s="73" t="n">
        <v>45674</v>
      </c>
      <c r="B25" s="74" t="inlineStr">
        <is>
          <t>Pagamento da fatura Itaú Visa</t>
        </is>
      </c>
      <c r="C25" s="74" t="inlineStr">
        <is>
          <t>Pagamento de fatura</t>
        </is>
      </c>
      <c r="D25" s="75">
        <f>IF($C25="","",IFERROR(INDEX(CAT_TIPO,MATCH($C25,CAT_NOME,0)),"Sem categoria"))</f>
        <v/>
      </c>
      <c r="E25" s="75">
        <f>IF($C25="","",IFERROR(INDEX(CAT_GRUPO,MATCH($C25,CAT_NOME,0)),"Sem categoria"))</f>
        <v/>
      </c>
      <c r="F25" s="76" t="n">
        <v>287.62</v>
      </c>
      <c r="G25" s="74" t="inlineStr">
        <is>
          <t>Conta Nubank</t>
        </is>
      </c>
      <c r="H25" s="74" t="inlineStr">
        <is>
          <t>Boleto</t>
        </is>
      </c>
      <c r="I25" s="74" t="inlineStr">
        <is>
          <t>Itaú Visa</t>
        </is>
      </c>
      <c r="J25" s="77" t="n"/>
      <c r="K25" s="77" t="n"/>
      <c r="L25" s="74" t="n"/>
      <c r="M25" s="74" t="n"/>
      <c r="O25" s="78">
        <f>IF($A25="","",YEAR($A25)*100+MONTH($A25))</f>
        <v/>
      </c>
      <c r="P25" s="79">
        <f>IF(OR($F25="",$D25=""),"",IF($D25="Receita",$F25,IF($D25="Transferência",0,-$F25)))</f>
        <v/>
      </c>
    </row>
    <row r="26">
      <c r="A26" s="73" t="n">
        <v>45674</v>
      </c>
      <c r="B26" s="74" t="inlineStr">
        <is>
          <t>Supermercado</t>
        </is>
      </c>
      <c r="C26" s="74" t="inlineStr">
        <is>
          <t>Mercado</t>
        </is>
      </c>
      <c r="D26" s="75">
        <f>IF($C26="","",IFERROR(INDEX(CAT_TIPO,MATCH($C26,CAT_NOME,0)),"Sem categoria"))</f>
        <v/>
      </c>
      <c r="E26" s="75">
        <f>IF($C26="","",IFERROR(INDEX(CAT_GRUPO,MATCH($C26,CAT_NOME,0)),"Sem categoria"))</f>
        <v/>
      </c>
      <c r="F26" s="76" t="n">
        <v>167.04</v>
      </c>
      <c r="G26" s="74" t="inlineStr">
        <is>
          <t>Conta Nubank</t>
        </is>
      </c>
      <c r="H26" s="74" t="inlineStr">
        <is>
          <t>Débito</t>
        </is>
      </c>
      <c r="I26" s="74" t="n"/>
      <c r="J26" s="77" t="n"/>
      <c r="K26" s="77" t="n"/>
      <c r="L26" s="74" t="n"/>
      <c r="M26" s="74" t="n"/>
      <c r="O26" s="78">
        <f>IF($A26="","",YEAR($A26)*100+MONTH($A26))</f>
        <v/>
      </c>
      <c r="P26" s="79">
        <f>IF(OR($F26="",$D26=""),"",IF($D26="Receita",$F26,IF($D26="Transferência",0,-$F26)))</f>
        <v/>
      </c>
    </row>
    <row r="27">
      <c r="A27" s="73" t="n">
        <v>45674</v>
      </c>
      <c r="B27" s="74" t="inlineStr">
        <is>
          <t>iCloud</t>
        </is>
      </c>
      <c r="C27" s="74" t="inlineStr">
        <is>
          <t>Assinaturas e streaming</t>
        </is>
      </c>
      <c r="D27" s="75">
        <f>IF($C27="","",IFERROR(INDEX(CAT_TIPO,MATCH($C27,CAT_NOME,0)),"Sem categoria"))</f>
        <v/>
      </c>
      <c r="E27" s="75">
        <f>IF($C27="","",IFERROR(INDEX(CAT_GRUPO,MATCH($C27,CAT_NOME,0)),"Sem categoria"))</f>
        <v/>
      </c>
      <c r="F27" s="76" t="n">
        <v>14.9</v>
      </c>
      <c r="G27" s="74" t="n"/>
      <c r="H27" s="74" t="inlineStr">
        <is>
          <t>Crédito</t>
        </is>
      </c>
      <c r="I27" s="74" t="inlineStr">
        <is>
          <t>Nubank Mastercard</t>
        </is>
      </c>
      <c r="J27" s="77" t="n"/>
      <c r="K27" s="77" t="n"/>
      <c r="L27" s="74" t="n"/>
      <c r="M27" s="74" t="n"/>
      <c r="O27" s="78">
        <f>IF($A27="","",YEAR($A27)*100+MONTH($A27))</f>
        <v/>
      </c>
      <c r="P27" s="79">
        <f>IF(OR($F27="",$D27=""),"",IF($D27="Receita",$F27,IF($D27="Transferência",0,-$F27)))</f>
        <v/>
      </c>
    </row>
    <row r="28">
      <c r="A28" s="73" t="n">
        <v>45675</v>
      </c>
      <c r="B28" s="74" t="inlineStr">
        <is>
          <t>Barbearia / salão</t>
        </is>
      </c>
      <c r="C28" s="74" t="inlineStr">
        <is>
          <t>Beleza e cuidados</t>
        </is>
      </c>
      <c r="D28" s="75">
        <f>IF($C28="","",IFERROR(INDEX(CAT_TIPO,MATCH($C28,CAT_NOME,0)),"Sem categoria"))</f>
        <v/>
      </c>
      <c r="E28" s="75">
        <f>IF($C28="","",IFERROR(INDEX(CAT_GRUPO,MATCH($C28,CAT_NOME,0)),"Sem categoria"))</f>
        <v/>
      </c>
      <c r="F28" s="76" t="n">
        <v>83.2</v>
      </c>
      <c r="G28" s="74" t="inlineStr">
        <is>
          <t>Conta Nubank</t>
        </is>
      </c>
      <c r="H28" s="74" t="inlineStr">
        <is>
          <t>Pix</t>
        </is>
      </c>
      <c r="I28" s="74" t="n"/>
      <c r="J28" s="77" t="n"/>
      <c r="K28" s="77" t="n"/>
      <c r="L28" s="74" t="n"/>
      <c r="M28" s="74" t="n"/>
      <c r="O28" s="78">
        <f>IF($A28="","",YEAR($A28)*100+MONTH($A28))</f>
        <v/>
      </c>
      <c r="P28" s="79">
        <f>IF(OR($F28="",$D28=""),"",IF($D28="Receita",$F28,IF($D28="Transferência",0,-$F28)))</f>
        <v/>
      </c>
    </row>
    <row r="29">
      <c r="A29" s="73" t="n">
        <v>45675</v>
      </c>
      <c r="B29" s="74" t="inlineStr">
        <is>
          <t>Conta de água</t>
        </is>
      </c>
      <c r="C29" s="74" t="inlineStr">
        <is>
          <t>Contas da casa (luz, água, gás)</t>
        </is>
      </c>
      <c r="D29" s="75">
        <f>IF($C29="","",IFERROR(INDEX(CAT_TIPO,MATCH($C29,CAT_NOME,0)),"Sem categoria"))</f>
        <v/>
      </c>
      <c r="E29" s="75">
        <f>IF($C29="","",IFERROR(INDEX(CAT_GRUPO,MATCH($C29,CAT_NOME,0)),"Sem categoria"))</f>
        <v/>
      </c>
      <c r="F29" s="76" t="n">
        <v>77.58</v>
      </c>
      <c r="G29" s="74" t="inlineStr">
        <is>
          <t>Conta Nubank</t>
        </is>
      </c>
      <c r="H29" s="74" t="inlineStr">
        <is>
          <t>Débito automático</t>
        </is>
      </c>
      <c r="I29" s="74" t="n"/>
      <c r="J29" s="77" t="n"/>
      <c r="K29" s="77" t="n"/>
      <c r="L29" s="74" t="n"/>
      <c r="M29" s="74" t="n"/>
      <c r="O29" s="78">
        <f>IF($A29="","",YEAR($A29)*100+MONTH($A29))</f>
        <v/>
      </c>
      <c r="P29" s="79">
        <f>IF(OR($F29="",$D29=""),"",IF($D29="Receita",$F29,IF($D29="Transferência",0,-$F29)))</f>
        <v/>
      </c>
    </row>
    <row r="30">
      <c r="A30" s="73" t="n">
        <v>45676</v>
      </c>
      <c r="B30" s="74" t="inlineStr">
        <is>
          <t>iFood</t>
        </is>
      </c>
      <c r="C30" s="74" t="inlineStr">
        <is>
          <t>Restaurantes e delivery</t>
        </is>
      </c>
      <c r="D30" s="75">
        <f>IF($C30="","",IFERROR(INDEX(CAT_TIPO,MATCH($C30,CAT_NOME,0)),"Sem categoria"))</f>
        <v/>
      </c>
      <c r="E30" s="75">
        <f>IF($C30="","",IFERROR(INDEX(CAT_GRUPO,MATCH($C30,CAT_NOME,0)),"Sem categoria"))</f>
        <v/>
      </c>
      <c r="F30" s="76" t="n">
        <v>39.42</v>
      </c>
      <c r="G30" s="74" t="n"/>
      <c r="H30" s="74" t="inlineStr">
        <is>
          <t>Crédito</t>
        </is>
      </c>
      <c r="I30" s="74" t="inlineStr">
        <is>
          <t>Nubank Mastercard</t>
        </is>
      </c>
      <c r="J30" s="77" t="n"/>
      <c r="K30" s="77" t="n"/>
      <c r="L30" s="74" t="n"/>
      <c r="M30" s="74" t="n"/>
      <c r="O30" s="78">
        <f>IF($A30="","",YEAR($A30)*100+MONTH($A30))</f>
        <v/>
      </c>
      <c r="P30" s="79">
        <f>IF(OR($F30="",$D30=""),"",IF($D30="Receita",$F30,IF($D30="Transferência",0,-$F30)))</f>
        <v/>
      </c>
    </row>
    <row r="31">
      <c r="A31" s="73" t="n">
        <v>45677</v>
      </c>
      <c r="B31" s="74" t="inlineStr">
        <is>
          <t>Internet fibra</t>
        </is>
      </c>
      <c r="C31" s="74" t="inlineStr">
        <is>
          <t>Internet e celular</t>
        </is>
      </c>
      <c r="D31" s="75">
        <f>IF($C31="","",IFERROR(INDEX(CAT_TIPO,MATCH($C31,CAT_NOME,0)),"Sem categoria"))</f>
        <v/>
      </c>
      <c r="E31" s="75">
        <f>IF($C31="","",IFERROR(INDEX(CAT_GRUPO,MATCH($C31,CAT_NOME,0)),"Sem categoria"))</f>
        <v/>
      </c>
      <c r="F31" s="76" t="n">
        <v>119.9</v>
      </c>
      <c r="G31" s="74" t="inlineStr">
        <is>
          <t>Conta Nubank</t>
        </is>
      </c>
      <c r="H31" s="74" t="inlineStr">
        <is>
          <t>Débito automático</t>
        </is>
      </c>
      <c r="I31" s="74" t="n"/>
      <c r="J31" s="77" t="n"/>
      <c r="K31" s="77" t="n"/>
      <c r="L31" s="74" t="n"/>
      <c r="M31" s="74" t="n"/>
      <c r="O31" s="78">
        <f>IF($A31="","",YEAR($A31)*100+MONTH($A31))</f>
        <v/>
      </c>
      <c r="P31" s="79">
        <f>IF(OR($F31="",$D31=""),"",IF($D31="Receita",$F31,IF($D31="Transferência",0,-$F31)))</f>
        <v/>
      </c>
    </row>
    <row r="32">
      <c r="A32" s="73" t="n">
        <v>45677</v>
      </c>
      <c r="B32" s="74" t="inlineStr">
        <is>
          <t>Projeto freelance</t>
        </is>
      </c>
      <c r="C32" s="74" t="inlineStr">
        <is>
          <t>Renda extra e freelance</t>
        </is>
      </c>
      <c r="D32" s="75">
        <f>IF($C32="","",IFERROR(INDEX(CAT_TIPO,MATCH($C32,CAT_NOME,0)),"Sem categoria"))</f>
        <v/>
      </c>
      <c r="E32" s="75">
        <f>IF($C32="","",IFERROR(INDEX(CAT_GRUPO,MATCH($C32,CAT_NOME,0)),"Sem categoria"))</f>
        <v/>
      </c>
      <c r="F32" s="76" t="n">
        <v>900</v>
      </c>
      <c r="G32" s="74" t="inlineStr">
        <is>
          <t>Conta Nubank</t>
        </is>
      </c>
      <c r="H32" s="74" t="inlineStr">
        <is>
          <t>Pix</t>
        </is>
      </c>
      <c r="I32" s="74" t="n"/>
      <c r="J32" s="77" t="n"/>
      <c r="K32" s="77" t="n"/>
      <c r="L32" s="74" t="n"/>
      <c r="M32" s="74" t="n"/>
      <c r="O32" s="78">
        <f>IF($A32="","",YEAR($A32)*100+MONTH($A32))</f>
        <v/>
      </c>
      <c r="P32" s="79">
        <f>IF(OR($F32="",$D32=""),"",IF($D32="Receita",$F32,IF($D32="Transferência",0,-$F32)))</f>
        <v/>
      </c>
    </row>
    <row r="33">
      <c r="A33" s="73" t="n">
        <v>45678</v>
      </c>
      <c r="B33" s="74" t="inlineStr">
        <is>
          <t>Uber</t>
        </is>
      </c>
      <c r="C33" s="74" t="inlineStr">
        <is>
          <t>Transporte</t>
        </is>
      </c>
      <c r="D33" s="75">
        <f>IF($C33="","",IFERROR(INDEX(CAT_TIPO,MATCH($C33,CAT_NOME,0)),"Sem categoria"))</f>
        <v/>
      </c>
      <c r="E33" s="75">
        <f>IF($C33="","",IFERROR(INDEX(CAT_GRUPO,MATCH($C33,CAT_NOME,0)),"Sem categoria"))</f>
        <v/>
      </c>
      <c r="F33" s="76" t="n">
        <v>41.5</v>
      </c>
      <c r="G33" s="74" t="n"/>
      <c r="H33" s="74" t="inlineStr">
        <is>
          <t>Crédito</t>
        </is>
      </c>
      <c r="I33" s="74" t="inlineStr">
        <is>
          <t>Nubank Mastercard</t>
        </is>
      </c>
      <c r="J33" s="77" t="n"/>
      <c r="K33" s="77" t="n"/>
      <c r="L33" s="74" t="n"/>
      <c r="M33" s="74" t="n"/>
      <c r="O33" s="78">
        <f>IF($A33="","",YEAR($A33)*100+MONTH($A33))</f>
        <v/>
      </c>
      <c r="P33" s="79">
        <f>IF(OR($F33="",$D33=""),"",IF($D33="Receita",$F33,IF($D33="Transferência",0,-$F33)))</f>
        <v/>
      </c>
    </row>
    <row r="34">
      <c r="A34" s="73" t="n">
        <v>45679</v>
      </c>
      <c r="B34" s="74" t="inlineStr">
        <is>
          <t>Plano de celular</t>
        </is>
      </c>
      <c r="C34" s="74" t="inlineStr">
        <is>
          <t>Internet e celular</t>
        </is>
      </c>
      <c r="D34" s="75">
        <f>IF($C34="","",IFERROR(INDEX(CAT_TIPO,MATCH($C34,CAT_NOME,0)),"Sem categoria"))</f>
        <v/>
      </c>
      <c r="E34" s="75">
        <f>IF($C34="","",IFERROR(INDEX(CAT_GRUPO,MATCH($C34,CAT_NOME,0)),"Sem categoria"))</f>
        <v/>
      </c>
      <c r="F34" s="76" t="n">
        <v>59.9</v>
      </c>
      <c r="G34" s="74" t="inlineStr">
        <is>
          <t>Conta Nubank</t>
        </is>
      </c>
      <c r="H34" s="74" t="inlineStr">
        <is>
          <t>Débito automático</t>
        </is>
      </c>
      <c r="I34" s="74" t="n"/>
      <c r="J34" s="77" t="n"/>
      <c r="K34" s="77" t="n"/>
      <c r="L34" s="74" t="n"/>
      <c r="M34" s="74" t="n"/>
      <c r="O34" s="78">
        <f>IF($A34="","",YEAR($A34)*100+MONTH($A34))</f>
        <v/>
      </c>
      <c r="P34" s="79">
        <f>IF(OR($F34="",$D34=""),"",IF($D34="Receita",$F34,IF($D34="Transferência",0,-$F34)))</f>
        <v/>
      </c>
    </row>
    <row r="35">
      <c r="A35" s="73" t="n">
        <v>45680</v>
      </c>
      <c r="B35" s="74" t="inlineStr">
        <is>
          <t>Cinema e passeios</t>
        </is>
      </c>
      <c r="C35" s="74" t="inlineStr">
        <is>
          <t>Lazer e entretenimento</t>
        </is>
      </c>
      <c r="D35" s="75">
        <f>IF($C35="","",IFERROR(INDEX(CAT_TIPO,MATCH($C35,CAT_NOME,0)),"Sem categoria"))</f>
        <v/>
      </c>
      <c r="E35" s="75">
        <f>IF($C35="","",IFERROR(INDEX(CAT_GRUPO,MATCH($C35,CAT_NOME,0)),"Sem categoria"))</f>
        <v/>
      </c>
      <c r="F35" s="76" t="n">
        <v>102.31</v>
      </c>
      <c r="G35" s="74" t="n"/>
      <c r="H35" s="74" t="inlineStr">
        <is>
          <t>Crédito</t>
        </is>
      </c>
      <c r="I35" s="74" t="inlineStr">
        <is>
          <t>Itaú Visa</t>
        </is>
      </c>
      <c r="J35" s="77" t="n"/>
      <c r="K35" s="77" t="n"/>
      <c r="L35" s="74" t="n"/>
      <c r="M35" s="74" t="n"/>
      <c r="O35" s="78">
        <f>IF($A35="","",YEAR($A35)*100+MONTH($A35))</f>
        <v/>
      </c>
      <c r="P35" s="79">
        <f>IF(OR($F35="",$D35=""),"",IF($D35="Receita",$F35,IF($D35="Transferência",0,-$F35)))</f>
        <v/>
      </c>
    </row>
    <row r="36">
      <c r="A36" s="73" t="n">
        <v>45681</v>
      </c>
      <c r="B36" s="74" t="inlineStr">
        <is>
          <t>Supermercado</t>
        </is>
      </c>
      <c r="C36" s="74" t="inlineStr">
        <is>
          <t>Mercado</t>
        </is>
      </c>
      <c r="D36" s="75">
        <f>IF($C36="","",IFERROR(INDEX(CAT_TIPO,MATCH($C36,CAT_NOME,0)),"Sem categoria"))</f>
        <v/>
      </c>
      <c r="E36" s="75">
        <f>IF($C36="","",IFERROR(INDEX(CAT_GRUPO,MATCH($C36,CAT_NOME,0)),"Sem categoria"))</f>
        <v/>
      </c>
      <c r="F36" s="76" t="n">
        <v>152.51</v>
      </c>
      <c r="G36" s="74" t="inlineStr">
        <is>
          <t>Conta Nubank</t>
        </is>
      </c>
      <c r="H36" s="74" t="inlineStr">
        <is>
          <t>Débito</t>
        </is>
      </c>
      <c r="I36" s="74" t="n"/>
      <c r="J36" s="77" t="n"/>
      <c r="K36" s="77" t="n"/>
      <c r="L36" s="74" t="n"/>
      <c r="M36" s="74" t="n"/>
      <c r="O36" s="78">
        <f>IF($A36="","",YEAR($A36)*100+MONTH($A36))</f>
        <v/>
      </c>
      <c r="P36" s="79">
        <f>IF(OR($F36="",$D36=""),"",IF($D36="Receita",$F36,IF($D36="Transferência",0,-$F36)))</f>
        <v/>
      </c>
    </row>
    <row r="37">
      <c r="A37" s="73" t="n">
        <v>45683</v>
      </c>
      <c r="B37" s="74" t="inlineStr">
        <is>
          <t>Combustível</t>
        </is>
      </c>
      <c r="C37" s="74" t="inlineStr">
        <is>
          <t>Transporte</t>
        </is>
      </c>
      <c r="D37" s="75">
        <f>IF($C37="","",IFERROR(INDEX(CAT_TIPO,MATCH($C37,CAT_NOME,0)),"Sem categoria"))</f>
        <v/>
      </c>
      <c r="E37" s="75">
        <f>IF($C37="","",IFERROR(INDEX(CAT_GRUPO,MATCH($C37,CAT_NOME,0)),"Sem categoria"))</f>
        <v/>
      </c>
      <c r="F37" s="76" t="n">
        <v>94.93000000000001</v>
      </c>
      <c r="G37" s="74" t="n"/>
      <c r="H37" s="74" t="inlineStr">
        <is>
          <t>Crédito</t>
        </is>
      </c>
      <c r="I37" s="74" t="inlineStr">
        <is>
          <t>Itaú Visa</t>
        </is>
      </c>
      <c r="J37" s="77" t="n"/>
      <c r="K37" s="77" t="n"/>
      <c r="L37" s="74" t="n"/>
      <c r="M37" s="74" t="n"/>
      <c r="O37" s="78">
        <f>IF($A37="","",YEAR($A37)*100+MONTH($A37))</f>
        <v/>
      </c>
      <c r="P37" s="79">
        <f>IF(OR($F37="",$D37=""),"",IF($D37="Receita",$F37,IF($D37="Transferência",0,-$F37)))</f>
        <v/>
      </c>
    </row>
    <row r="38">
      <c r="A38" s="73" t="n">
        <v>45684</v>
      </c>
      <c r="B38" s="74" t="inlineStr">
        <is>
          <t>Almoço de domingo</t>
        </is>
      </c>
      <c r="C38" s="74" t="inlineStr">
        <is>
          <t>Restaurantes e delivery</t>
        </is>
      </c>
      <c r="D38" s="75">
        <f>IF($C38="","",IFERROR(INDEX(CAT_TIPO,MATCH($C38,CAT_NOME,0)),"Sem categoria"))</f>
        <v/>
      </c>
      <c r="E38" s="75">
        <f>IF($C38="","",IFERROR(INDEX(CAT_GRUPO,MATCH($C38,CAT_NOME,0)),"Sem categoria"))</f>
        <v/>
      </c>
      <c r="F38" s="76" t="n">
        <v>70.43000000000001</v>
      </c>
      <c r="G38" s="74" t="n"/>
      <c r="H38" s="74" t="inlineStr">
        <is>
          <t>Crédito</t>
        </is>
      </c>
      <c r="I38" s="74" t="inlineStr">
        <is>
          <t>Nubank Mastercard</t>
        </is>
      </c>
      <c r="J38" s="77" t="n"/>
      <c r="K38" s="77" t="n"/>
      <c r="L38" s="74" t="n"/>
      <c r="M38" s="74" t="n"/>
      <c r="O38" s="78">
        <f>IF($A38="","",YEAR($A38)*100+MONTH($A38))</f>
        <v/>
      </c>
      <c r="P38" s="79">
        <f>IF(OR($F38="",$D38=""),"",IF($D38="Receita",$F38,IF($D38="Transferência",0,-$F38)))</f>
        <v/>
      </c>
    </row>
    <row r="39">
      <c r="A39" s="73" t="n">
        <v>45685</v>
      </c>
      <c r="B39" s="74" t="inlineStr">
        <is>
          <t>Aporte em renda fixa</t>
        </is>
      </c>
      <c r="C39" s="74" t="inlineStr">
        <is>
          <t>Investimentos</t>
        </is>
      </c>
      <c r="D39" s="75">
        <f>IF($C39="","",IFERROR(INDEX(CAT_TIPO,MATCH($C39,CAT_NOME,0)),"Sem categoria"))</f>
        <v/>
      </c>
      <c r="E39" s="75">
        <f>IF($C39="","",IFERROR(INDEX(CAT_GRUPO,MATCH($C39,CAT_NOME,0)),"Sem categoria"))</f>
        <v/>
      </c>
      <c r="F39" s="76" t="n">
        <v>250</v>
      </c>
      <c r="G39" s="74" t="inlineStr">
        <is>
          <t>Conta Nubank</t>
        </is>
      </c>
      <c r="H39" s="74" t="inlineStr">
        <is>
          <t>Transferência</t>
        </is>
      </c>
      <c r="I39" s="74" t="n"/>
      <c r="J39" s="77" t="n"/>
      <c r="K39" s="77" t="n"/>
      <c r="L39" s="74" t="inlineStr">
        <is>
          <t>Corretora</t>
        </is>
      </c>
      <c r="M39" s="74" t="n"/>
      <c r="O39" s="78">
        <f>IF($A39="","",YEAR($A39)*100+MONTH($A39))</f>
        <v/>
      </c>
      <c r="P39" s="79">
        <f>IF(OR($F39="",$D39=""),"",IF($D39="Receita",$F39,IF($D39="Transferência",0,-$F39)))</f>
        <v/>
      </c>
    </row>
    <row r="40">
      <c r="A40" s="73" t="n">
        <v>45685</v>
      </c>
      <c r="B40" s="74" t="inlineStr">
        <is>
          <t>Cofrinho da viagem</t>
        </is>
      </c>
      <c r="C40" s="74" t="inlineStr">
        <is>
          <t>Metas e sonhos</t>
        </is>
      </c>
      <c r="D40" s="75">
        <f>IF($C40="","",IFERROR(INDEX(CAT_TIPO,MATCH($C40,CAT_NOME,0)),"Sem categoria"))</f>
        <v/>
      </c>
      <c r="E40" s="75">
        <f>IF($C40="","",IFERROR(INDEX(CAT_GRUPO,MATCH($C40,CAT_NOME,0)),"Sem categoria"))</f>
        <v/>
      </c>
      <c r="F40" s="76" t="n">
        <v>150</v>
      </c>
      <c r="G40" s="74" t="inlineStr">
        <is>
          <t>Conta Nubank</t>
        </is>
      </c>
      <c r="H40" s="74" t="inlineStr">
        <is>
          <t>Transferência</t>
        </is>
      </c>
      <c r="I40" s="74" t="n"/>
      <c r="J40" s="77" t="n"/>
      <c r="K40" s="77" t="n"/>
      <c r="L40" s="74" t="inlineStr">
        <is>
          <t>Cofrinho viagem</t>
        </is>
      </c>
      <c r="M40" s="74" t="n"/>
      <c r="O40" s="78">
        <f>IF($A40="","",YEAR($A40)*100+MONTH($A40))</f>
        <v/>
      </c>
      <c r="P40" s="79">
        <f>IF(OR($F40="",$D40=""),"",IF($D40="Receita",$F40,IF($D40="Transferência",0,-$F40)))</f>
        <v/>
      </c>
    </row>
    <row r="41">
      <c r="A41" s="73" t="n">
        <v>45685</v>
      </c>
      <c r="B41" s="74" t="inlineStr">
        <is>
          <t>Rendimento da renda fixa</t>
        </is>
      </c>
      <c r="C41" s="74" t="inlineStr">
        <is>
          <t>Rendimentos de investimentos</t>
        </is>
      </c>
      <c r="D41" s="75">
        <f>IF($C41="","",IFERROR(INDEX(CAT_TIPO,MATCH($C41,CAT_NOME,0)),"Sem categoria"))</f>
        <v/>
      </c>
      <c r="E41" s="75">
        <f>IF($C41="","",IFERROR(INDEX(CAT_GRUPO,MATCH($C41,CAT_NOME,0)),"Sem categoria"))</f>
        <v/>
      </c>
      <c r="F41" s="76" t="n">
        <v>87.45</v>
      </c>
      <c r="G41" s="74" t="inlineStr">
        <is>
          <t>Corretora</t>
        </is>
      </c>
      <c r="H41" s="74" t="inlineStr">
        <is>
          <t>Transferência</t>
        </is>
      </c>
      <c r="I41" s="74" t="n"/>
      <c r="J41" s="77" t="n"/>
      <c r="K41" s="77" t="n"/>
      <c r="L41" s="74" t="n"/>
      <c r="M41" s="74" t="n"/>
      <c r="O41" s="78">
        <f>IF($A41="","",YEAR($A41)*100+MONTH($A41))</f>
        <v/>
      </c>
      <c r="P41" s="79">
        <f>IF(OR($F41="",$D41=""),"",IF($D41="Receita",$F41,IF($D41="Transferência",0,-$F41)))</f>
        <v/>
      </c>
    </row>
    <row r="42">
      <c r="A42" s="73" t="n">
        <v>45685</v>
      </c>
      <c r="B42" s="74" t="inlineStr">
        <is>
          <t>Reserva de emergência</t>
        </is>
      </c>
      <c r="C42" s="74" t="inlineStr">
        <is>
          <t>Reserva de emergência</t>
        </is>
      </c>
      <c r="D42" s="75">
        <f>IF($C42="","",IFERROR(INDEX(CAT_TIPO,MATCH($C42,CAT_NOME,0)),"Sem categoria"))</f>
        <v/>
      </c>
      <c r="E42" s="75">
        <f>IF($C42="","",IFERROR(INDEX(CAT_GRUPO,MATCH($C42,CAT_NOME,0)),"Sem categoria"))</f>
        <v/>
      </c>
      <c r="F42" s="76" t="n">
        <v>400</v>
      </c>
      <c r="G42" s="74" t="inlineStr">
        <is>
          <t>Conta Nubank</t>
        </is>
      </c>
      <c r="H42" s="74" t="inlineStr">
        <is>
          <t>Transferência</t>
        </is>
      </c>
      <c r="I42" s="74" t="n"/>
      <c r="J42" s="77" t="n"/>
      <c r="K42" s="77" t="n"/>
      <c r="L42" s="74" t="inlineStr">
        <is>
          <t>Poupança Caixa</t>
        </is>
      </c>
      <c r="M42" s="74" t="n"/>
      <c r="O42" s="78">
        <f>IF($A42="","",YEAR($A42)*100+MONTH($A42))</f>
        <v/>
      </c>
      <c r="P42" s="79">
        <f>IF(OR($F42="",$D42=""),"",IF($D42="Receita",$F42,IF($D42="Transferência",0,-$F42)))</f>
        <v/>
      </c>
    </row>
    <row r="43">
      <c r="A43" s="73" t="n">
        <v>45691</v>
      </c>
      <c r="B43" s="74" t="inlineStr">
        <is>
          <t>Netflix</t>
        </is>
      </c>
      <c r="C43" s="74" t="inlineStr">
        <is>
          <t>Assinaturas e streaming</t>
        </is>
      </c>
      <c r="D43" s="75">
        <f>IF($C43="","",IFERROR(INDEX(CAT_TIPO,MATCH($C43,CAT_NOME,0)),"Sem categoria"))</f>
        <v/>
      </c>
      <c r="E43" s="75">
        <f>IF($C43="","",IFERROR(INDEX(CAT_GRUPO,MATCH($C43,CAT_NOME,0)),"Sem categoria"))</f>
        <v/>
      </c>
      <c r="F43" s="76" t="n">
        <v>55.9</v>
      </c>
      <c r="G43" s="74" t="n"/>
      <c r="H43" s="74" t="inlineStr">
        <is>
          <t>Crédito</t>
        </is>
      </c>
      <c r="I43" s="74" t="inlineStr">
        <is>
          <t>Nubank Mastercard</t>
        </is>
      </c>
      <c r="J43" s="77" t="n"/>
      <c r="K43" s="77" t="n"/>
      <c r="L43" s="74" t="n"/>
      <c r="M43" s="74" t="n"/>
      <c r="O43" s="78">
        <f>IF($A43="","",YEAR($A43)*100+MONTH($A43))</f>
        <v/>
      </c>
      <c r="P43" s="79">
        <f>IF(OR($F43="",$D43=""),"",IF($D43="Receita",$F43,IF($D43="Transferência",0,-$F43)))</f>
        <v/>
      </c>
    </row>
    <row r="44">
      <c r="A44" s="73" t="n">
        <v>45691</v>
      </c>
      <c r="B44" s="74" t="inlineStr">
        <is>
          <t>Supermercado</t>
        </is>
      </c>
      <c r="C44" s="74" t="inlineStr">
        <is>
          <t>Mercado</t>
        </is>
      </c>
      <c r="D44" s="75">
        <f>IF($C44="","",IFERROR(INDEX(CAT_TIPO,MATCH($C44,CAT_NOME,0)),"Sem categoria"))</f>
        <v/>
      </c>
      <c r="E44" s="75">
        <f>IF($C44="","",IFERROR(INDEX(CAT_GRUPO,MATCH($C44,CAT_NOME,0)),"Sem categoria"))</f>
        <v/>
      </c>
      <c r="F44" s="76" t="n">
        <v>165.17</v>
      </c>
      <c r="G44" s="74" t="inlineStr">
        <is>
          <t>Conta Nubank</t>
        </is>
      </c>
      <c r="H44" s="74" t="inlineStr">
        <is>
          <t>Débito</t>
        </is>
      </c>
      <c r="I44" s="74" t="n"/>
      <c r="J44" s="77" t="n"/>
      <c r="K44" s="77" t="n"/>
      <c r="L44" s="74" t="n"/>
      <c r="M44" s="74" t="n"/>
      <c r="O44" s="78">
        <f>IF($A44="","",YEAR($A44)*100+MONTH($A44))</f>
        <v/>
      </c>
      <c r="P44" s="79">
        <f>IF(OR($F44="",$D44=""),"",IF($D44="Receita",$F44,IF($D44="Transferência",0,-$F44)))</f>
        <v/>
      </c>
    </row>
    <row r="45">
      <c r="A45" s="73" t="n">
        <v>45692</v>
      </c>
      <c r="B45" s="74" t="inlineStr">
        <is>
          <t>Spotify</t>
        </is>
      </c>
      <c r="C45" s="74" t="inlineStr">
        <is>
          <t>Assinaturas e streaming</t>
        </is>
      </c>
      <c r="D45" s="75">
        <f>IF($C45="","",IFERROR(INDEX(CAT_TIPO,MATCH($C45,CAT_NOME,0)),"Sem categoria"))</f>
        <v/>
      </c>
      <c r="E45" s="75">
        <f>IF($C45="","",IFERROR(INDEX(CAT_GRUPO,MATCH($C45,CAT_NOME,0)),"Sem categoria"))</f>
        <v/>
      </c>
      <c r="F45" s="76" t="n">
        <v>23.9</v>
      </c>
      <c r="G45" s="74" t="n"/>
      <c r="H45" s="74" t="inlineStr">
        <is>
          <t>Crédito</t>
        </is>
      </c>
      <c r="I45" s="74" t="inlineStr">
        <is>
          <t>Nubank Mastercard</t>
        </is>
      </c>
      <c r="J45" s="77" t="n"/>
      <c r="K45" s="77" t="n"/>
      <c r="L45" s="74" t="n"/>
      <c r="M45" s="74" t="n"/>
      <c r="O45" s="78">
        <f>IF($A45="","",YEAR($A45)*100+MONTH($A45))</f>
        <v/>
      </c>
      <c r="P45" s="79">
        <f>IF(OR($F45="",$D45=""),"",IF($D45="Receita",$F45,IF($D45="Transferência",0,-$F45)))</f>
        <v/>
      </c>
    </row>
    <row r="46">
      <c r="A46" s="73" t="n">
        <v>45693</v>
      </c>
      <c r="B46" s="74" t="inlineStr">
        <is>
          <t>Academia</t>
        </is>
      </c>
      <c r="C46" s="74" t="inlineStr">
        <is>
          <t>Assinaturas e streaming</t>
        </is>
      </c>
      <c r="D46" s="75">
        <f>IF($C46="","",IFERROR(INDEX(CAT_TIPO,MATCH($C46,CAT_NOME,0)),"Sem categoria"))</f>
        <v/>
      </c>
      <c r="E46" s="75">
        <f>IF($C46="","",IFERROR(INDEX(CAT_GRUPO,MATCH($C46,CAT_NOME,0)),"Sem categoria"))</f>
        <v/>
      </c>
      <c r="F46" s="76" t="n">
        <v>119.9</v>
      </c>
      <c r="G46" s="74" t="n"/>
      <c r="H46" s="74" t="inlineStr">
        <is>
          <t>Crédito</t>
        </is>
      </c>
      <c r="I46" s="74" t="inlineStr">
        <is>
          <t>Nubank Mastercard</t>
        </is>
      </c>
      <c r="J46" s="77" t="n"/>
      <c r="K46" s="77" t="n"/>
      <c r="L46" s="74" t="n"/>
      <c r="M46" s="74" t="n"/>
      <c r="O46" s="78">
        <f>IF($A46="","",YEAR($A46)*100+MONTH($A46))</f>
        <v/>
      </c>
      <c r="P46" s="79">
        <f>IF(OR($F46="",$D46=""),"",IF($D46="Receita",$F46,IF($D46="Transferência",0,-$F46)))</f>
        <v/>
      </c>
    </row>
    <row r="47">
      <c r="A47" s="73" t="n">
        <v>45693</v>
      </c>
      <c r="B47" s="74" t="inlineStr">
        <is>
          <t>Pagamento da fatura Nubank Mastercard</t>
        </is>
      </c>
      <c r="C47" s="74" t="inlineStr">
        <is>
          <t>Pagamento de fatura</t>
        </is>
      </c>
      <c r="D47" s="75">
        <f>IF($C47="","",IFERROR(INDEX(CAT_TIPO,MATCH($C47,CAT_NOME,0)),"Sem categoria"))</f>
        <v/>
      </c>
      <c r="E47" s="75">
        <f>IF($C47="","",IFERROR(INDEX(CAT_GRUPO,MATCH($C47,CAT_NOME,0)),"Sem categoria"))</f>
        <v/>
      </c>
      <c r="F47" s="76" t="n">
        <v>484.04</v>
      </c>
      <c r="G47" s="74" t="inlineStr">
        <is>
          <t>Conta Nubank</t>
        </is>
      </c>
      <c r="H47" s="74" t="inlineStr">
        <is>
          <t>Boleto</t>
        </is>
      </c>
      <c r="I47" s="74" t="inlineStr">
        <is>
          <t>Nubank Mastercard</t>
        </is>
      </c>
      <c r="J47" s="77" t="n"/>
      <c r="K47" s="77" t="n"/>
      <c r="L47" s="74" t="n"/>
      <c r="M47" s="74" t="n"/>
      <c r="O47" s="78">
        <f>IF($A47="","",YEAR($A47)*100+MONTH($A47))</f>
        <v/>
      </c>
      <c r="P47" s="79">
        <f>IF(OR($F47="",$D47=""),"",IF($D47="Receita",$F47,IF($D47="Transferência",0,-$F47)))</f>
        <v/>
      </c>
    </row>
    <row r="48">
      <c r="A48" s="73" t="n">
        <v>45693</v>
      </c>
      <c r="B48" s="74" t="inlineStr">
        <is>
          <t>Salário</t>
        </is>
      </c>
      <c r="C48" s="74" t="inlineStr">
        <is>
          <t>Salário</t>
        </is>
      </c>
      <c r="D48" s="75">
        <f>IF($C48="","",IFERROR(INDEX(CAT_TIPO,MATCH($C48,CAT_NOME,0)),"Sem categoria"))</f>
        <v/>
      </c>
      <c r="E48" s="75">
        <f>IF($C48="","",IFERROR(INDEX(CAT_GRUPO,MATCH($C48,CAT_NOME,0)),"Sem categoria"))</f>
        <v/>
      </c>
      <c r="F48" s="76" t="n">
        <v>5600</v>
      </c>
      <c r="G48" s="74" t="inlineStr">
        <is>
          <t>Conta Nubank</t>
        </is>
      </c>
      <c r="H48" s="74" t="inlineStr">
        <is>
          <t>Transferência</t>
        </is>
      </c>
      <c r="I48" s="74" t="n"/>
      <c r="J48" s="77" t="n"/>
      <c r="K48" s="77" t="n"/>
      <c r="L48" s="74" t="n"/>
      <c r="M48" s="74" t="n"/>
      <c r="O48" s="78">
        <f>IF($A48="","",YEAR($A48)*100+MONTH($A48))</f>
        <v/>
      </c>
      <c r="P48" s="79">
        <f>IF(OR($F48="",$D48=""),"",IF($D48="Receita",$F48,IF($D48="Transferência",0,-$F48)))</f>
        <v/>
      </c>
    </row>
    <row r="49">
      <c r="A49" s="73" t="n">
        <v>45694</v>
      </c>
      <c r="B49" s="74" t="inlineStr">
        <is>
          <t>Plano de saúde</t>
        </is>
      </c>
      <c r="C49" s="74" t="inlineStr">
        <is>
          <t>Saúde e farmácia</t>
        </is>
      </c>
      <c r="D49" s="75">
        <f>IF($C49="","",IFERROR(INDEX(CAT_TIPO,MATCH($C49,CAT_NOME,0)),"Sem categoria"))</f>
        <v/>
      </c>
      <c r="E49" s="75">
        <f>IF($C49="","",IFERROR(INDEX(CAT_GRUPO,MATCH($C49,CAT_NOME,0)),"Sem categoria"))</f>
        <v/>
      </c>
      <c r="F49" s="76" t="n">
        <v>290</v>
      </c>
      <c r="G49" s="74" t="inlineStr">
        <is>
          <t>Conta Nubank</t>
        </is>
      </c>
      <c r="H49" s="74" t="inlineStr">
        <is>
          <t>Débito automático</t>
        </is>
      </c>
      <c r="I49" s="74" t="n"/>
      <c r="J49" s="77" t="n"/>
      <c r="K49" s="77" t="n"/>
      <c r="L49" s="74" t="n"/>
      <c r="M49" s="74" t="n"/>
      <c r="O49" s="78">
        <f>IF($A49="","",YEAR($A49)*100+MONTH($A49))</f>
        <v/>
      </c>
      <c r="P49" s="79">
        <f>IF(OR($F49="",$D49=""),"",IF($D49="Receita",$F49,IF($D49="Transferência",0,-$F49)))</f>
        <v/>
      </c>
    </row>
    <row r="50">
      <c r="A50" s="73" t="n">
        <v>45695</v>
      </c>
      <c r="B50" s="74" t="inlineStr">
        <is>
          <t>Combustível</t>
        </is>
      </c>
      <c r="C50" s="74" t="inlineStr">
        <is>
          <t>Transporte</t>
        </is>
      </c>
      <c r="D50" s="75">
        <f>IF($C50="","",IFERROR(INDEX(CAT_TIPO,MATCH($C50,CAT_NOME,0)),"Sem categoria"))</f>
        <v/>
      </c>
      <c r="E50" s="75">
        <f>IF($C50="","",IFERROR(INDEX(CAT_GRUPO,MATCH($C50,CAT_NOME,0)),"Sem categoria"))</f>
        <v/>
      </c>
      <c r="F50" s="76" t="n">
        <v>111.52</v>
      </c>
      <c r="G50" s="74" t="n"/>
      <c r="H50" s="74" t="inlineStr">
        <is>
          <t>Crédito</t>
        </is>
      </c>
      <c r="I50" s="74" t="inlineStr">
        <is>
          <t>Itaú Visa</t>
        </is>
      </c>
      <c r="J50" s="77" t="n"/>
      <c r="K50" s="77" t="n"/>
      <c r="L50" s="74" t="n"/>
      <c r="M50" s="74" t="n"/>
      <c r="O50" s="78">
        <f>IF($A50="","",YEAR($A50)*100+MONTH($A50))</f>
        <v/>
      </c>
      <c r="P50" s="79">
        <f>IF(OR($F50="",$D50=""),"",IF($D50="Receita",$F50,IF($D50="Transferência",0,-$F50)))</f>
        <v/>
      </c>
    </row>
    <row r="51">
      <c r="A51" s="73" t="n">
        <v>45696</v>
      </c>
      <c r="B51" s="74" t="inlineStr">
        <is>
          <t>Aluguel</t>
        </is>
      </c>
      <c r="C51" s="74" t="inlineStr">
        <is>
          <t>Moradia (aluguel ou financiamento)</t>
        </is>
      </c>
      <c r="D51" s="75">
        <f>IF($C51="","",IFERROR(INDEX(CAT_TIPO,MATCH($C51,CAT_NOME,0)),"Sem categoria"))</f>
        <v/>
      </c>
      <c r="E51" s="75">
        <f>IF($C51="","",IFERROR(INDEX(CAT_GRUPO,MATCH($C51,CAT_NOME,0)),"Sem categoria"))</f>
        <v/>
      </c>
      <c r="F51" s="76" t="n">
        <v>1150</v>
      </c>
      <c r="G51" s="74" t="inlineStr">
        <is>
          <t>Conta Nubank</t>
        </is>
      </c>
      <c r="H51" s="74" t="inlineStr">
        <is>
          <t>Boleto</t>
        </is>
      </c>
      <c r="I51" s="74" t="n"/>
      <c r="J51" s="77" t="n"/>
      <c r="K51" s="77" t="n"/>
      <c r="L51" s="74" t="n"/>
      <c r="M51" s="74" t="n"/>
      <c r="O51" s="78">
        <f>IF($A51="","",YEAR($A51)*100+MONTH($A51))</f>
        <v/>
      </c>
      <c r="P51" s="79">
        <f>IF(OR($F51="",$D51=""),"",IF($D51="Receita",$F51,IF($D51="Transferência",0,-$F51)))</f>
        <v/>
      </c>
    </row>
    <row r="52">
      <c r="A52" s="73" t="n">
        <v>45697</v>
      </c>
      <c r="B52" s="74" t="inlineStr">
        <is>
          <t>Farmácia</t>
        </is>
      </c>
      <c r="C52" s="74" t="inlineStr">
        <is>
          <t>Saúde e farmácia</t>
        </is>
      </c>
      <c r="D52" s="75">
        <f>IF($C52="","",IFERROR(INDEX(CAT_TIPO,MATCH($C52,CAT_NOME,0)),"Sem categoria"))</f>
        <v/>
      </c>
      <c r="E52" s="75">
        <f>IF($C52="","",IFERROR(INDEX(CAT_GRUPO,MATCH($C52,CAT_NOME,0)),"Sem categoria"))</f>
        <v/>
      </c>
      <c r="F52" s="76" t="n">
        <v>73.69</v>
      </c>
      <c r="G52" s="74" t="n"/>
      <c r="H52" s="74" t="inlineStr">
        <is>
          <t>Crédito</t>
        </is>
      </c>
      <c r="I52" s="74" t="inlineStr">
        <is>
          <t>Itaú Visa</t>
        </is>
      </c>
      <c r="J52" s="77" t="n"/>
      <c r="K52" s="77" t="n"/>
      <c r="L52" s="74" t="n"/>
      <c r="M52" s="74" t="n"/>
      <c r="O52" s="78">
        <f>IF($A52="","",YEAR($A52)*100+MONTH($A52))</f>
        <v/>
      </c>
      <c r="P52" s="79">
        <f>IF(OR($F52="",$D52=""),"",IF($D52="Receita",$F52,IF($D52="Transferência",0,-$F52)))</f>
        <v/>
      </c>
    </row>
    <row r="53">
      <c r="A53" s="73" t="n">
        <v>45698</v>
      </c>
      <c r="B53" s="74" t="inlineStr">
        <is>
          <t>Condomínio</t>
        </is>
      </c>
      <c r="C53" s="74" t="inlineStr">
        <is>
          <t>Condomínio e IPTU</t>
        </is>
      </c>
      <c r="D53" s="75">
        <f>IF($C53="","",IFERROR(INDEX(CAT_TIPO,MATCH($C53,CAT_NOME,0)),"Sem categoria"))</f>
        <v/>
      </c>
      <c r="E53" s="75">
        <f>IF($C53="","",IFERROR(INDEX(CAT_GRUPO,MATCH($C53,CAT_NOME,0)),"Sem categoria"))</f>
        <v/>
      </c>
      <c r="F53" s="76" t="n">
        <v>290</v>
      </c>
      <c r="G53" s="74" t="inlineStr">
        <is>
          <t>Conta Nubank</t>
        </is>
      </c>
      <c r="H53" s="74" t="inlineStr">
        <is>
          <t>Boleto</t>
        </is>
      </c>
      <c r="I53" s="74" t="n"/>
      <c r="J53" s="77" t="n"/>
      <c r="K53" s="77" t="n"/>
      <c r="L53" s="74" t="n"/>
      <c r="M53" s="74" t="n"/>
      <c r="O53" s="78">
        <f>IF($A53="","",YEAR($A53)*100+MONTH($A53))</f>
        <v/>
      </c>
      <c r="P53" s="79">
        <f>IF(OR($F53="",$D53=""),"",IF($D53="Receita",$F53,IF($D53="Transferência",0,-$F53)))</f>
        <v/>
      </c>
    </row>
    <row r="54">
      <c r="A54" s="73" t="n">
        <v>45698</v>
      </c>
      <c r="B54" s="74" t="inlineStr">
        <is>
          <t>Supermercado</t>
        </is>
      </c>
      <c r="C54" s="74" t="inlineStr">
        <is>
          <t>Mercado</t>
        </is>
      </c>
      <c r="D54" s="75">
        <f>IF($C54="","",IFERROR(INDEX(CAT_TIPO,MATCH($C54,CAT_NOME,0)),"Sem categoria"))</f>
        <v/>
      </c>
      <c r="E54" s="75">
        <f>IF($C54="","",IFERROR(INDEX(CAT_GRUPO,MATCH($C54,CAT_NOME,0)),"Sem categoria"))</f>
        <v/>
      </c>
      <c r="F54" s="76" t="n">
        <v>144.76</v>
      </c>
      <c r="G54" s="74" t="inlineStr">
        <is>
          <t>Conta Nubank</t>
        </is>
      </c>
      <c r="H54" s="74" t="inlineStr">
        <is>
          <t>Débito</t>
        </is>
      </c>
      <c r="I54" s="74" t="n"/>
      <c r="J54" s="77" t="n"/>
      <c r="K54" s="77" t="n"/>
      <c r="L54" s="74" t="n"/>
      <c r="M54" s="74" t="n"/>
      <c r="O54" s="78">
        <f>IF($A54="","",YEAR($A54)*100+MONTH($A54))</f>
        <v/>
      </c>
      <c r="P54" s="79">
        <f>IF(OR($F54="",$D54=""),"",IF($D54="Receita",$F54,IF($D54="Transferência",0,-$F54)))</f>
        <v/>
      </c>
    </row>
    <row r="55">
      <c r="A55" s="73" t="n">
        <v>45699</v>
      </c>
      <c r="B55" s="74" t="inlineStr">
        <is>
          <t>Uber</t>
        </is>
      </c>
      <c r="C55" s="74" t="inlineStr">
        <is>
          <t>Transporte</t>
        </is>
      </c>
      <c r="D55" s="75">
        <f>IF($C55="","",IFERROR(INDEX(CAT_TIPO,MATCH($C55,CAT_NOME,0)),"Sem categoria"))</f>
        <v/>
      </c>
      <c r="E55" s="75">
        <f>IF($C55="","",IFERROR(INDEX(CAT_GRUPO,MATCH($C55,CAT_NOME,0)),"Sem categoria"))</f>
        <v/>
      </c>
      <c r="F55" s="76" t="n">
        <v>17.04</v>
      </c>
      <c r="G55" s="74" t="n"/>
      <c r="H55" s="74" t="inlineStr">
        <is>
          <t>Crédito</t>
        </is>
      </c>
      <c r="I55" s="74" t="inlineStr">
        <is>
          <t>Nubank Mastercard</t>
        </is>
      </c>
      <c r="J55" s="77" t="n"/>
      <c r="K55" s="77" t="n"/>
      <c r="L55" s="74" t="n"/>
      <c r="M55" s="74" t="n"/>
      <c r="O55" s="78">
        <f>IF($A55="","",YEAR($A55)*100+MONTH($A55))</f>
        <v/>
      </c>
      <c r="P55" s="79">
        <f>IF(OR($F55="",$D55=""),"",IF($D55="Receita",$F55,IF($D55="Transferência",0,-$F55)))</f>
        <v/>
      </c>
    </row>
    <row r="56">
      <c r="A56" s="73" t="n">
        <v>45700</v>
      </c>
      <c r="B56" s="74" t="inlineStr">
        <is>
          <t>Parcela do financiamento do carro</t>
        </is>
      </c>
      <c r="C56" s="74" t="inlineStr">
        <is>
          <t>Dívidas e parcelas</t>
        </is>
      </c>
      <c r="D56" s="75">
        <f>IF($C56="","",IFERROR(INDEX(CAT_TIPO,MATCH($C56,CAT_NOME,0)),"Sem categoria"))</f>
        <v/>
      </c>
      <c r="E56" s="75">
        <f>IF($C56="","",IFERROR(INDEX(CAT_GRUPO,MATCH($C56,CAT_NOME,0)),"Sem categoria"))</f>
        <v/>
      </c>
      <c r="F56" s="76" t="n">
        <v>560</v>
      </c>
      <c r="G56" s="74" t="inlineStr">
        <is>
          <t>Conta Nubank</t>
        </is>
      </c>
      <c r="H56" s="74" t="inlineStr">
        <is>
          <t>Boleto</t>
        </is>
      </c>
      <c r="I56" s="74" t="n"/>
      <c r="J56" s="77" t="inlineStr">
        <is>
          <t>14/48</t>
        </is>
      </c>
      <c r="K56" s="77" t="n"/>
      <c r="L56" s="74" t="n"/>
      <c r="M56" s="74" t="n"/>
      <c r="O56" s="78">
        <f>IF($A56="","",YEAR($A56)*100+MONTH($A56))</f>
        <v/>
      </c>
      <c r="P56" s="79">
        <f>IF(OR($F56="",$D56=""),"",IF($D56="Receita",$F56,IF($D56="Transferência",0,-$F56)))</f>
        <v/>
      </c>
    </row>
    <row r="57">
      <c r="A57" s="73" t="n">
        <v>45700</v>
      </c>
      <c r="B57" s="74" t="inlineStr">
        <is>
          <t>Seguro do carro</t>
        </is>
      </c>
      <c r="C57" s="74" t="inlineStr">
        <is>
          <t>Seguros</t>
        </is>
      </c>
      <c r="D57" s="75">
        <f>IF($C57="","",IFERROR(INDEX(CAT_TIPO,MATCH($C57,CAT_NOME,0)),"Sem categoria"))</f>
        <v/>
      </c>
      <c r="E57" s="75">
        <f>IF($C57="","",IFERROR(INDEX(CAT_GRUPO,MATCH($C57,CAT_NOME,0)),"Sem categoria"))</f>
        <v/>
      </c>
      <c r="F57" s="76" t="n">
        <v>140</v>
      </c>
      <c r="G57" s="74" t="inlineStr">
        <is>
          <t>Conta Nubank</t>
        </is>
      </c>
      <c r="H57" s="74" t="inlineStr">
        <is>
          <t>Débito automático</t>
        </is>
      </c>
      <c r="I57" s="74" t="n"/>
      <c r="J57" s="77" t="n"/>
      <c r="K57" s="77" t="n"/>
      <c r="L57" s="74" t="n"/>
      <c r="M57" s="74" t="n"/>
      <c r="O57" s="78">
        <f>IF($A57="","",YEAR($A57)*100+MONTH($A57))</f>
        <v/>
      </c>
      <c r="P57" s="79">
        <f>IF(OR($F57="",$D57=""),"",IF($D57="Receita",$F57,IF($D57="Transferência",0,-$F57)))</f>
        <v/>
      </c>
    </row>
    <row r="58">
      <c r="A58" s="73" t="n">
        <v>45701</v>
      </c>
      <c r="B58" s="74" t="inlineStr">
        <is>
          <t>Jantar fora</t>
        </is>
      </c>
      <c r="C58" s="74" t="inlineStr">
        <is>
          <t>Restaurantes e delivery</t>
        </is>
      </c>
      <c r="D58" s="75">
        <f>IF($C58="","",IFERROR(INDEX(CAT_TIPO,MATCH($C58,CAT_NOME,0)),"Sem categoria"))</f>
        <v/>
      </c>
      <c r="E58" s="75">
        <f>IF($C58="","",IFERROR(INDEX(CAT_GRUPO,MATCH($C58,CAT_NOME,0)),"Sem categoria"))</f>
        <v/>
      </c>
      <c r="F58" s="76" t="n">
        <v>82.87</v>
      </c>
      <c r="G58" s="74" t="n"/>
      <c r="H58" s="74" t="inlineStr">
        <is>
          <t>Crédito</t>
        </is>
      </c>
      <c r="I58" s="74" t="inlineStr">
        <is>
          <t>Nubank Mastercard</t>
        </is>
      </c>
      <c r="J58" s="77" t="n"/>
      <c r="K58" s="77" t="n"/>
      <c r="L58" s="74" t="n"/>
      <c r="M58" s="74" t="n"/>
      <c r="O58" s="78">
        <f>IF($A58="","",YEAR($A58)*100+MONTH($A58))</f>
        <v/>
      </c>
      <c r="P58" s="79">
        <f>IF(OR($F58="",$D58=""),"",IF($D58="Receita",$F58,IF($D58="Transferência",0,-$F58)))</f>
        <v/>
      </c>
    </row>
    <row r="59">
      <c r="A59" s="73" t="n">
        <v>45702</v>
      </c>
      <c r="B59" s="74" t="inlineStr">
        <is>
          <t>Conta de luz</t>
        </is>
      </c>
      <c r="C59" s="74" t="inlineStr">
        <is>
          <t>Contas da casa (luz, água, gás)</t>
        </is>
      </c>
      <c r="D59" s="75">
        <f>IF($C59="","",IFERROR(INDEX(CAT_TIPO,MATCH($C59,CAT_NOME,0)),"Sem categoria"))</f>
        <v/>
      </c>
      <c r="E59" s="75">
        <f>IF($C59="","",IFERROR(INDEX(CAT_GRUPO,MATCH($C59,CAT_NOME,0)),"Sem categoria"))</f>
        <v/>
      </c>
      <c r="F59" s="76" t="n">
        <v>193.31</v>
      </c>
      <c r="G59" s="74" t="inlineStr">
        <is>
          <t>Conta Nubank</t>
        </is>
      </c>
      <c r="H59" s="74" t="inlineStr">
        <is>
          <t>Débito automático</t>
        </is>
      </c>
      <c r="I59" s="74" t="n"/>
      <c r="J59" s="77" t="n"/>
      <c r="K59" s="77" t="n"/>
      <c r="L59" s="74" t="n"/>
      <c r="M59" s="74" t="n"/>
      <c r="O59" s="78">
        <f>IF($A59="","",YEAR($A59)*100+MONTH($A59))</f>
        <v/>
      </c>
      <c r="P59" s="79">
        <f>IF(OR($F59="",$D59=""),"",IF($D59="Receita",$F59,IF($D59="Transferência",0,-$F59)))</f>
        <v/>
      </c>
    </row>
    <row r="60">
      <c r="A60" s="73" t="n">
        <v>45703</v>
      </c>
      <c r="B60" s="74" t="inlineStr">
        <is>
          <t>Roupas e acessórios</t>
        </is>
      </c>
      <c r="C60" s="74" t="inlineStr">
        <is>
          <t>Compras pessoais</t>
        </is>
      </c>
      <c r="D60" s="75">
        <f>IF($C60="","",IFERROR(INDEX(CAT_TIPO,MATCH($C60,CAT_NOME,0)),"Sem categoria"))</f>
        <v/>
      </c>
      <c r="E60" s="75">
        <f>IF($C60="","",IFERROR(INDEX(CAT_GRUPO,MATCH($C60,CAT_NOME,0)),"Sem categoria"))</f>
        <v/>
      </c>
      <c r="F60" s="76" t="n">
        <v>178.77</v>
      </c>
      <c r="G60" s="74" t="n"/>
      <c r="H60" s="74" t="inlineStr">
        <is>
          <t>Crédito</t>
        </is>
      </c>
      <c r="I60" s="74" t="inlineStr">
        <is>
          <t>Nubank Mastercard</t>
        </is>
      </c>
      <c r="J60" s="77" t="n"/>
      <c r="K60" s="77" t="n"/>
      <c r="L60" s="74" t="n"/>
      <c r="M60" s="74" t="n"/>
      <c r="O60" s="78">
        <f>IF($A60="","",YEAR($A60)*100+MONTH($A60))</f>
        <v/>
      </c>
      <c r="P60" s="79">
        <f>IF(OR($F60="",$D60=""),"",IF($D60="Receita",$F60,IF($D60="Transferência",0,-$F60)))</f>
        <v/>
      </c>
    </row>
    <row r="61">
      <c r="A61" s="73" t="n">
        <v>45704</v>
      </c>
      <c r="B61" s="74" t="inlineStr">
        <is>
          <t>Combustível</t>
        </is>
      </c>
      <c r="C61" s="74" t="inlineStr">
        <is>
          <t>Transporte</t>
        </is>
      </c>
      <c r="D61" s="75">
        <f>IF($C61="","",IFERROR(INDEX(CAT_TIPO,MATCH($C61,CAT_NOME,0)),"Sem categoria"))</f>
        <v/>
      </c>
      <c r="E61" s="75">
        <f>IF($C61="","",IFERROR(INDEX(CAT_GRUPO,MATCH($C61,CAT_NOME,0)),"Sem categoria"))</f>
        <v/>
      </c>
      <c r="F61" s="76" t="n">
        <v>100.37</v>
      </c>
      <c r="G61" s="74" t="n"/>
      <c r="H61" s="74" t="inlineStr">
        <is>
          <t>Crédito</t>
        </is>
      </c>
      <c r="I61" s="74" t="inlineStr">
        <is>
          <t>Itaú Visa</t>
        </is>
      </c>
      <c r="J61" s="77" t="n"/>
      <c r="K61" s="77" t="n"/>
      <c r="L61" s="74" t="n"/>
      <c r="M61" s="74" t="n"/>
      <c r="O61" s="78">
        <f>IF($A61="","",YEAR($A61)*100+MONTH($A61))</f>
        <v/>
      </c>
      <c r="P61" s="79">
        <f>IF(OR($F61="",$D61=""),"",IF($D61="Receita",$F61,IF($D61="Transferência",0,-$F61)))</f>
        <v/>
      </c>
    </row>
    <row r="62">
      <c r="A62" s="73" t="n">
        <v>45705</v>
      </c>
      <c r="B62" s="74" t="inlineStr">
        <is>
          <t>Pagamento da fatura Itaú Visa</t>
        </is>
      </c>
      <c r="C62" s="74" t="inlineStr">
        <is>
          <t>Pagamento de fatura</t>
        </is>
      </c>
      <c r="D62" s="75">
        <f>IF($C62="","",IFERROR(INDEX(CAT_TIPO,MATCH($C62,CAT_NOME,0)),"Sem categoria"))</f>
        <v/>
      </c>
      <c r="E62" s="75">
        <f>IF($C62="","",IFERROR(INDEX(CAT_GRUPO,MATCH($C62,CAT_NOME,0)),"Sem categoria"))</f>
        <v/>
      </c>
      <c r="F62" s="76" t="n">
        <v>639.1799999999999</v>
      </c>
      <c r="G62" s="74" t="inlineStr">
        <is>
          <t>Conta Nubank</t>
        </is>
      </c>
      <c r="H62" s="74" t="inlineStr">
        <is>
          <t>Boleto</t>
        </is>
      </c>
      <c r="I62" s="74" t="inlineStr">
        <is>
          <t>Itaú Visa</t>
        </is>
      </c>
      <c r="J62" s="77" t="n"/>
      <c r="K62" s="77" t="n"/>
      <c r="L62" s="74" t="n"/>
      <c r="M62" s="74" t="n"/>
      <c r="O62" s="78">
        <f>IF($A62="","",YEAR($A62)*100+MONTH($A62))</f>
        <v/>
      </c>
      <c r="P62" s="79">
        <f>IF(OR($F62="",$D62=""),"",IF($D62="Receita",$F62,IF($D62="Transferência",0,-$F62)))</f>
        <v/>
      </c>
    </row>
    <row r="63">
      <c r="A63" s="73" t="n">
        <v>45705</v>
      </c>
      <c r="B63" s="74" t="inlineStr">
        <is>
          <t>Supermercado</t>
        </is>
      </c>
      <c r="C63" s="74" t="inlineStr">
        <is>
          <t>Mercado</t>
        </is>
      </c>
      <c r="D63" s="75">
        <f>IF($C63="","",IFERROR(INDEX(CAT_TIPO,MATCH($C63,CAT_NOME,0)),"Sem categoria"))</f>
        <v/>
      </c>
      <c r="E63" s="75">
        <f>IF($C63="","",IFERROR(INDEX(CAT_GRUPO,MATCH($C63,CAT_NOME,0)),"Sem categoria"))</f>
        <v/>
      </c>
      <c r="F63" s="76" t="n">
        <v>164.84</v>
      </c>
      <c r="G63" s="74" t="inlineStr">
        <is>
          <t>Conta Nubank</t>
        </is>
      </c>
      <c r="H63" s="74" t="inlineStr">
        <is>
          <t>Débito</t>
        </is>
      </c>
      <c r="I63" s="74" t="n"/>
      <c r="J63" s="77" t="n"/>
      <c r="K63" s="77" t="n"/>
      <c r="L63" s="74" t="n"/>
      <c r="M63" s="74" t="n"/>
      <c r="O63" s="78">
        <f>IF($A63="","",YEAR($A63)*100+MONTH($A63))</f>
        <v/>
      </c>
      <c r="P63" s="79">
        <f>IF(OR($F63="",$D63=""),"",IF($D63="Receita",$F63,IF($D63="Transferência",0,-$F63)))</f>
        <v/>
      </c>
    </row>
    <row r="64">
      <c r="A64" s="73" t="n">
        <v>45705</v>
      </c>
      <c r="B64" s="74" t="inlineStr">
        <is>
          <t>iCloud</t>
        </is>
      </c>
      <c r="C64" s="74" t="inlineStr">
        <is>
          <t>Assinaturas e streaming</t>
        </is>
      </c>
      <c r="D64" s="75">
        <f>IF($C64="","",IFERROR(INDEX(CAT_TIPO,MATCH($C64,CAT_NOME,0)),"Sem categoria"))</f>
        <v/>
      </c>
      <c r="E64" s="75">
        <f>IF($C64="","",IFERROR(INDEX(CAT_GRUPO,MATCH($C64,CAT_NOME,0)),"Sem categoria"))</f>
        <v/>
      </c>
      <c r="F64" s="76" t="n">
        <v>14.9</v>
      </c>
      <c r="G64" s="74" t="n"/>
      <c r="H64" s="74" t="inlineStr">
        <is>
          <t>Crédito</t>
        </is>
      </c>
      <c r="I64" s="74" t="inlineStr">
        <is>
          <t>Nubank Mastercard</t>
        </is>
      </c>
      <c r="J64" s="77" t="n"/>
      <c r="K64" s="77" t="n"/>
      <c r="L64" s="74" t="n"/>
      <c r="M64" s="74" t="n"/>
      <c r="O64" s="78">
        <f>IF($A64="","",YEAR($A64)*100+MONTH($A64))</f>
        <v/>
      </c>
      <c r="P64" s="79">
        <f>IF(OR($F64="",$D64=""),"",IF($D64="Receita",$F64,IF($D64="Transferência",0,-$F64)))</f>
        <v/>
      </c>
    </row>
    <row r="65">
      <c r="A65" s="73" t="n">
        <v>45706</v>
      </c>
      <c r="B65" s="74" t="inlineStr">
        <is>
          <t>Barbearia / salão</t>
        </is>
      </c>
      <c r="C65" s="74" t="inlineStr">
        <is>
          <t>Beleza e cuidados</t>
        </is>
      </c>
      <c r="D65" s="75">
        <f>IF($C65="","",IFERROR(INDEX(CAT_TIPO,MATCH($C65,CAT_NOME,0)),"Sem categoria"))</f>
        <v/>
      </c>
      <c r="E65" s="75">
        <f>IF($C65="","",IFERROR(INDEX(CAT_GRUPO,MATCH($C65,CAT_NOME,0)),"Sem categoria"))</f>
        <v/>
      </c>
      <c r="F65" s="76" t="n">
        <v>97.94</v>
      </c>
      <c r="G65" s="74" t="inlineStr">
        <is>
          <t>Conta Nubank</t>
        </is>
      </c>
      <c r="H65" s="74" t="inlineStr">
        <is>
          <t>Pix</t>
        </is>
      </c>
      <c r="I65" s="74" t="n"/>
      <c r="J65" s="77" t="n"/>
      <c r="K65" s="77" t="n"/>
      <c r="L65" s="74" t="n"/>
      <c r="M65" s="74" t="n"/>
      <c r="O65" s="78">
        <f>IF($A65="","",YEAR($A65)*100+MONTH($A65))</f>
        <v/>
      </c>
      <c r="P65" s="79">
        <f>IF(OR($F65="",$D65=""),"",IF($D65="Receita",$F65,IF($D65="Transferência",0,-$F65)))</f>
        <v/>
      </c>
    </row>
    <row r="66">
      <c r="A66" s="73" t="n">
        <v>45706</v>
      </c>
      <c r="B66" s="74" t="inlineStr">
        <is>
          <t>Conta de água</t>
        </is>
      </c>
      <c r="C66" s="74" t="inlineStr">
        <is>
          <t>Contas da casa (luz, água, gás)</t>
        </is>
      </c>
      <c r="D66" s="75">
        <f>IF($C66="","",IFERROR(INDEX(CAT_TIPO,MATCH($C66,CAT_NOME,0)),"Sem categoria"))</f>
        <v/>
      </c>
      <c r="E66" s="75">
        <f>IF($C66="","",IFERROR(INDEX(CAT_GRUPO,MATCH($C66,CAT_NOME,0)),"Sem categoria"))</f>
        <v/>
      </c>
      <c r="F66" s="76" t="n">
        <v>86.23999999999999</v>
      </c>
      <c r="G66" s="74" t="inlineStr">
        <is>
          <t>Conta Nubank</t>
        </is>
      </c>
      <c r="H66" s="74" t="inlineStr">
        <is>
          <t>Débito automático</t>
        </is>
      </c>
      <c r="I66" s="74" t="n"/>
      <c r="J66" s="77" t="n"/>
      <c r="K66" s="77" t="n"/>
      <c r="L66" s="74" t="n"/>
      <c r="M66" s="74" t="n"/>
      <c r="O66" s="78">
        <f>IF($A66="","",YEAR($A66)*100+MONTH($A66))</f>
        <v/>
      </c>
      <c r="P66" s="79">
        <f>IF(OR($F66="",$D66=""),"",IF($D66="Receita",$F66,IF($D66="Transferência",0,-$F66)))</f>
        <v/>
      </c>
    </row>
    <row r="67">
      <c r="A67" s="73" t="n">
        <v>45707</v>
      </c>
      <c r="B67" s="74" t="inlineStr">
        <is>
          <t>iFood</t>
        </is>
      </c>
      <c r="C67" s="74" t="inlineStr">
        <is>
          <t>Restaurantes e delivery</t>
        </is>
      </c>
      <c r="D67" s="75">
        <f>IF($C67="","",IFERROR(INDEX(CAT_TIPO,MATCH($C67,CAT_NOME,0)),"Sem categoria"))</f>
        <v/>
      </c>
      <c r="E67" s="75">
        <f>IF($C67="","",IFERROR(INDEX(CAT_GRUPO,MATCH($C67,CAT_NOME,0)),"Sem categoria"))</f>
        <v/>
      </c>
      <c r="F67" s="76" t="n">
        <v>71.11</v>
      </c>
      <c r="G67" s="74" t="n"/>
      <c r="H67" s="74" t="inlineStr">
        <is>
          <t>Crédito</t>
        </is>
      </c>
      <c r="I67" s="74" t="inlineStr">
        <is>
          <t>Nubank Mastercard</t>
        </is>
      </c>
      <c r="J67" s="77" t="n"/>
      <c r="K67" s="77" t="n"/>
      <c r="L67" s="74" t="n"/>
      <c r="M67" s="74" t="n"/>
      <c r="O67" s="78">
        <f>IF($A67="","",YEAR($A67)*100+MONTH($A67))</f>
        <v/>
      </c>
      <c r="P67" s="79">
        <f>IF(OR($F67="",$D67=""),"",IF($D67="Receita",$F67,IF($D67="Transferência",0,-$F67)))</f>
        <v/>
      </c>
    </row>
    <row r="68">
      <c r="A68" s="73" t="n">
        <v>45708</v>
      </c>
      <c r="B68" s="74" t="inlineStr">
        <is>
          <t>Internet fibra</t>
        </is>
      </c>
      <c r="C68" s="74" t="inlineStr">
        <is>
          <t>Internet e celular</t>
        </is>
      </c>
      <c r="D68" s="75">
        <f>IF($C68="","",IFERROR(INDEX(CAT_TIPO,MATCH($C68,CAT_NOME,0)),"Sem categoria"))</f>
        <v/>
      </c>
      <c r="E68" s="75">
        <f>IF($C68="","",IFERROR(INDEX(CAT_GRUPO,MATCH($C68,CAT_NOME,0)),"Sem categoria"))</f>
        <v/>
      </c>
      <c r="F68" s="76" t="n">
        <v>119.9</v>
      </c>
      <c r="G68" s="74" t="inlineStr">
        <is>
          <t>Conta Nubank</t>
        </is>
      </c>
      <c r="H68" s="74" t="inlineStr">
        <is>
          <t>Débito automático</t>
        </is>
      </c>
      <c r="I68" s="74" t="n"/>
      <c r="J68" s="77" t="n"/>
      <c r="K68" s="77" t="n"/>
      <c r="L68" s="74" t="n"/>
      <c r="M68" s="74" t="n"/>
      <c r="O68" s="78">
        <f>IF($A68="","",YEAR($A68)*100+MONTH($A68))</f>
        <v/>
      </c>
      <c r="P68" s="79">
        <f>IF(OR($F68="",$D68=""),"",IF($D68="Receita",$F68,IF($D68="Transferência",0,-$F68)))</f>
        <v/>
      </c>
    </row>
    <row r="69">
      <c r="A69" s="73" t="n">
        <v>45708</v>
      </c>
      <c r="B69" s="74" t="inlineStr">
        <is>
          <t>Saque para a carteira</t>
        </is>
      </c>
      <c r="C69" s="74" t="inlineStr">
        <is>
          <t>Transferência entre contas</t>
        </is>
      </c>
      <c r="D69" s="75">
        <f>IF($C69="","",IFERROR(INDEX(CAT_TIPO,MATCH($C69,CAT_NOME,0)),"Sem categoria"))</f>
        <v/>
      </c>
      <c r="E69" s="75">
        <f>IF($C69="","",IFERROR(INDEX(CAT_GRUPO,MATCH($C69,CAT_NOME,0)),"Sem categoria"))</f>
        <v/>
      </c>
      <c r="F69" s="76" t="n">
        <v>200</v>
      </c>
      <c r="G69" s="74" t="inlineStr">
        <is>
          <t>Conta Nubank</t>
        </is>
      </c>
      <c r="H69" s="74" t="inlineStr">
        <is>
          <t>Transferência</t>
        </is>
      </c>
      <c r="I69" s="74" t="n"/>
      <c r="J69" s="77" t="n"/>
      <c r="K69" s="77" t="n"/>
      <c r="L69" s="74" t="inlineStr">
        <is>
          <t>Carteira</t>
        </is>
      </c>
      <c r="M69" s="74" t="n"/>
      <c r="O69" s="78">
        <f>IF($A69="","",YEAR($A69)*100+MONTH($A69))</f>
        <v/>
      </c>
      <c r="P69" s="79">
        <f>IF(OR($F69="",$D69=""),"",IF($D69="Receita",$F69,IF($D69="Transferência",0,-$F69)))</f>
        <v/>
      </c>
    </row>
    <row r="70">
      <c r="A70" s="73" t="n">
        <v>45709</v>
      </c>
      <c r="B70" s="74" t="inlineStr">
        <is>
          <t>Uber</t>
        </is>
      </c>
      <c r="C70" s="74" t="inlineStr">
        <is>
          <t>Transporte</t>
        </is>
      </c>
      <c r="D70" s="75">
        <f>IF($C70="","",IFERROR(INDEX(CAT_TIPO,MATCH($C70,CAT_NOME,0)),"Sem categoria"))</f>
        <v/>
      </c>
      <c r="E70" s="75">
        <f>IF($C70="","",IFERROR(INDEX(CAT_GRUPO,MATCH($C70,CAT_NOME,0)),"Sem categoria"))</f>
        <v/>
      </c>
      <c r="F70" s="76" t="n">
        <v>35.96</v>
      </c>
      <c r="G70" s="74" t="n"/>
      <c r="H70" s="74" t="inlineStr">
        <is>
          <t>Crédito</t>
        </is>
      </c>
      <c r="I70" s="74" t="inlineStr">
        <is>
          <t>Nubank Mastercard</t>
        </is>
      </c>
      <c r="J70" s="77" t="n"/>
      <c r="K70" s="77" t="n"/>
      <c r="L70" s="74" t="n"/>
      <c r="M70" s="74" t="n"/>
      <c r="O70" s="78">
        <f>IF($A70="","",YEAR($A70)*100+MONTH($A70))</f>
        <v/>
      </c>
      <c r="P70" s="79">
        <f>IF(OR($F70="",$D70=""),"",IF($D70="Receita",$F70,IF($D70="Transferência",0,-$F70)))</f>
        <v/>
      </c>
    </row>
    <row r="71">
      <c r="A71" s="73" t="n">
        <v>45710</v>
      </c>
      <c r="B71" s="74" t="inlineStr">
        <is>
          <t>Plano de celular</t>
        </is>
      </c>
      <c r="C71" s="74" t="inlineStr">
        <is>
          <t>Internet e celular</t>
        </is>
      </c>
      <c r="D71" s="75">
        <f>IF($C71="","",IFERROR(INDEX(CAT_TIPO,MATCH($C71,CAT_NOME,0)),"Sem categoria"))</f>
        <v/>
      </c>
      <c r="E71" s="75">
        <f>IF($C71="","",IFERROR(INDEX(CAT_GRUPO,MATCH($C71,CAT_NOME,0)),"Sem categoria"))</f>
        <v/>
      </c>
      <c r="F71" s="76" t="n">
        <v>59.9</v>
      </c>
      <c r="G71" s="74" t="inlineStr">
        <is>
          <t>Conta Nubank</t>
        </is>
      </c>
      <c r="H71" s="74" t="inlineStr">
        <is>
          <t>Débito automático</t>
        </is>
      </c>
      <c r="I71" s="74" t="n"/>
      <c r="J71" s="77" t="n"/>
      <c r="K71" s="77" t="n"/>
      <c r="L71" s="74" t="n"/>
      <c r="M71" s="74" t="n"/>
      <c r="O71" s="78">
        <f>IF($A71="","",YEAR($A71)*100+MONTH($A71))</f>
        <v/>
      </c>
      <c r="P71" s="79">
        <f>IF(OR($F71="",$D71=""),"",IF($D71="Receita",$F71,IF($D71="Transferência",0,-$F71)))</f>
        <v/>
      </c>
    </row>
    <row r="72">
      <c r="A72" s="73" t="n">
        <v>45711</v>
      </c>
      <c r="B72" s="74" t="inlineStr">
        <is>
          <t>Cinema e passeios</t>
        </is>
      </c>
      <c r="C72" s="74" t="inlineStr">
        <is>
          <t>Lazer e entretenimento</t>
        </is>
      </c>
      <c r="D72" s="75">
        <f>IF($C72="","",IFERROR(INDEX(CAT_TIPO,MATCH($C72,CAT_NOME,0)),"Sem categoria"))</f>
        <v/>
      </c>
      <c r="E72" s="75">
        <f>IF($C72="","",IFERROR(INDEX(CAT_GRUPO,MATCH($C72,CAT_NOME,0)),"Sem categoria"))</f>
        <v/>
      </c>
      <c r="F72" s="76" t="n">
        <v>62.22</v>
      </c>
      <c r="G72" s="74" t="n"/>
      <c r="H72" s="74" t="inlineStr">
        <is>
          <t>Crédito</t>
        </is>
      </c>
      <c r="I72" s="74" t="inlineStr">
        <is>
          <t>Itaú Visa</t>
        </is>
      </c>
      <c r="J72" s="77" t="n"/>
      <c r="K72" s="77" t="n"/>
      <c r="L72" s="74" t="n"/>
      <c r="M72" s="74" t="n"/>
      <c r="O72" s="78">
        <f>IF($A72="","",YEAR($A72)*100+MONTH($A72))</f>
        <v/>
      </c>
      <c r="P72" s="79">
        <f>IF(OR($F72="",$D72=""),"",IF($D72="Receita",$F72,IF($D72="Transferência",0,-$F72)))</f>
        <v/>
      </c>
    </row>
    <row r="73">
      <c r="A73" s="73" t="n">
        <v>45712</v>
      </c>
      <c r="B73" s="74" t="inlineStr">
        <is>
          <t>Supermercado</t>
        </is>
      </c>
      <c r="C73" s="74" t="inlineStr">
        <is>
          <t>Mercado</t>
        </is>
      </c>
      <c r="D73" s="75">
        <f>IF($C73="","",IFERROR(INDEX(CAT_TIPO,MATCH($C73,CAT_NOME,0)),"Sem categoria"))</f>
        <v/>
      </c>
      <c r="E73" s="75">
        <f>IF($C73="","",IFERROR(INDEX(CAT_GRUPO,MATCH($C73,CAT_NOME,0)),"Sem categoria"))</f>
        <v/>
      </c>
      <c r="F73" s="76" t="n">
        <v>153.44</v>
      </c>
      <c r="G73" s="74" t="inlineStr">
        <is>
          <t>Conta Nubank</t>
        </is>
      </c>
      <c r="H73" s="74" t="inlineStr">
        <is>
          <t>Débito</t>
        </is>
      </c>
      <c r="I73" s="74" t="n"/>
      <c r="J73" s="77" t="n"/>
      <c r="K73" s="77" t="n"/>
      <c r="L73" s="74" t="n"/>
      <c r="M73" s="74" t="n"/>
      <c r="O73" s="78">
        <f>IF($A73="","",YEAR($A73)*100+MONTH($A73))</f>
        <v/>
      </c>
      <c r="P73" s="79">
        <f>IF(OR($F73="",$D73=""),"",IF($D73="Receita",$F73,IF($D73="Transferência",0,-$F73)))</f>
        <v/>
      </c>
    </row>
    <row r="74">
      <c r="A74" s="73" t="n">
        <v>45713</v>
      </c>
      <c r="B74" s="74" t="inlineStr">
        <is>
          <t>Gás encanado</t>
        </is>
      </c>
      <c r="C74" s="74" t="inlineStr">
        <is>
          <t>Contas da casa (luz, água, gás)</t>
        </is>
      </c>
      <c r="D74" s="75">
        <f>IF($C74="","",IFERROR(INDEX(CAT_TIPO,MATCH($C74,CAT_NOME,0)),"Sem categoria"))</f>
        <v/>
      </c>
      <c r="E74" s="75">
        <f>IF($C74="","",IFERROR(INDEX(CAT_GRUPO,MATCH($C74,CAT_NOME,0)),"Sem categoria"))</f>
        <v/>
      </c>
      <c r="F74" s="76" t="n">
        <v>87.36</v>
      </c>
      <c r="G74" s="74" t="inlineStr">
        <is>
          <t>Conta Nubank</t>
        </is>
      </c>
      <c r="H74" s="74" t="inlineStr">
        <is>
          <t>Boleto</t>
        </is>
      </c>
      <c r="I74" s="74" t="n"/>
      <c r="J74" s="77" t="n"/>
      <c r="K74" s="77" t="n"/>
      <c r="L74" s="74" t="n"/>
      <c r="M74" s="74" t="n"/>
      <c r="O74" s="78">
        <f>IF($A74="","",YEAR($A74)*100+MONTH($A74))</f>
        <v/>
      </c>
      <c r="P74" s="79">
        <f>IF(OR($F74="",$D74=""),"",IF($D74="Receita",$F74,IF($D74="Transferência",0,-$F74)))</f>
        <v/>
      </c>
    </row>
    <row r="75">
      <c r="A75" s="73" t="n">
        <v>45714</v>
      </c>
      <c r="B75" s="74" t="inlineStr">
        <is>
          <t>Combustível</t>
        </is>
      </c>
      <c r="C75" s="74" t="inlineStr">
        <is>
          <t>Transporte</t>
        </is>
      </c>
      <c r="D75" s="75">
        <f>IF($C75="","",IFERROR(INDEX(CAT_TIPO,MATCH($C75,CAT_NOME,0)),"Sem categoria"))</f>
        <v/>
      </c>
      <c r="E75" s="75">
        <f>IF($C75="","",IFERROR(INDEX(CAT_GRUPO,MATCH($C75,CAT_NOME,0)),"Sem categoria"))</f>
        <v/>
      </c>
      <c r="F75" s="76" t="n">
        <v>101.53</v>
      </c>
      <c r="G75" s="74" t="n"/>
      <c r="H75" s="74" t="inlineStr">
        <is>
          <t>Crédito</t>
        </is>
      </c>
      <c r="I75" s="74" t="inlineStr">
        <is>
          <t>Itaú Visa</t>
        </is>
      </c>
      <c r="J75" s="77" t="n"/>
      <c r="K75" s="77" t="n"/>
      <c r="L75" s="74" t="n"/>
      <c r="M75" s="74" t="n"/>
      <c r="O75" s="78">
        <f>IF($A75="","",YEAR($A75)*100+MONTH($A75))</f>
        <v/>
      </c>
      <c r="P75" s="79">
        <f>IF(OR($F75="",$D75=""),"",IF($D75="Receita",$F75,IF($D75="Transferência",0,-$F75)))</f>
        <v/>
      </c>
    </row>
    <row r="76">
      <c r="A76" s="73" t="n">
        <v>45715</v>
      </c>
      <c r="B76" s="74" t="inlineStr">
        <is>
          <t>Almoço de domingo</t>
        </is>
      </c>
      <c r="C76" s="74" t="inlineStr">
        <is>
          <t>Restaurantes e delivery</t>
        </is>
      </c>
      <c r="D76" s="75">
        <f>IF($C76="","",IFERROR(INDEX(CAT_TIPO,MATCH($C76,CAT_NOME,0)),"Sem categoria"))</f>
        <v/>
      </c>
      <c r="E76" s="75">
        <f>IF($C76="","",IFERROR(INDEX(CAT_GRUPO,MATCH($C76,CAT_NOME,0)),"Sem categoria"))</f>
        <v/>
      </c>
      <c r="F76" s="76" t="n">
        <v>68.34999999999999</v>
      </c>
      <c r="G76" s="74" t="n"/>
      <c r="H76" s="74" t="inlineStr">
        <is>
          <t>Crédito</t>
        </is>
      </c>
      <c r="I76" s="74" t="inlineStr">
        <is>
          <t>Nubank Mastercard</t>
        </is>
      </c>
      <c r="J76" s="77" t="n"/>
      <c r="K76" s="77" t="n"/>
      <c r="L76" s="74" t="n"/>
      <c r="M76" s="74" t="n"/>
      <c r="O76" s="78">
        <f>IF($A76="","",YEAR($A76)*100+MONTH($A76))</f>
        <v/>
      </c>
      <c r="P76" s="79">
        <f>IF(OR($F76="",$D76=""),"",IF($D76="Receita",$F76,IF($D76="Transferência",0,-$F76)))</f>
        <v/>
      </c>
    </row>
    <row r="77">
      <c r="A77" s="73" t="n">
        <v>45716</v>
      </c>
      <c r="B77" s="74" t="inlineStr">
        <is>
          <t>Aporte em renda fixa</t>
        </is>
      </c>
      <c r="C77" s="74" t="inlineStr">
        <is>
          <t>Investimentos</t>
        </is>
      </c>
      <c r="D77" s="75">
        <f>IF($C77="","",IFERROR(INDEX(CAT_TIPO,MATCH($C77,CAT_NOME,0)),"Sem categoria"))</f>
        <v/>
      </c>
      <c r="E77" s="75">
        <f>IF($C77="","",IFERROR(INDEX(CAT_GRUPO,MATCH($C77,CAT_NOME,0)),"Sem categoria"))</f>
        <v/>
      </c>
      <c r="F77" s="76" t="n">
        <v>250</v>
      </c>
      <c r="G77" s="74" t="inlineStr">
        <is>
          <t>Conta Nubank</t>
        </is>
      </c>
      <c r="H77" s="74" t="inlineStr">
        <is>
          <t>Transferência</t>
        </is>
      </c>
      <c r="I77" s="74" t="n"/>
      <c r="J77" s="77" t="n"/>
      <c r="K77" s="77" t="n"/>
      <c r="L77" s="74" t="inlineStr">
        <is>
          <t>Corretora</t>
        </is>
      </c>
      <c r="M77" s="74" t="n"/>
      <c r="O77" s="78">
        <f>IF($A77="","",YEAR($A77)*100+MONTH($A77))</f>
        <v/>
      </c>
      <c r="P77" s="79">
        <f>IF(OR($F77="",$D77=""),"",IF($D77="Receita",$F77,IF($D77="Transferência",0,-$F77)))</f>
        <v/>
      </c>
    </row>
    <row r="78">
      <c r="A78" s="73" t="n">
        <v>45716</v>
      </c>
      <c r="B78" s="74" t="inlineStr">
        <is>
          <t>Cofrinho da viagem</t>
        </is>
      </c>
      <c r="C78" s="74" t="inlineStr">
        <is>
          <t>Metas e sonhos</t>
        </is>
      </c>
      <c r="D78" s="75">
        <f>IF($C78="","",IFERROR(INDEX(CAT_TIPO,MATCH($C78,CAT_NOME,0)),"Sem categoria"))</f>
        <v/>
      </c>
      <c r="E78" s="75">
        <f>IF($C78="","",IFERROR(INDEX(CAT_GRUPO,MATCH($C78,CAT_NOME,0)),"Sem categoria"))</f>
        <v/>
      </c>
      <c r="F78" s="76" t="n">
        <v>150</v>
      </c>
      <c r="G78" s="74" t="inlineStr">
        <is>
          <t>Conta Nubank</t>
        </is>
      </c>
      <c r="H78" s="74" t="inlineStr">
        <is>
          <t>Transferência</t>
        </is>
      </c>
      <c r="I78" s="74" t="n"/>
      <c r="J78" s="77" t="n"/>
      <c r="K78" s="77" t="n"/>
      <c r="L78" s="74" t="inlineStr">
        <is>
          <t>Cofrinho viagem</t>
        </is>
      </c>
      <c r="M78" s="74" t="n"/>
      <c r="O78" s="78">
        <f>IF($A78="","",YEAR($A78)*100+MONTH($A78))</f>
        <v/>
      </c>
      <c r="P78" s="79">
        <f>IF(OR($F78="",$D78=""),"",IF($D78="Receita",$F78,IF($D78="Transferência",0,-$F78)))</f>
        <v/>
      </c>
    </row>
    <row r="79">
      <c r="A79" s="73" t="n">
        <v>45716</v>
      </c>
      <c r="B79" s="74" t="inlineStr">
        <is>
          <t>Rendimento da renda fixa</t>
        </is>
      </c>
      <c r="C79" s="74" t="inlineStr">
        <is>
          <t>Rendimentos de investimentos</t>
        </is>
      </c>
      <c r="D79" s="75">
        <f>IF($C79="","",IFERROR(INDEX(CAT_TIPO,MATCH($C79,CAT_NOME,0)),"Sem categoria"))</f>
        <v/>
      </c>
      <c r="E79" s="75">
        <f>IF($C79="","",IFERROR(INDEX(CAT_GRUPO,MATCH($C79,CAT_NOME,0)),"Sem categoria"))</f>
        <v/>
      </c>
      <c r="F79" s="76" t="n">
        <v>93.84999999999999</v>
      </c>
      <c r="G79" s="74" t="inlineStr">
        <is>
          <t>Corretora</t>
        </is>
      </c>
      <c r="H79" s="74" t="inlineStr">
        <is>
          <t>Transferência</t>
        </is>
      </c>
      <c r="I79" s="74" t="n"/>
      <c r="J79" s="77" t="n"/>
      <c r="K79" s="77" t="n"/>
      <c r="L79" s="74" t="n"/>
      <c r="M79" s="74" t="n"/>
      <c r="O79" s="78">
        <f>IF($A79="","",YEAR($A79)*100+MONTH($A79))</f>
        <v/>
      </c>
      <c r="P79" s="79">
        <f>IF(OR($F79="",$D79=""),"",IF($D79="Receita",$F79,IF($D79="Transferência",0,-$F79)))</f>
        <v/>
      </c>
    </row>
    <row r="80">
      <c r="A80" s="73" t="n">
        <v>45716</v>
      </c>
      <c r="B80" s="74" t="inlineStr">
        <is>
          <t>Reserva de emergência</t>
        </is>
      </c>
      <c r="C80" s="74" t="inlineStr">
        <is>
          <t>Reserva de emergência</t>
        </is>
      </c>
      <c r="D80" s="75">
        <f>IF($C80="","",IFERROR(INDEX(CAT_TIPO,MATCH($C80,CAT_NOME,0)),"Sem categoria"))</f>
        <v/>
      </c>
      <c r="E80" s="75">
        <f>IF($C80="","",IFERROR(INDEX(CAT_GRUPO,MATCH($C80,CAT_NOME,0)),"Sem categoria"))</f>
        <v/>
      </c>
      <c r="F80" s="76" t="n">
        <v>400</v>
      </c>
      <c r="G80" s="74" t="inlineStr">
        <is>
          <t>Conta Nubank</t>
        </is>
      </c>
      <c r="H80" s="74" t="inlineStr">
        <is>
          <t>Transferência</t>
        </is>
      </c>
      <c r="I80" s="74" t="n"/>
      <c r="J80" s="77" t="n"/>
      <c r="K80" s="77" t="n"/>
      <c r="L80" s="74" t="inlineStr">
        <is>
          <t>Poupança Caixa</t>
        </is>
      </c>
      <c r="M80" s="74" t="n"/>
      <c r="O80" s="78">
        <f>IF($A80="","",YEAR($A80)*100+MONTH($A80))</f>
        <v/>
      </c>
      <c r="P80" s="79">
        <f>IF(OR($F80="",$D80=""),"",IF($D80="Receita",$F80,IF($D80="Transferência",0,-$F80)))</f>
        <v/>
      </c>
    </row>
    <row r="81">
      <c r="A81" s="73" t="n">
        <v>45719</v>
      </c>
      <c r="B81" s="74" t="inlineStr">
        <is>
          <t>Netflix</t>
        </is>
      </c>
      <c r="C81" s="74" t="inlineStr">
        <is>
          <t>Assinaturas e streaming</t>
        </is>
      </c>
      <c r="D81" s="75">
        <f>IF($C81="","",IFERROR(INDEX(CAT_TIPO,MATCH($C81,CAT_NOME,0)),"Sem categoria"))</f>
        <v/>
      </c>
      <c r="E81" s="75">
        <f>IF($C81="","",IFERROR(INDEX(CAT_GRUPO,MATCH($C81,CAT_NOME,0)),"Sem categoria"))</f>
        <v/>
      </c>
      <c r="F81" s="76" t="n">
        <v>55.9</v>
      </c>
      <c r="G81" s="74" t="n"/>
      <c r="H81" s="74" t="inlineStr">
        <is>
          <t>Crédito</t>
        </is>
      </c>
      <c r="I81" s="74" t="inlineStr">
        <is>
          <t>Nubank Mastercard</t>
        </is>
      </c>
      <c r="J81" s="77" t="n"/>
      <c r="K81" s="77" t="n"/>
      <c r="L81" s="74" t="n"/>
      <c r="M81" s="74" t="n"/>
      <c r="O81" s="78">
        <f>IF($A81="","",YEAR($A81)*100+MONTH($A81))</f>
        <v/>
      </c>
      <c r="P81" s="79">
        <f>IF(OR($F81="",$D81=""),"",IF($D81="Receita",$F81,IF($D81="Transferência",0,-$F81)))</f>
        <v/>
      </c>
    </row>
    <row r="82">
      <c r="A82" s="73" t="n">
        <v>45719</v>
      </c>
      <c r="B82" s="74" t="inlineStr">
        <is>
          <t>Supermercado</t>
        </is>
      </c>
      <c r="C82" s="74" t="inlineStr">
        <is>
          <t>Mercado</t>
        </is>
      </c>
      <c r="D82" s="75">
        <f>IF($C82="","",IFERROR(INDEX(CAT_TIPO,MATCH($C82,CAT_NOME,0)),"Sem categoria"))</f>
        <v/>
      </c>
      <c r="E82" s="75">
        <f>IF($C82="","",IFERROR(INDEX(CAT_GRUPO,MATCH($C82,CAT_NOME,0)),"Sem categoria"))</f>
        <v/>
      </c>
      <c r="F82" s="76" t="n">
        <v>160.77</v>
      </c>
      <c r="G82" s="74" t="inlineStr">
        <is>
          <t>Conta Nubank</t>
        </is>
      </c>
      <c r="H82" s="74" t="inlineStr">
        <is>
          <t>Débito</t>
        </is>
      </c>
      <c r="I82" s="74" t="n"/>
      <c r="J82" s="77" t="n"/>
      <c r="K82" s="77" t="n"/>
      <c r="L82" s="74" t="n"/>
      <c r="M82" s="74" t="n"/>
      <c r="O82" s="78">
        <f>IF($A82="","",YEAR($A82)*100+MONTH($A82))</f>
        <v/>
      </c>
      <c r="P82" s="79">
        <f>IF(OR($F82="",$D82=""),"",IF($D82="Receita",$F82,IF($D82="Transferência",0,-$F82)))</f>
        <v/>
      </c>
    </row>
    <row r="83">
      <c r="A83" s="73" t="n">
        <v>45720</v>
      </c>
      <c r="B83" s="74" t="inlineStr">
        <is>
          <t>Spotify</t>
        </is>
      </c>
      <c r="C83" s="74" t="inlineStr">
        <is>
          <t>Assinaturas e streaming</t>
        </is>
      </c>
      <c r="D83" s="75">
        <f>IF($C83="","",IFERROR(INDEX(CAT_TIPO,MATCH($C83,CAT_NOME,0)),"Sem categoria"))</f>
        <v/>
      </c>
      <c r="E83" s="75">
        <f>IF($C83="","",IFERROR(INDEX(CAT_GRUPO,MATCH($C83,CAT_NOME,0)),"Sem categoria"))</f>
        <v/>
      </c>
      <c r="F83" s="76" t="n">
        <v>23.9</v>
      </c>
      <c r="G83" s="74" t="n"/>
      <c r="H83" s="74" t="inlineStr">
        <is>
          <t>Crédito</t>
        </is>
      </c>
      <c r="I83" s="74" t="inlineStr">
        <is>
          <t>Nubank Mastercard</t>
        </is>
      </c>
      <c r="J83" s="77" t="n"/>
      <c r="K83" s="77" t="n"/>
      <c r="L83" s="74" t="n"/>
      <c r="M83" s="74" t="n"/>
      <c r="O83" s="78">
        <f>IF($A83="","",YEAR($A83)*100+MONTH($A83))</f>
        <v/>
      </c>
      <c r="P83" s="79">
        <f>IF(OR($F83="",$D83=""),"",IF($D83="Receita",$F83,IF($D83="Transferência",0,-$F83)))</f>
        <v/>
      </c>
    </row>
    <row r="84">
      <c r="A84" s="73" t="n">
        <v>45721</v>
      </c>
      <c r="B84" s="74" t="inlineStr">
        <is>
          <t>Academia</t>
        </is>
      </c>
      <c r="C84" s="74" t="inlineStr">
        <is>
          <t>Assinaturas e streaming</t>
        </is>
      </c>
      <c r="D84" s="75">
        <f>IF($C84="","",IFERROR(INDEX(CAT_TIPO,MATCH($C84,CAT_NOME,0)),"Sem categoria"))</f>
        <v/>
      </c>
      <c r="E84" s="75">
        <f>IF($C84="","",IFERROR(INDEX(CAT_GRUPO,MATCH($C84,CAT_NOME,0)),"Sem categoria"))</f>
        <v/>
      </c>
      <c r="F84" s="76" t="n">
        <v>119.9</v>
      </c>
      <c r="G84" s="74" t="n"/>
      <c r="H84" s="74" t="inlineStr">
        <is>
          <t>Crédito</t>
        </is>
      </c>
      <c r="I84" s="74" t="inlineStr">
        <is>
          <t>Nubank Mastercard</t>
        </is>
      </c>
      <c r="J84" s="77" t="n"/>
      <c r="K84" s="77" t="n"/>
      <c r="L84" s="74" t="n"/>
      <c r="M84" s="74" t="n"/>
      <c r="O84" s="78">
        <f>IF($A84="","",YEAR($A84)*100+MONTH($A84))</f>
        <v/>
      </c>
      <c r="P84" s="79">
        <f>IF(OR($F84="",$D84=""),"",IF($D84="Receita",$F84,IF($D84="Transferência",0,-$F84)))</f>
        <v/>
      </c>
    </row>
    <row r="85">
      <c r="A85" s="73" t="n">
        <v>45721</v>
      </c>
      <c r="B85" s="74" t="inlineStr">
        <is>
          <t>Pagamento da fatura Nubank Mastercard</t>
        </is>
      </c>
      <c r="C85" s="74" t="inlineStr">
        <is>
          <t>Pagamento de fatura</t>
        </is>
      </c>
      <c r="D85" s="75">
        <f>IF($C85="","",IFERROR(INDEX(CAT_TIPO,MATCH($C85,CAT_NOME,0)),"Sem categoria"))</f>
        <v/>
      </c>
      <c r="E85" s="75">
        <f>IF($C85="","",IFERROR(INDEX(CAT_GRUPO,MATCH($C85,CAT_NOME,0)),"Sem categoria"))</f>
        <v/>
      </c>
      <c r="F85" s="76" t="n">
        <v>670.78</v>
      </c>
      <c r="G85" s="74" t="inlineStr">
        <is>
          <t>Conta Nubank</t>
        </is>
      </c>
      <c r="H85" s="74" t="inlineStr">
        <is>
          <t>Boleto</t>
        </is>
      </c>
      <c r="I85" s="74" t="inlineStr">
        <is>
          <t>Nubank Mastercard</t>
        </is>
      </c>
      <c r="J85" s="77" t="n"/>
      <c r="K85" s="77" t="n"/>
      <c r="L85" s="74" t="n"/>
      <c r="M85" s="74" t="n"/>
      <c r="O85" s="78">
        <f>IF($A85="","",YEAR($A85)*100+MONTH($A85))</f>
        <v/>
      </c>
      <c r="P85" s="79">
        <f>IF(OR($F85="",$D85=""),"",IF($D85="Receita",$F85,IF($D85="Transferência",0,-$F85)))</f>
        <v/>
      </c>
    </row>
    <row r="86">
      <c r="A86" s="73" t="n">
        <v>45721</v>
      </c>
      <c r="B86" s="74" t="inlineStr">
        <is>
          <t>Salário</t>
        </is>
      </c>
      <c r="C86" s="74" t="inlineStr">
        <is>
          <t>Salário</t>
        </is>
      </c>
      <c r="D86" s="75">
        <f>IF($C86="","",IFERROR(INDEX(CAT_TIPO,MATCH($C86,CAT_NOME,0)),"Sem categoria"))</f>
        <v/>
      </c>
      <c r="E86" s="75">
        <f>IF($C86="","",IFERROR(INDEX(CAT_GRUPO,MATCH($C86,CAT_NOME,0)),"Sem categoria"))</f>
        <v/>
      </c>
      <c r="F86" s="76" t="n">
        <v>5600</v>
      </c>
      <c r="G86" s="74" t="inlineStr">
        <is>
          <t>Conta Nubank</t>
        </is>
      </c>
      <c r="H86" s="74" t="inlineStr">
        <is>
          <t>Transferência</t>
        </is>
      </c>
      <c r="I86" s="74" t="n"/>
      <c r="J86" s="77" t="n"/>
      <c r="K86" s="77" t="n"/>
      <c r="L86" s="74" t="n"/>
      <c r="M86" s="74" t="n"/>
      <c r="O86" s="78">
        <f>IF($A86="","",YEAR($A86)*100+MONTH($A86))</f>
        <v/>
      </c>
      <c r="P86" s="79">
        <f>IF(OR($F86="",$D86=""),"",IF($D86="Receita",$F86,IF($D86="Transferência",0,-$F86)))</f>
        <v/>
      </c>
    </row>
    <row r="87">
      <c r="A87" s="73" t="n">
        <v>45722</v>
      </c>
      <c r="B87" s="74" t="inlineStr">
        <is>
          <t>Plano de saúde</t>
        </is>
      </c>
      <c r="C87" s="74" t="inlineStr">
        <is>
          <t>Saúde e farmácia</t>
        </is>
      </c>
      <c r="D87" s="75">
        <f>IF($C87="","",IFERROR(INDEX(CAT_TIPO,MATCH($C87,CAT_NOME,0)),"Sem categoria"))</f>
        <v/>
      </c>
      <c r="E87" s="75">
        <f>IF($C87="","",IFERROR(INDEX(CAT_GRUPO,MATCH($C87,CAT_NOME,0)),"Sem categoria"))</f>
        <v/>
      </c>
      <c r="F87" s="76" t="n">
        <v>290</v>
      </c>
      <c r="G87" s="74" t="inlineStr">
        <is>
          <t>Conta Nubank</t>
        </is>
      </c>
      <c r="H87" s="74" t="inlineStr">
        <is>
          <t>Débito automático</t>
        </is>
      </c>
      <c r="I87" s="74" t="n"/>
      <c r="J87" s="77" t="n"/>
      <c r="K87" s="77" t="n"/>
      <c r="L87" s="74" t="n"/>
      <c r="M87" s="74" t="n"/>
      <c r="O87" s="78">
        <f>IF($A87="","",YEAR($A87)*100+MONTH($A87))</f>
        <v/>
      </c>
      <c r="P87" s="79">
        <f>IF(OR($F87="",$D87=""),"",IF($D87="Receita",$F87,IF($D87="Transferência",0,-$F87)))</f>
        <v/>
      </c>
    </row>
    <row r="88">
      <c r="A88" s="73" t="n">
        <v>45723</v>
      </c>
      <c r="B88" s="74" t="inlineStr">
        <is>
          <t>Combustível</t>
        </is>
      </c>
      <c r="C88" s="74" t="inlineStr">
        <is>
          <t>Transporte</t>
        </is>
      </c>
      <c r="D88" s="75">
        <f>IF($C88="","",IFERROR(INDEX(CAT_TIPO,MATCH($C88,CAT_NOME,0)),"Sem categoria"))</f>
        <v/>
      </c>
      <c r="E88" s="75">
        <f>IF($C88="","",IFERROR(INDEX(CAT_GRUPO,MATCH($C88,CAT_NOME,0)),"Sem categoria"))</f>
        <v/>
      </c>
      <c r="F88" s="76" t="n">
        <v>115.11</v>
      </c>
      <c r="G88" s="74" t="n"/>
      <c r="H88" s="74" t="inlineStr">
        <is>
          <t>Crédito</t>
        </is>
      </c>
      <c r="I88" s="74" t="inlineStr">
        <is>
          <t>Itaú Visa</t>
        </is>
      </c>
      <c r="J88" s="77" t="n"/>
      <c r="K88" s="77" t="n"/>
      <c r="L88" s="74" t="n"/>
      <c r="M88" s="74" t="n"/>
      <c r="O88" s="78">
        <f>IF($A88="","",YEAR($A88)*100+MONTH($A88))</f>
        <v/>
      </c>
      <c r="P88" s="79">
        <f>IF(OR($F88="",$D88=""),"",IF($D88="Receita",$F88,IF($D88="Transferência",0,-$F88)))</f>
        <v/>
      </c>
    </row>
    <row r="89">
      <c r="A89" s="73" t="n">
        <v>45724</v>
      </c>
      <c r="B89" s="74" t="inlineStr">
        <is>
          <t>Aluguel</t>
        </is>
      </c>
      <c r="C89" s="74" t="inlineStr">
        <is>
          <t>Moradia (aluguel ou financiamento)</t>
        </is>
      </c>
      <c r="D89" s="75">
        <f>IF($C89="","",IFERROR(INDEX(CAT_TIPO,MATCH($C89,CAT_NOME,0)),"Sem categoria"))</f>
        <v/>
      </c>
      <c r="E89" s="75">
        <f>IF($C89="","",IFERROR(INDEX(CAT_GRUPO,MATCH($C89,CAT_NOME,0)),"Sem categoria"))</f>
        <v/>
      </c>
      <c r="F89" s="76" t="n">
        <v>1150</v>
      </c>
      <c r="G89" s="74" t="inlineStr">
        <is>
          <t>Conta Nubank</t>
        </is>
      </c>
      <c r="H89" s="74" t="inlineStr">
        <is>
          <t>Boleto</t>
        </is>
      </c>
      <c r="I89" s="74" t="n"/>
      <c r="J89" s="77" t="n"/>
      <c r="K89" s="77" t="n"/>
      <c r="L89" s="74" t="n"/>
      <c r="M89" s="74" t="n"/>
      <c r="O89" s="78">
        <f>IF($A89="","",YEAR($A89)*100+MONTH($A89))</f>
        <v/>
      </c>
      <c r="P89" s="79">
        <f>IF(OR($F89="",$D89=""),"",IF($D89="Receita",$F89,IF($D89="Transferência",0,-$F89)))</f>
        <v/>
      </c>
    </row>
    <row r="90">
      <c r="A90" s="73" t="n">
        <v>45725</v>
      </c>
      <c r="B90" s="74" t="inlineStr">
        <is>
          <t>Farmácia</t>
        </is>
      </c>
      <c r="C90" s="74" t="inlineStr">
        <is>
          <t>Saúde e farmácia</t>
        </is>
      </c>
      <c r="D90" s="75">
        <f>IF($C90="","",IFERROR(INDEX(CAT_TIPO,MATCH($C90,CAT_NOME,0)),"Sem categoria"))</f>
        <v/>
      </c>
      <c r="E90" s="75">
        <f>IF($C90="","",IFERROR(INDEX(CAT_GRUPO,MATCH($C90,CAT_NOME,0)),"Sem categoria"))</f>
        <v/>
      </c>
      <c r="F90" s="76" t="n">
        <v>59.1</v>
      </c>
      <c r="G90" s="74" t="n"/>
      <c r="H90" s="74" t="inlineStr">
        <is>
          <t>Crédito</t>
        </is>
      </c>
      <c r="I90" s="74" t="inlineStr">
        <is>
          <t>Itaú Visa</t>
        </is>
      </c>
      <c r="J90" s="77" t="n"/>
      <c r="K90" s="77" t="n"/>
      <c r="L90" s="74" t="n"/>
      <c r="M90" s="74" t="n"/>
      <c r="O90" s="78">
        <f>IF($A90="","",YEAR($A90)*100+MONTH($A90))</f>
        <v/>
      </c>
      <c r="P90" s="79">
        <f>IF(OR($F90="",$D90=""),"",IF($D90="Receita",$F90,IF($D90="Transferência",0,-$F90)))</f>
        <v/>
      </c>
    </row>
    <row r="91">
      <c r="A91" s="73" t="n">
        <v>45726</v>
      </c>
      <c r="B91" s="74" t="inlineStr">
        <is>
          <t>Condomínio</t>
        </is>
      </c>
      <c r="C91" s="74" t="inlineStr">
        <is>
          <t>Condomínio e IPTU</t>
        </is>
      </c>
      <c r="D91" s="75">
        <f>IF($C91="","",IFERROR(INDEX(CAT_TIPO,MATCH($C91,CAT_NOME,0)),"Sem categoria"))</f>
        <v/>
      </c>
      <c r="E91" s="75">
        <f>IF($C91="","",IFERROR(INDEX(CAT_GRUPO,MATCH($C91,CAT_NOME,0)),"Sem categoria"))</f>
        <v/>
      </c>
      <c r="F91" s="76" t="n">
        <v>290</v>
      </c>
      <c r="G91" s="74" t="inlineStr">
        <is>
          <t>Conta Nubank</t>
        </is>
      </c>
      <c r="H91" s="74" t="inlineStr">
        <is>
          <t>Boleto</t>
        </is>
      </c>
      <c r="I91" s="74" t="n"/>
      <c r="J91" s="77" t="n"/>
      <c r="K91" s="77" t="n"/>
      <c r="L91" s="74" t="n"/>
      <c r="M91" s="74" t="n"/>
      <c r="O91" s="78">
        <f>IF($A91="","",YEAR($A91)*100+MONTH($A91))</f>
        <v/>
      </c>
      <c r="P91" s="79">
        <f>IF(OR($F91="",$D91=""),"",IF($D91="Receita",$F91,IF($D91="Transferência",0,-$F91)))</f>
        <v/>
      </c>
    </row>
    <row r="92">
      <c r="A92" s="73" t="n">
        <v>45726</v>
      </c>
      <c r="B92" s="74" t="inlineStr">
        <is>
          <t>Supermercado</t>
        </is>
      </c>
      <c r="C92" s="74" t="inlineStr">
        <is>
          <t>Mercado</t>
        </is>
      </c>
      <c r="D92" s="75">
        <f>IF($C92="","",IFERROR(INDEX(CAT_TIPO,MATCH($C92,CAT_NOME,0)),"Sem categoria"))</f>
        <v/>
      </c>
      <c r="E92" s="75">
        <f>IF($C92="","",IFERROR(INDEX(CAT_GRUPO,MATCH($C92,CAT_NOME,0)),"Sem categoria"))</f>
        <v/>
      </c>
      <c r="F92" s="76" t="n">
        <v>148.43</v>
      </c>
      <c r="G92" s="74" t="inlineStr">
        <is>
          <t>Conta Nubank</t>
        </is>
      </c>
      <c r="H92" s="74" t="inlineStr">
        <is>
          <t>Débito</t>
        </is>
      </c>
      <c r="I92" s="74" t="n"/>
      <c r="J92" s="77" t="n"/>
      <c r="K92" s="77" t="n"/>
      <c r="L92" s="74" t="n"/>
      <c r="M92" s="74" t="n"/>
      <c r="O92" s="78">
        <f>IF($A92="","",YEAR($A92)*100+MONTH($A92))</f>
        <v/>
      </c>
      <c r="P92" s="79">
        <f>IF(OR($F92="",$D92=""),"",IF($D92="Receita",$F92,IF($D92="Transferência",0,-$F92)))</f>
        <v/>
      </c>
    </row>
    <row r="93">
      <c r="A93" s="73" t="n">
        <v>45727</v>
      </c>
      <c r="B93" s="74" t="inlineStr">
        <is>
          <t>Uber</t>
        </is>
      </c>
      <c r="C93" s="74" t="inlineStr">
        <is>
          <t>Transporte</t>
        </is>
      </c>
      <c r="D93" s="75">
        <f>IF($C93="","",IFERROR(INDEX(CAT_TIPO,MATCH($C93,CAT_NOME,0)),"Sem categoria"))</f>
        <v/>
      </c>
      <c r="E93" s="75">
        <f>IF($C93="","",IFERROR(INDEX(CAT_GRUPO,MATCH($C93,CAT_NOME,0)),"Sem categoria"))</f>
        <v/>
      </c>
      <c r="F93" s="76" t="n">
        <v>43.37</v>
      </c>
      <c r="G93" s="74" t="n"/>
      <c r="H93" s="74" t="inlineStr">
        <is>
          <t>Crédito</t>
        </is>
      </c>
      <c r="I93" s="74" t="inlineStr">
        <is>
          <t>Nubank Mastercard</t>
        </is>
      </c>
      <c r="J93" s="77" t="n"/>
      <c r="K93" s="77" t="n"/>
      <c r="L93" s="74" t="n"/>
      <c r="M93" s="74" t="n"/>
      <c r="O93" s="78">
        <f>IF($A93="","",YEAR($A93)*100+MONTH($A93))</f>
        <v/>
      </c>
      <c r="P93" s="79">
        <f>IF(OR($F93="",$D93=""),"",IF($D93="Receita",$F93,IF($D93="Transferência",0,-$F93)))</f>
        <v/>
      </c>
    </row>
    <row r="94">
      <c r="A94" s="73" t="n">
        <v>45728</v>
      </c>
      <c r="B94" s="74" t="inlineStr">
        <is>
          <t>Parcela do financiamento do carro</t>
        </is>
      </c>
      <c r="C94" s="74" t="inlineStr">
        <is>
          <t>Dívidas e parcelas</t>
        </is>
      </c>
      <c r="D94" s="75">
        <f>IF($C94="","",IFERROR(INDEX(CAT_TIPO,MATCH($C94,CAT_NOME,0)),"Sem categoria"))</f>
        <v/>
      </c>
      <c r="E94" s="75">
        <f>IF($C94="","",IFERROR(INDEX(CAT_GRUPO,MATCH($C94,CAT_NOME,0)),"Sem categoria"))</f>
        <v/>
      </c>
      <c r="F94" s="76" t="n">
        <v>560</v>
      </c>
      <c r="G94" s="74" t="inlineStr">
        <is>
          <t>Conta Nubank</t>
        </is>
      </c>
      <c r="H94" s="74" t="inlineStr">
        <is>
          <t>Boleto</t>
        </is>
      </c>
      <c r="I94" s="74" t="n"/>
      <c r="J94" s="77" t="inlineStr">
        <is>
          <t>15/48</t>
        </is>
      </c>
      <c r="K94" s="77" t="n"/>
      <c r="L94" s="74" t="n"/>
      <c r="M94" s="74" t="n"/>
      <c r="O94" s="78">
        <f>IF($A94="","",YEAR($A94)*100+MONTH($A94))</f>
        <v/>
      </c>
      <c r="P94" s="79">
        <f>IF(OR($F94="",$D94=""),"",IF($D94="Receita",$F94,IF($D94="Transferência",0,-$F94)))</f>
        <v/>
      </c>
    </row>
    <row r="95">
      <c r="A95" s="73" t="n">
        <v>45728</v>
      </c>
      <c r="B95" s="74" t="inlineStr">
        <is>
          <t>Seguro do carro</t>
        </is>
      </c>
      <c r="C95" s="74" t="inlineStr">
        <is>
          <t>Seguros</t>
        </is>
      </c>
      <c r="D95" s="75">
        <f>IF($C95="","",IFERROR(INDEX(CAT_TIPO,MATCH($C95,CAT_NOME,0)),"Sem categoria"))</f>
        <v/>
      </c>
      <c r="E95" s="75">
        <f>IF($C95="","",IFERROR(INDEX(CAT_GRUPO,MATCH($C95,CAT_NOME,0)),"Sem categoria"))</f>
        <v/>
      </c>
      <c r="F95" s="76" t="n">
        <v>140</v>
      </c>
      <c r="G95" s="74" t="inlineStr">
        <is>
          <t>Conta Nubank</t>
        </is>
      </c>
      <c r="H95" s="74" t="inlineStr">
        <is>
          <t>Débito automático</t>
        </is>
      </c>
      <c r="I95" s="74" t="n"/>
      <c r="J95" s="77" t="n"/>
      <c r="K95" s="77" t="n"/>
      <c r="L95" s="74" t="n"/>
      <c r="M95" s="74" t="n"/>
      <c r="O95" s="78">
        <f>IF($A95="","",YEAR($A95)*100+MONTH($A95))</f>
        <v/>
      </c>
      <c r="P95" s="79">
        <f>IF(OR($F95="",$D95=""),"",IF($D95="Receita",$F95,IF($D95="Transferência",0,-$F95)))</f>
        <v/>
      </c>
    </row>
    <row r="96">
      <c r="A96" s="73" t="n">
        <v>45729</v>
      </c>
      <c r="B96" s="74" t="inlineStr">
        <is>
          <t>Jantar fora</t>
        </is>
      </c>
      <c r="C96" s="74" t="inlineStr">
        <is>
          <t>Restaurantes e delivery</t>
        </is>
      </c>
      <c r="D96" s="75">
        <f>IF($C96="","",IFERROR(INDEX(CAT_TIPO,MATCH($C96,CAT_NOME,0)),"Sem categoria"))</f>
        <v/>
      </c>
      <c r="E96" s="75">
        <f>IF($C96="","",IFERROR(INDEX(CAT_GRUPO,MATCH($C96,CAT_NOME,0)),"Sem categoria"))</f>
        <v/>
      </c>
      <c r="F96" s="76" t="n">
        <v>92.37</v>
      </c>
      <c r="G96" s="74" t="n"/>
      <c r="H96" s="74" t="inlineStr">
        <is>
          <t>Crédito</t>
        </is>
      </c>
      <c r="I96" s="74" t="inlineStr">
        <is>
          <t>Nubank Mastercard</t>
        </is>
      </c>
      <c r="J96" s="77" t="n"/>
      <c r="K96" s="77" t="n"/>
      <c r="L96" s="74" t="n"/>
      <c r="M96" s="74" t="n"/>
      <c r="O96" s="78">
        <f>IF($A96="","",YEAR($A96)*100+MONTH($A96))</f>
        <v/>
      </c>
      <c r="P96" s="79">
        <f>IF(OR($F96="",$D96=""),"",IF($D96="Receita",$F96,IF($D96="Transferência",0,-$F96)))</f>
        <v/>
      </c>
    </row>
    <row r="97">
      <c r="A97" s="73" t="n">
        <v>45730</v>
      </c>
      <c r="B97" s="74" t="inlineStr">
        <is>
          <t>Conta de luz</t>
        </is>
      </c>
      <c r="C97" s="74" t="inlineStr">
        <is>
          <t>Contas da casa (luz, água, gás)</t>
        </is>
      </c>
      <c r="D97" s="75">
        <f>IF($C97="","",IFERROR(INDEX(CAT_TIPO,MATCH($C97,CAT_NOME,0)),"Sem categoria"))</f>
        <v/>
      </c>
      <c r="E97" s="75">
        <f>IF($C97="","",IFERROR(INDEX(CAT_GRUPO,MATCH($C97,CAT_NOME,0)),"Sem categoria"))</f>
        <v/>
      </c>
      <c r="F97" s="76" t="n">
        <v>134.17</v>
      </c>
      <c r="G97" s="74" t="inlineStr">
        <is>
          <t>Conta Nubank</t>
        </is>
      </c>
      <c r="H97" s="74" t="inlineStr">
        <is>
          <t>Débito automático</t>
        </is>
      </c>
      <c r="I97" s="74" t="n"/>
      <c r="J97" s="77" t="n"/>
      <c r="K97" s="77" t="n"/>
      <c r="L97" s="74" t="n"/>
      <c r="M97" s="74" t="n"/>
      <c r="O97" s="78">
        <f>IF($A97="","",YEAR($A97)*100+MONTH($A97))</f>
        <v/>
      </c>
      <c r="P97" s="79">
        <f>IF(OR($F97="",$D97=""),"",IF($D97="Receita",$F97,IF($D97="Transferência",0,-$F97)))</f>
        <v/>
      </c>
    </row>
    <row r="98">
      <c r="A98" s="73" t="n">
        <v>45731</v>
      </c>
      <c r="B98" s="74" t="inlineStr">
        <is>
          <t>Reembolso do plano de saúde</t>
        </is>
      </c>
      <c r="C98" s="74" t="inlineStr">
        <is>
          <t>Reembolsos</t>
        </is>
      </c>
      <c r="D98" s="75">
        <f>IF($C98="","",IFERROR(INDEX(CAT_TIPO,MATCH($C98,CAT_NOME,0)),"Sem categoria"))</f>
        <v/>
      </c>
      <c r="E98" s="75">
        <f>IF($C98="","",IFERROR(INDEX(CAT_GRUPO,MATCH($C98,CAT_NOME,0)),"Sem categoria"))</f>
        <v/>
      </c>
      <c r="F98" s="76" t="n">
        <v>240</v>
      </c>
      <c r="G98" s="74" t="inlineStr">
        <is>
          <t>Conta Nubank</t>
        </is>
      </c>
      <c r="H98" s="74" t="inlineStr">
        <is>
          <t>Pix</t>
        </is>
      </c>
      <c r="I98" s="74" t="n"/>
      <c r="J98" s="77" t="n"/>
      <c r="K98" s="77" t="n"/>
      <c r="L98" s="74" t="n"/>
      <c r="M98" s="74" t="n"/>
      <c r="O98" s="78">
        <f>IF($A98="","",YEAR($A98)*100+MONTH($A98))</f>
        <v/>
      </c>
      <c r="P98" s="79">
        <f>IF(OR($F98="",$D98=""),"",IF($D98="Receita",$F98,IF($D98="Transferência",0,-$F98)))</f>
        <v/>
      </c>
    </row>
    <row r="99">
      <c r="A99" s="73" t="n">
        <v>45731</v>
      </c>
      <c r="B99" s="74" t="inlineStr">
        <is>
          <t>Roupas e acessórios</t>
        </is>
      </c>
      <c r="C99" s="74" t="inlineStr">
        <is>
          <t>Compras pessoais</t>
        </is>
      </c>
      <c r="D99" s="75">
        <f>IF($C99="","",IFERROR(INDEX(CAT_TIPO,MATCH($C99,CAT_NOME,0)),"Sem categoria"))</f>
        <v/>
      </c>
      <c r="E99" s="75">
        <f>IF($C99="","",IFERROR(INDEX(CAT_GRUPO,MATCH($C99,CAT_NOME,0)),"Sem categoria"))</f>
        <v/>
      </c>
      <c r="F99" s="76" t="n">
        <v>103.66</v>
      </c>
      <c r="G99" s="74" t="n"/>
      <c r="H99" s="74" t="inlineStr">
        <is>
          <t>Crédito</t>
        </is>
      </c>
      <c r="I99" s="74" t="inlineStr">
        <is>
          <t>Nubank Mastercard</t>
        </is>
      </c>
      <c r="J99" s="77" t="n"/>
      <c r="K99" s="77" t="n"/>
      <c r="L99" s="74" t="n"/>
      <c r="M99" s="74" t="n"/>
      <c r="O99" s="78">
        <f>IF($A99="","",YEAR($A99)*100+MONTH($A99))</f>
        <v/>
      </c>
      <c r="P99" s="79">
        <f>IF(OR($F99="",$D99=""),"",IF($D99="Receita",$F99,IF($D99="Transferência",0,-$F99)))</f>
        <v/>
      </c>
    </row>
    <row r="100">
      <c r="A100" s="73" t="n">
        <v>45732</v>
      </c>
      <c r="B100" s="74" t="inlineStr">
        <is>
          <t>Combustível</t>
        </is>
      </c>
      <c r="C100" s="74" t="inlineStr">
        <is>
          <t>Transporte</t>
        </is>
      </c>
      <c r="D100" s="75">
        <f>IF($C100="","",IFERROR(INDEX(CAT_TIPO,MATCH($C100,CAT_NOME,0)),"Sem categoria"))</f>
        <v/>
      </c>
      <c r="E100" s="75">
        <f>IF($C100="","",IFERROR(INDEX(CAT_GRUPO,MATCH($C100,CAT_NOME,0)),"Sem categoria"))</f>
        <v/>
      </c>
      <c r="F100" s="76" t="n">
        <v>112.88</v>
      </c>
      <c r="G100" s="74" t="n"/>
      <c r="H100" s="74" t="inlineStr">
        <is>
          <t>Crédito</t>
        </is>
      </c>
      <c r="I100" s="74" t="inlineStr">
        <is>
          <t>Itaú Visa</t>
        </is>
      </c>
      <c r="J100" s="77" t="n"/>
      <c r="K100" s="77" t="n"/>
      <c r="L100" s="74" t="n"/>
      <c r="M100" s="74" t="n"/>
      <c r="O100" s="78">
        <f>IF($A100="","",YEAR($A100)*100+MONTH($A100))</f>
        <v/>
      </c>
      <c r="P100" s="79">
        <f>IF(OR($F100="",$D100=""),"",IF($D100="Receita",$F100,IF($D100="Transferência",0,-$F100)))</f>
        <v/>
      </c>
    </row>
    <row r="101">
      <c r="A101" s="73" t="n">
        <v>45733</v>
      </c>
      <c r="B101" s="74" t="inlineStr">
        <is>
          <t>Pagamento da fatura Itaú Visa</t>
        </is>
      </c>
      <c r="C101" s="74" t="inlineStr">
        <is>
          <t>Pagamento de fatura</t>
        </is>
      </c>
      <c r="D101" s="75">
        <f>IF($C101="","",IFERROR(INDEX(CAT_TIPO,MATCH($C101,CAT_NOME,0)),"Sem categoria"))</f>
        <v/>
      </c>
      <c r="E101" s="75">
        <f>IF($C101="","",IFERROR(INDEX(CAT_GRUPO,MATCH($C101,CAT_NOME,0)),"Sem categoria"))</f>
        <v/>
      </c>
      <c r="F101" s="76" t="n">
        <v>588.33</v>
      </c>
      <c r="G101" s="74" t="inlineStr">
        <is>
          <t>Conta Nubank</t>
        </is>
      </c>
      <c r="H101" s="74" t="inlineStr">
        <is>
          <t>Boleto</t>
        </is>
      </c>
      <c r="I101" s="74" t="inlineStr">
        <is>
          <t>Itaú Visa</t>
        </is>
      </c>
      <c r="J101" s="77" t="n"/>
      <c r="K101" s="77" t="n"/>
      <c r="L101" s="74" t="n"/>
      <c r="M101" s="74" t="n"/>
      <c r="O101" s="78">
        <f>IF($A101="","",YEAR($A101)*100+MONTH($A101))</f>
        <v/>
      </c>
      <c r="P101" s="79">
        <f>IF(OR($F101="",$D101=""),"",IF($D101="Receita",$F101,IF($D101="Transferência",0,-$F101)))</f>
        <v/>
      </c>
    </row>
    <row r="102">
      <c r="A102" s="73" t="n">
        <v>45733</v>
      </c>
      <c r="B102" s="74" t="inlineStr">
        <is>
          <t>Supermercado</t>
        </is>
      </c>
      <c r="C102" s="74" t="inlineStr">
        <is>
          <t>Mercado</t>
        </is>
      </c>
      <c r="D102" s="75">
        <f>IF($C102="","",IFERROR(INDEX(CAT_TIPO,MATCH($C102,CAT_NOME,0)),"Sem categoria"))</f>
        <v/>
      </c>
      <c r="E102" s="75">
        <f>IF($C102="","",IFERROR(INDEX(CAT_GRUPO,MATCH($C102,CAT_NOME,0)),"Sem categoria"))</f>
        <v/>
      </c>
      <c r="F102" s="76" t="n">
        <v>156.85</v>
      </c>
      <c r="G102" s="74" t="inlineStr">
        <is>
          <t>Conta Nubank</t>
        </is>
      </c>
      <c r="H102" s="74" t="inlineStr">
        <is>
          <t>Débito</t>
        </is>
      </c>
      <c r="I102" s="74" t="n"/>
      <c r="J102" s="77" t="n"/>
      <c r="K102" s="77" t="n"/>
      <c r="L102" s="74" t="n"/>
      <c r="M102" s="74" t="n"/>
      <c r="O102" s="78">
        <f>IF($A102="","",YEAR($A102)*100+MONTH($A102))</f>
        <v/>
      </c>
      <c r="P102" s="79">
        <f>IF(OR($F102="",$D102=""),"",IF($D102="Receita",$F102,IF($D102="Transferência",0,-$F102)))</f>
        <v/>
      </c>
    </row>
    <row r="103">
      <c r="A103" s="73" t="n">
        <v>45733</v>
      </c>
      <c r="B103" s="74" t="inlineStr">
        <is>
          <t>iCloud</t>
        </is>
      </c>
      <c r="C103" s="74" t="inlineStr">
        <is>
          <t>Assinaturas e streaming</t>
        </is>
      </c>
      <c r="D103" s="75">
        <f>IF($C103="","",IFERROR(INDEX(CAT_TIPO,MATCH($C103,CAT_NOME,0)),"Sem categoria"))</f>
        <v/>
      </c>
      <c r="E103" s="75">
        <f>IF($C103="","",IFERROR(INDEX(CAT_GRUPO,MATCH($C103,CAT_NOME,0)),"Sem categoria"))</f>
        <v/>
      </c>
      <c r="F103" s="76" t="n">
        <v>14.9</v>
      </c>
      <c r="G103" s="74" t="n"/>
      <c r="H103" s="74" t="inlineStr">
        <is>
          <t>Crédito</t>
        </is>
      </c>
      <c r="I103" s="74" t="inlineStr">
        <is>
          <t>Nubank Mastercard</t>
        </is>
      </c>
      <c r="J103" s="77" t="n"/>
      <c r="K103" s="77" t="n"/>
      <c r="L103" s="74" t="n"/>
      <c r="M103" s="74" t="n"/>
      <c r="O103" s="78">
        <f>IF($A103="","",YEAR($A103)*100+MONTH($A103))</f>
        <v/>
      </c>
      <c r="P103" s="79">
        <f>IF(OR($F103="",$D103=""),"",IF($D103="Receita",$F103,IF($D103="Transferência",0,-$F103)))</f>
        <v/>
      </c>
    </row>
    <row r="104">
      <c r="A104" s="73" t="n">
        <v>45734</v>
      </c>
      <c r="B104" s="74" t="inlineStr">
        <is>
          <t>Barbearia / salão</t>
        </is>
      </c>
      <c r="C104" s="74" t="inlineStr">
        <is>
          <t>Beleza e cuidados</t>
        </is>
      </c>
      <c r="D104" s="75">
        <f>IF($C104="","",IFERROR(INDEX(CAT_TIPO,MATCH($C104,CAT_NOME,0)),"Sem categoria"))</f>
        <v/>
      </c>
      <c r="E104" s="75">
        <f>IF($C104="","",IFERROR(INDEX(CAT_GRUPO,MATCH($C104,CAT_NOME,0)),"Sem categoria"))</f>
        <v/>
      </c>
      <c r="F104" s="76" t="n">
        <v>89.72</v>
      </c>
      <c r="G104" s="74" t="inlineStr">
        <is>
          <t>Conta Nubank</t>
        </is>
      </c>
      <c r="H104" s="74" t="inlineStr">
        <is>
          <t>Pix</t>
        </is>
      </c>
      <c r="I104" s="74" t="n"/>
      <c r="J104" s="77" t="n"/>
      <c r="K104" s="77" t="n"/>
      <c r="L104" s="74" t="n"/>
      <c r="M104" s="74" t="n"/>
      <c r="O104" s="78">
        <f>IF($A104="","",YEAR($A104)*100+MONTH($A104))</f>
        <v/>
      </c>
      <c r="P104" s="79">
        <f>IF(OR($F104="",$D104=""),"",IF($D104="Receita",$F104,IF($D104="Transferência",0,-$F104)))</f>
        <v/>
      </c>
    </row>
    <row r="105">
      <c r="A105" s="73" t="n">
        <v>45734</v>
      </c>
      <c r="B105" s="74" t="inlineStr">
        <is>
          <t>Conta de água</t>
        </is>
      </c>
      <c r="C105" s="74" t="inlineStr">
        <is>
          <t>Contas da casa (luz, água, gás)</t>
        </is>
      </c>
      <c r="D105" s="75">
        <f>IF($C105="","",IFERROR(INDEX(CAT_TIPO,MATCH($C105,CAT_NOME,0)),"Sem categoria"))</f>
        <v/>
      </c>
      <c r="E105" s="75">
        <f>IF($C105="","",IFERROR(INDEX(CAT_GRUPO,MATCH($C105,CAT_NOME,0)),"Sem categoria"))</f>
        <v/>
      </c>
      <c r="F105" s="76" t="n">
        <v>77</v>
      </c>
      <c r="G105" s="74" t="inlineStr">
        <is>
          <t>Conta Nubank</t>
        </is>
      </c>
      <c r="H105" s="74" t="inlineStr">
        <is>
          <t>Débito automático</t>
        </is>
      </c>
      <c r="I105" s="74" t="n"/>
      <c r="J105" s="77" t="n"/>
      <c r="K105" s="77" t="n"/>
      <c r="L105" s="74" t="n"/>
      <c r="M105" s="74" t="n"/>
      <c r="O105" s="78">
        <f>IF($A105="","",YEAR($A105)*100+MONTH($A105))</f>
        <v/>
      </c>
      <c r="P105" s="79">
        <f>IF(OR($F105="",$D105=""),"",IF($D105="Receita",$F105,IF($D105="Transferência",0,-$F105)))</f>
        <v/>
      </c>
    </row>
    <row r="106">
      <c r="A106" s="73" t="n">
        <v>45735</v>
      </c>
      <c r="B106" s="74" t="inlineStr">
        <is>
          <t>iFood</t>
        </is>
      </c>
      <c r="C106" s="74" t="inlineStr">
        <is>
          <t>Restaurantes e delivery</t>
        </is>
      </c>
      <c r="D106" s="75">
        <f>IF($C106="","",IFERROR(INDEX(CAT_TIPO,MATCH($C106,CAT_NOME,0)),"Sem categoria"))</f>
        <v/>
      </c>
      <c r="E106" s="75">
        <f>IF($C106="","",IFERROR(INDEX(CAT_GRUPO,MATCH($C106,CAT_NOME,0)),"Sem categoria"))</f>
        <v/>
      </c>
      <c r="F106" s="76" t="n">
        <v>58.29</v>
      </c>
      <c r="G106" s="74" t="n"/>
      <c r="H106" s="74" t="inlineStr">
        <is>
          <t>Crédito</t>
        </is>
      </c>
      <c r="I106" s="74" t="inlineStr">
        <is>
          <t>Nubank Mastercard</t>
        </is>
      </c>
      <c r="J106" s="77" t="n"/>
      <c r="K106" s="77" t="n"/>
      <c r="L106" s="74" t="n"/>
      <c r="M106" s="74" t="n"/>
      <c r="O106" s="78">
        <f>IF($A106="","",YEAR($A106)*100+MONTH($A106))</f>
        <v/>
      </c>
      <c r="P106" s="79">
        <f>IF(OR($F106="",$D106=""),"",IF($D106="Receita",$F106,IF($D106="Transferência",0,-$F106)))</f>
        <v/>
      </c>
    </row>
    <row r="107">
      <c r="A107" s="73" t="n">
        <v>45736</v>
      </c>
      <c r="B107" s="74" t="inlineStr">
        <is>
          <t>Internet fibra</t>
        </is>
      </c>
      <c r="C107" s="74" t="inlineStr">
        <is>
          <t>Internet e celular</t>
        </is>
      </c>
      <c r="D107" s="75">
        <f>IF($C107="","",IFERROR(INDEX(CAT_TIPO,MATCH($C107,CAT_NOME,0)),"Sem categoria"))</f>
        <v/>
      </c>
      <c r="E107" s="75">
        <f>IF($C107="","",IFERROR(INDEX(CAT_GRUPO,MATCH($C107,CAT_NOME,0)),"Sem categoria"))</f>
        <v/>
      </c>
      <c r="F107" s="76" t="n">
        <v>119.9</v>
      </c>
      <c r="G107" s="74" t="inlineStr">
        <is>
          <t>Conta Nubank</t>
        </is>
      </c>
      <c r="H107" s="74" t="inlineStr">
        <is>
          <t>Débito automático</t>
        </is>
      </c>
      <c r="I107" s="74" t="n"/>
      <c r="J107" s="77" t="n"/>
      <c r="K107" s="77" t="n"/>
      <c r="L107" s="74" t="n"/>
      <c r="M107" s="74" t="n"/>
      <c r="O107" s="78">
        <f>IF($A107="","",YEAR($A107)*100+MONTH($A107))</f>
        <v/>
      </c>
      <c r="P107" s="79">
        <f>IF(OR($F107="",$D107=""),"",IF($D107="Receita",$F107,IF($D107="Transferência",0,-$F107)))</f>
        <v/>
      </c>
    </row>
    <row r="108">
      <c r="A108" s="73" t="n">
        <v>45736</v>
      </c>
      <c r="B108" s="74" t="inlineStr">
        <is>
          <t>Projeto freelance</t>
        </is>
      </c>
      <c r="C108" s="74" t="inlineStr">
        <is>
          <t>Renda extra e freelance</t>
        </is>
      </c>
      <c r="D108" s="75">
        <f>IF($C108="","",IFERROR(INDEX(CAT_TIPO,MATCH($C108,CAT_NOME,0)),"Sem categoria"))</f>
        <v/>
      </c>
      <c r="E108" s="75">
        <f>IF($C108="","",IFERROR(INDEX(CAT_GRUPO,MATCH($C108,CAT_NOME,0)),"Sem categoria"))</f>
        <v/>
      </c>
      <c r="F108" s="76" t="n">
        <v>1250</v>
      </c>
      <c r="G108" s="74" t="inlineStr">
        <is>
          <t>Conta Nubank</t>
        </is>
      </c>
      <c r="H108" s="74" t="inlineStr">
        <is>
          <t>Pix</t>
        </is>
      </c>
      <c r="I108" s="74" t="n"/>
      <c r="J108" s="77" t="n"/>
      <c r="K108" s="77" t="n"/>
      <c r="L108" s="74" t="n"/>
      <c r="M108" s="74" t="n"/>
      <c r="O108" s="78">
        <f>IF($A108="","",YEAR($A108)*100+MONTH($A108))</f>
        <v/>
      </c>
      <c r="P108" s="79">
        <f>IF(OR($F108="",$D108=""),"",IF($D108="Receita",$F108,IF($D108="Transferência",0,-$F108)))</f>
        <v/>
      </c>
    </row>
    <row r="109">
      <c r="A109" s="73" t="n">
        <v>45737</v>
      </c>
      <c r="B109" s="74" t="inlineStr">
        <is>
          <t>Uber</t>
        </is>
      </c>
      <c r="C109" s="74" t="inlineStr">
        <is>
          <t>Transporte</t>
        </is>
      </c>
      <c r="D109" s="75">
        <f>IF($C109="","",IFERROR(INDEX(CAT_TIPO,MATCH($C109,CAT_NOME,0)),"Sem categoria"))</f>
        <v/>
      </c>
      <c r="E109" s="75">
        <f>IF($C109="","",IFERROR(INDEX(CAT_GRUPO,MATCH($C109,CAT_NOME,0)),"Sem categoria"))</f>
        <v/>
      </c>
      <c r="F109" s="76" t="n">
        <v>37.52</v>
      </c>
      <c r="G109" s="74" t="n"/>
      <c r="H109" s="74" t="inlineStr">
        <is>
          <t>Crédito</t>
        </is>
      </c>
      <c r="I109" s="74" t="inlineStr">
        <is>
          <t>Nubank Mastercard</t>
        </is>
      </c>
      <c r="J109" s="77" t="n"/>
      <c r="K109" s="77" t="n"/>
      <c r="L109" s="74" t="n"/>
      <c r="M109" s="74" t="n"/>
      <c r="O109" s="78">
        <f>IF($A109="","",YEAR($A109)*100+MONTH($A109))</f>
        <v/>
      </c>
      <c r="P109" s="79">
        <f>IF(OR($F109="",$D109=""),"",IF($D109="Receita",$F109,IF($D109="Transferência",0,-$F109)))</f>
        <v/>
      </c>
    </row>
    <row r="110">
      <c r="A110" s="73" t="n">
        <v>45738</v>
      </c>
      <c r="B110" s="74" t="inlineStr">
        <is>
          <t>Plano de celular</t>
        </is>
      </c>
      <c r="C110" s="74" t="inlineStr">
        <is>
          <t>Internet e celular</t>
        </is>
      </c>
      <c r="D110" s="75">
        <f>IF($C110="","",IFERROR(INDEX(CAT_TIPO,MATCH($C110,CAT_NOME,0)),"Sem categoria"))</f>
        <v/>
      </c>
      <c r="E110" s="75">
        <f>IF($C110="","",IFERROR(INDEX(CAT_GRUPO,MATCH($C110,CAT_NOME,0)),"Sem categoria"))</f>
        <v/>
      </c>
      <c r="F110" s="76" t="n">
        <v>59.9</v>
      </c>
      <c r="G110" s="74" t="inlineStr">
        <is>
          <t>Conta Nubank</t>
        </is>
      </c>
      <c r="H110" s="74" t="inlineStr">
        <is>
          <t>Débito automático</t>
        </is>
      </c>
      <c r="I110" s="74" t="n"/>
      <c r="J110" s="77" t="n"/>
      <c r="K110" s="77" t="n"/>
      <c r="L110" s="74" t="n"/>
      <c r="M110" s="74" t="n"/>
      <c r="O110" s="78">
        <f>IF($A110="","",YEAR($A110)*100+MONTH($A110))</f>
        <v/>
      </c>
      <c r="P110" s="79">
        <f>IF(OR($F110="",$D110=""),"",IF($D110="Receita",$F110,IF($D110="Transferência",0,-$F110)))</f>
        <v/>
      </c>
    </row>
    <row r="111">
      <c r="A111" s="73" t="n">
        <v>45739</v>
      </c>
      <c r="B111" s="74" t="inlineStr">
        <is>
          <t>Cinema e passeios</t>
        </is>
      </c>
      <c r="C111" s="74" t="inlineStr">
        <is>
          <t>Lazer e entretenimento</t>
        </is>
      </c>
      <c r="D111" s="75">
        <f>IF($C111="","",IFERROR(INDEX(CAT_TIPO,MATCH($C111,CAT_NOME,0)),"Sem categoria"))</f>
        <v/>
      </c>
      <c r="E111" s="75">
        <f>IF($C111="","",IFERROR(INDEX(CAT_GRUPO,MATCH($C111,CAT_NOME,0)),"Sem categoria"))</f>
        <v/>
      </c>
      <c r="F111" s="76" t="n">
        <v>62.4</v>
      </c>
      <c r="G111" s="74" t="n"/>
      <c r="H111" s="74" t="inlineStr">
        <is>
          <t>Crédito</t>
        </is>
      </c>
      <c r="I111" s="74" t="inlineStr">
        <is>
          <t>Itaú Visa</t>
        </is>
      </c>
      <c r="J111" s="77" t="n"/>
      <c r="K111" s="77" t="n"/>
      <c r="L111" s="74" t="n"/>
      <c r="M111" s="74" t="n"/>
      <c r="O111" s="78">
        <f>IF($A111="","",YEAR($A111)*100+MONTH($A111))</f>
        <v/>
      </c>
      <c r="P111" s="79">
        <f>IF(OR($F111="",$D111=""),"",IF($D111="Receita",$F111,IF($D111="Transferência",0,-$F111)))</f>
        <v/>
      </c>
    </row>
    <row r="112">
      <c r="A112" s="73" t="n">
        <v>45740</v>
      </c>
      <c r="B112" s="74" t="inlineStr">
        <is>
          <t>Supermercado</t>
        </is>
      </c>
      <c r="C112" s="74" t="inlineStr">
        <is>
          <t>Mercado</t>
        </is>
      </c>
      <c r="D112" s="75">
        <f>IF($C112="","",IFERROR(INDEX(CAT_TIPO,MATCH($C112,CAT_NOME,0)),"Sem categoria"))</f>
        <v/>
      </c>
      <c r="E112" s="75">
        <f>IF($C112="","",IFERROR(INDEX(CAT_GRUPO,MATCH($C112,CAT_NOME,0)),"Sem categoria"))</f>
        <v/>
      </c>
      <c r="F112" s="76" t="n">
        <v>159.25</v>
      </c>
      <c r="G112" s="74" t="inlineStr">
        <is>
          <t>Conta Nubank</t>
        </is>
      </c>
      <c r="H112" s="74" t="inlineStr">
        <is>
          <t>Débito</t>
        </is>
      </c>
      <c r="I112" s="74" t="n"/>
      <c r="J112" s="77" t="n"/>
      <c r="K112" s="77" t="n"/>
      <c r="L112" s="74" t="n"/>
      <c r="M112" s="74" t="n"/>
      <c r="O112" s="78">
        <f>IF($A112="","",YEAR($A112)*100+MONTH($A112))</f>
        <v/>
      </c>
      <c r="P112" s="79">
        <f>IF(OR($F112="",$D112=""),"",IF($D112="Receita",$F112,IF($D112="Transferência",0,-$F112)))</f>
        <v/>
      </c>
    </row>
    <row r="113">
      <c r="A113" s="73" t="n">
        <v>45742</v>
      </c>
      <c r="B113" s="74" t="inlineStr">
        <is>
          <t>Combustível</t>
        </is>
      </c>
      <c r="C113" s="74" t="inlineStr">
        <is>
          <t>Transporte</t>
        </is>
      </c>
      <c r="D113" s="75">
        <f>IF($C113="","",IFERROR(INDEX(CAT_TIPO,MATCH($C113,CAT_NOME,0)),"Sem categoria"))</f>
        <v/>
      </c>
      <c r="E113" s="75">
        <f>IF($C113="","",IFERROR(INDEX(CAT_GRUPO,MATCH($C113,CAT_NOME,0)),"Sem categoria"))</f>
        <v/>
      </c>
      <c r="F113" s="76" t="n">
        <v>118.51</v>
      </c>
      <c r="G113" s="74" t="n"/>
      <c r="H113" s="74" t="inlineStr">
        <is>
          <t>Crédito</t>
        </is>
      </c>
      <c r="I113" s="74" t="inlineStr">
        <is>
          <t>Itaú Visa</t>
        </is>
      </c>
      <c r="J113" s="77" t="n"/>
      <c r="K113" s="77" t="n"/>
      <c r="L113" s="74" t="n"/>
      <c r="M113" s="74" t="n"/>
      <c r="O113" s="78">
        <f>IF($A113="","",YEAR($A113)*100+MONTH($A113))</f>
        <v/>
      </c>
      <c r="P113" s="79">
        <f>IF(OR($F113="",$D113=""),"",IF($D113="Receita",$F113,IF($D113="Transferência",0,-$F113)))</f>
        <v/>
      </c>
    </row>
    <row r="114">
      <c r="A114" s="73" t="n">
        <v>45743</v>
      </c>
      <c r="B114" s="74" t="inlineStr">
        <is>
          <t>Almoço de domingo</t>
        </is>
      </c>
      <c r="C114" s="74" t="inlineStr">
        <is>
          <t>Restaurantes e delivery</t>
        </is>
      </c>
      <c r="D114" s="75">
        <f>IF($C114="","",IFERROR(INDEX(CAT_TIPO,MATCH($C114,CAT_NOME,0)),"Sem categoria"))</f>
        <v/>
      </c>
      <c r="E114" s="75">
        <f>IF($C114="","",IFERROR(INDEX(CAT_GRUPO,MATCH($C114,CAT_NOME,0)),"Sem categoria"))</f>
        <v/>
      </c>
      <c r="F114" s="76" t="n">
        <v>55.76</v>
      </c>
      <c r="G114" s="74" t="n"/>
      <c r="H114" s="74" t="inlineStr">
        <is>
          <t>Crédito</t>
        </is>
      </c>
      <c r="I114" s="74" t="inlineStr">
        <is>
          <t>Nubank Mastercard</t>
        </is>
      </c>
      <c r="J114" s="77" t="n"/>
      <c r="K114" s="77" t="n"/>
      <c r="L114" s="74" t="n"/>
      <c r="M114" s="74" t="n"/>
      <c r="O114" s="78">
        <f>IF($A114="","",YEAR($A114)*100+MONTH($A114))</f>
        <v/>
      </c>
      <c r="P114" s="79">
        <f>IF(OR($F114="",$D114=""),"",IF($D114="Receita",$F114,IF($D114="Transferência",0,-$F114)))</f>
        <v/>
      </c>
    </row>
    <row r="115">
      <c r="A115" s="73" t="n">
        <v>45744</v>
      </c>
      <c r="B115" s="74" t="inlineStr">
        <is>
          <t>Aporte em renda fixa</t>
        </is>
      </c>
      <c r="C115" s="74" t="inlineStr">
        <is>
          <t>Investimentos</t>
        </is>
      </c>
      <c r="D115" s="75">
        <f>IF($C115="","",IFERROR(INDEX(CAT_TIPO,MATCH($C115,CAT_NOME,0)),"Sem categoria"))</f>
        <v/>
      </c>
      <c r="E115" s="75">
        <f>IF($C115="","",IFERROR(INDEX(CAT_GRUPO,MATCH($C115,CAT_NOME,0)),"Sem categoria"))</f>
        <v/>
      </c>
      <c r="F115" s="76" t="n">
        <v>250</v>
      </c>
      <c r="G115" s="74" t="inlineStr">
        <is>
          <t>Conta Nubank</t>
        </is>
      </c>
      <c r="H115" s="74" t="inlineStr">
        <is>
          <t>Transferência</t>
        </is>
      </c>
      <c r="I115" s="74" t="n"/>
      <c r="J115" s="77" t="n"/>
      <c r="K115" s="77" t="n"/>
      <c r="L115" s="74" t="inlineStr">
        <is>
          <t>Corretora</t>
        </is>
      </c>
      <c r="M115" s="74" t="n"/>
      <c r="O115" s="78">
        <f>IF($A115="","",YEAR($A115)*100+MONTH($A115))</f>
        <v/>
      </c>
      <c r="P115" s="79">
        <f>IF(OR($F115="",$D115=""),"",IF($D115="Receita",$F115,IF($D115="Transferência",0,-$F115)))</f>
        <v/>
      </c>
    </row>
    <row r="116">
      <c r="A116" s="73" t="n">
        <v>45744</v>
      </c>
      <c r="B116" s="74" t="inlineStr">
        <is>
          <t>Cofrinho da viagem</t>
        </is>
      </c>
      <c r="C116" s="74" t="inlineStr">
        <is>
          <t>Metas e sonhos</t>
        </is>
      </c>
      <c r="D116" s="75">
        <f>IF($C116="","",IFERROR(INDEX(CAT_TIPO,MATCH($C116,CAT_NOME,0)),"Sem categoria"))</f>
        <v/>
      </c>
      <c r="E116" s="75">
        <f>IF($C116="","",IFERROR(INDEX(CAT_GRUPO,MATCH($C116,CAT_NOME,0)),"Sem categoria"))</f>
        <v/>
      </c>
      <c r="F116" s="76" t="n">
        <v>150</v>
      </c>
      <c r="G116" s="74" t="inlineStr">
        <is>
          <t>Conta Nubank</t>
        </is>
      </c>
      <c r="H116" s="74" t="inlineStr">
        <is>
          <t>Transferência</t>
        </is>
      </c>
      <c r="I116" s="74" t="n"/>
      <c r="J116" s="77" t="n"/>
      <c r="K116" s="77" t="n"/>
      <c r="L116" s="74" t="inlineStr">
        <is>
          <t>Cofrinho viagem</t>
        </is>
      </c>
      <c r="M116" s="74" t="n"/>
      <c r="O116" s="78">
        <f>IF($A116="","",YEAR($A116)*100+MONTH($A116))</f>
        <v/>
      </c>
      <c r="P116" s="79">
        <f>IF(OR($F116="",$D116=""),"",IF($D116="Receita",$F116,IF($D116="Transferência",0,-$F116)))</f>
        <v/>
      </c>
    </row>
    <row r="117">
      <c r="A117" s="73" t="n">
        <v>45744</v>
      </c>
      <c r="B117" s="74" t="inlineStr">
        <is>
          <t>Rendimento da renda fixa</t>
        </is>
      </c>
      <c r="C117" s="74" t="inlineStr">
        <is>
          <t>Rendimentos de investimentos</t>
        </is>
      </c>
      <c r="D117" s="75">
        <f>IF($C117="","",IFERROR(INDEX(CAT_TIPO,MATCH($C117,CAT_NOME,0)),"Sem categoria"))</f>
        <v/>
      </c>
      <c r="E117" s="75">
        <f>IF($C117="","",IFERROR(INDEX(CAT_GRUPO,MATCH($C117,CAT_NOME,0)),"Sem categoria"))</f>
        <v/>
      </c>
      <c r="F117" s="76" t="n">
        <v>98.7</v>
      </c>
      <c r="G117" s="74" t="inlineStr">
        <is>
          <t>Corretora</t>
        </is>
      </c>
      <c r="H117" s="74" t="inlineStr">
        <is>
          <t>Transferência</t>
        </is>
      </c>
      <c r="I117" s="74" t="n"/>
      <c r="J117" s="77" t="n"/>
      <c r="K117" s="77" t="n"/>
      <c r="L117" s="74" t="n"/>
      <c r="M117" s="74" t="n"/>
      <c r="O117" s="78">
        <f>IF($A117="","",YEAR($A117)*100+MONTH($A117))</f>
        <v/>
      </c>
      <c r="P117" s="79">
        <f>IF(OR($F117="",$D117=""),"",IF($D117="Receita",$F117,IF($D117="Transferência",0,-$F117)))</f>
        <v/>
      </c>
    </row>
    <row r="118">
      <c r="A118" s="73" t="n">
        <v>45744</v>
      </c>
      <c r="B118" s="74" t="inlineStr">
        <is>
          <t>Reserva de emergência</t>
        </is>
      </c>
      <c r="C118" s="74" t="inlineStr">
        <is>
          <t>Reserva de emergência</t>
        </is>
      </c>
      <c r="D118" s="75">
        <f>IF($C118="","",IFERROR(INDEX(CAT_TIPO,MATCH($C118,CAT_NOME,0)),"Sem categoria"))</f>
        <v/>
      </c>
      <c r="E118" s="75">
        <f>IF($C118="","",IFERROR(INDEX(CAT_GRUPO,MATCH($C118,CAT_NOME,0)),"Sem categoria"))</f>
        <v/>
      </c>
      <c r="F118" s="76" t="n">
        <v>400</v>
      </c>
      <c r="G118" s="74" t="inlineStr">
        <is>
          <t>Conta Nubank</t>
        </is>
      </c>
      <c r="H118" s="74" t="inlineStr">
        <is>
          <t>Transferência</t>
        </is>
      </c>
      <c r="I118" s="74" t="n"/>
      <c r="J118" s="77" t="n"/>
      <c r="K118" s="77" t="n"/>
      <c r="L118" s="74" t="inlineStr">
        <is>
          <t>Poupança Caixa</t>
        </is>
      </c>
      <c r="M118" s="74" t="n"/>
      <c r="O118" s="78">
        <f>IF($A118="","",YEAR($A118)*100+MONTH($A118))</f>
        <v/>
      </c>
      <c r="P118" s="79">
        <f>IF(OR($F118="",$D118=""),"",IF($D118="Receita",$F118,IF($D118="Transferência",0,-$F118)))</f>
        <v/>
      </c>
    </row>
    <row r="119">
      <c r="A119" s="73" t="n">
        <v>45745</v>
      </c>
      <c r="B119" s="74" t="inlineStr">
        <is>
          <t>Feira e padaria</t>
        </is>
      </c>
      <c r="C119" s="74" t="inlineStr">
        <is>
          <t>Mercado</t>
        </is>
      </c>
      <c r="D119" s="75">
        <f>IF($C119="","",IFERROR(INDEX(CAT_TIPO,MATCH($C119,CAT_NOME,0)),"Sem categoria"))</f>
        <v/>
      </c>
      <c r="E119" s="75">
        <f>IF($C119="","",IFERROR(INDEX(CAT_GRUPO,MATCH($C119,CAT_NOME,0)),"Sem categoria"))</f>
        <v/>
      </c>
      <c r="F119" s="76" t="n">
        <v>96.43000000000001</v>
      </c>
      <c r="G119" s="74" t="inlineStr">
        <is>
          <t>Carteira</t>
        </is>
      </c>
      <c r="H119" s="74" t="inlineStr">
        <is>
          <t>Dinheiro</t>
        </is>
      </c>
      <c r="I119" s="74" t="n"/>
      <c r="J119" s="77" t="n"/>
      <c r="K119" s="77" t="n"/>
      <c r="L119" s="74" t="n"/>
      <c r="M119" s="74" t="n"/>
      <c r="O119" s="78">
        <f>IF($A119="","",YEAR($A119)*100+MONTH($A119))</f>
        <v/>
      </c>
      <c r="P119" s="79">
        <f>IF(OR($F119="",$D119=""),"",IF($D119="Receita",$F119,IF($D119="Transferência",0,-$F119)))</f>
        <v/>
      </c>
    </row>
    <row r="120">
      <c r="A120" s="73" t="n">
        <v>45746</v>
      </c>
      <c r="B120" s="74" t="inlineStr">
        <is>
          <t>Material de escritório</t>
        </is>
      </c>
      <c r="C120" s="74" t="inlineStr">
        <is>
          <t>Educação</t>
        </is>
      </c>
      <c r="D120" s="75">
        <f>IF($C120="","",IFERROR(INDEX(CAT_TIPO,MATCH($C120,CAT_NOME,0)),"Sem categoria"))</f>
        <v/>
      </c>
      <c r="E120" s="75">
        <f>IF($C120="","",IFERROR(INDEX(CAT_GRUPO,MATCH($C120,CAT_NOME,0)),"Sem categoria"))</f>
        <v/>
      </c>
      <c r="F120" s="76" t="n">
        <v>88</v>
      </c>
      <c r="G120" s="74" t="n"/>
      <c r="H120" s="74" t="inlineStr">
        <is>
          <t>Crédito</t>
        </is>
      </c>
      <c r="I120" s="74" t="inlineStr">
        <is>
          <t>Nubank Mastercard</t>
        </is>
      </c>
      <c r="J120" s="77" t="n"/>
      <c r="K120" s="77" t="n"/>
      <c r="L120" s="74" t="n"/>
      <c r="M120" s="74" t="n"/>
      <c r="O120" s="78">
        <f>IF($A120="","",YEAR($A120)*100+MONTH($A120))</f>
        <v/>
      </c>
      <c r="P120" s="79">
        <f>IF(OR($F120="",$D120=""),"",IF($D120="Receita",$F120,IF($D120="Transferência",0,-$F120)))</f>
        <v/>
      </c>
    </row>
    <row r="121">
      <c r="A121" s="73" t="n">
        <v>45750</v>
      </c>
      <c r="B121" s="74" t="inlineStr">
        <is>
          <t>Netflix</t>
        </is>
      </c>
      <c r="C121" s="74" t="inlineStr">
        <is>
          <t>Assinaturas e streaming</t>
        </is>
      </c>
      <c r="D121" s="75">
        <f>IF($C121="","",IFERROR(INDEX(CAT_TIPO,MATCH($C121,CAT_NOME,0)),"Sem categoria"))</f>
        <v/>
      </c>
      <c r="E121" s="75">
        <f>IF($C121="","",IFERROR(INDEX(CAT_GRUPO,MATCH($C121,CAT_NOME,0)),"Sem categoria"))</f>
        <v/>
      </c>
      <c r="F121" s="76" t="n">
        <v>55.9</v>
      </c>
      <c r="G121" s="74" t="n"/>
      <c r="H121" s="74" t="inlineStr">
        <is>
          <t>Crédito</t>
        </is>
      </c>
      <c r="I121" s="74" t="inlineStr">
        <is>
          <t>Nubank Mastercard</t>
        </is>
      </c>
      <c r="J121" s="77" t="n"/>
      <c r="K121" s="77" t="n"/>
      <c r="L121" s="74" t="n"/>
      <c r="M121" s="74" t="n"/>
      <c r="O121" s="78">
        <f>IF($A121="","",YEAR($A121)*100+MONTH($A121))</f>
        <v/>
      </c>
      <c r="P121" s="79">
        <f>IF(OR($F121="",$D121=""),"",IF($D121="Receita",$F121,IF($D121="Transferência",0,-$F121)))</f>
        <v/>
      </c>
    </row>
    <row r="122">
      <c r="A122" s="73" t="n">
        <v>45750</v>
      </c>
      <c r="B122" s="74" t="inlineStr">
        <is>
          <t>Supermercado</t>
        </is>
      </c>
      <c r="C122" s="74" t="inlineStr">
        <is>
          <t>Mercado</t>
        </is>
      </c>
      <c r="D122" s="75">
        <f>IF($C122="","",IFERROR(INDEX(CAT_TIPO,MATCH($C122,CAT_NOME,0)),"Sem categoria"))</f>
        <v/>
      </c>
      <c r="E122" s="75">
        <f>IF($C122="","",IFERROR(INDEX(CAT_GRUPO,MATCH($C122,CAT_NOME,0)),"Sem categoria"))</f>
        <v/>
      </c>
      <c r="F122" s="76" t="n">
        <v>154.99</v>
      </c>
      <c r="G122" s="74" t="inlineStr">
        <is>
          <t>Conta Nubank</t>
        </is>
      </c>
      <c r="H122" s="74" t="inlineStr">
        <is>
          <t>Débito</t>
        </is>
      </c>
      <c r="I122" s="74" t="n"/>
      <c r="J122" s="77" t="n"/>
      <c r="K122" s="77" t="n"/>
      <c r="L122" s="74" t="n"/>
      <c r="M122" s="74" t="n"/>
      <c r="O122" s="78">
        <f>IF($A122="","",YEAR($A122)*100+MONTH($A122))</f>
        <v/>
      </c>
      <c r="P122" s="79">
        <f>IF(OR($F122="",$D122=""),"",IF($D122="Receita",$F122,IF($D122="Transferência",0,-$F122)))</f>
        <v/>
      </c>
    </row>
    <row r="123">
      <c r="A123" s="73" t="n">
        <v>45751</v>
      </c>
      <c r="B123" s="74" t="inlineStr">
        <is>
          <t>Spotify</t>
        </is>
      </c>
      <c r="C123" s="74" t="inlineStr">
        <is>
          <t>Assinaturas e streaming</t>
        </is>
      </c>
      <c r="D123" s="75">
        <f>IF($C123="","",IFERROR(INDEX(CAT_TIPO,MATCH($C123,CAT_NOME,0)),"Sem categoria"))</f>
        <v/>
      </c>
      <c r="E123" s="75">
        <f>IF($C123="","",IFERROR(INDEX(CAT_GRUPO,MATCH($C123,CAT_NOME,0)),"Sem categoria"))</f>
        <v/>
      </c>
      <c r="F123" s="76" t="n">
        <v>23.9</v>
      </c>
      <c r="G123" s="74" t="n"/>
      <c r="H123" s="74" t="inlineStr">
        <is>
          <t>Crédito</t>
        </is>
      </c>
      <c r="I123" s="74" t="inlineStr">
        <is>
          <t>Nubank Mastercard</t>
        </is>
      </c>
      <c r="J123" s="77" t="n"/>
      <c r="K123" s="77" t="n"/>
      <c r="L123" s="74" t="n"/>
      <c r="M123" s="74" t="n"/>
      <c r="O123" s="78">
        <f>IF($A123="","",YEAR($A123)*100+MONTH($A123))</f>
        <v/>
      </c>
      <c r="P123" s="79">
        <f>IF(OR($F123="",$D123=""),"",IF($D123="Receita",$F123,IF($D123="Transferência",0,-$F123)))</f>
        <v/>
      </c>
    </row>
    <row r="124">
      <c r="A124" s="73" t="n">
        <v>45752</v>
      </c>
      <c r="B124" s="74" t="inlineStr">
        <is>
          <t>Academia</t>
        </is>
      </c>
      <c r="C124" s="74" t="inlineStr">
        <is>
          <t>Assinaturas e streaming</t>
        </is>
      </c>
      <c r="D124" s="75">
        <f>IF($C124="","",IFERROR(INDEX(CAT_TIPO,MATCH($C124,CAT_NOME,0)),"Sem categoria"))</f>
        <v/>
      </c>
      <c r="E124" s="75">
        <f>IF($C124="","",IFERROR(INDEX(CAT_GRUPO,MATCH($C124,CAT_NOME,0)),"Sem categoria"))</f>
        <v/>
      </c>
      <c r="F124" s="76" t="n">
        <v>119.9</v>
      </c>
      <c r="G124" s="74" t="n"/>
      <c r="H124" s="74" t="inlineStr">
        <is>
          <t>Crédito</t>
        </is>
      </c>
      <c r="I124" s="74" t="inlineStr">
        <is>
          <t>Nubank Mastercard</t>
        </is>
      </c>
      <c r="J124" s="77" t="n"/>
      <c r="K124" s="77" t="n"/>
      <c r="L124" s="74" t="n"/>
      <c r="M124" s="74" t="n"/>
      <c r="O124" s="78">
        <f>IF($A124="","",YEAR($A124)*100+MONTH($A124))</f>
        <v/>
      </c>
      <c r="P124" s="79">
        <f>IF(OR($F124="",$D124=""),"",IF($D124="Receita",$F124,IF($D124="Transferência",0,-$F124)))</f>
        <v/>
      </c>
    </row>
    <row r="125">
      <c r="A125" s="73" t="n">
        <v>45752</v>
      </c>
      <c r="B125" s="74" t="inlineStr">
        <is>
          <t>Pagamento da fatura Nubank Mastercard</t>
        </is>
      </c>
      <c r="C125" s="74" t="inlineStr">
        <is>
          <t>Pagamento de fatura</t>
        </is>
      </c>
      <c r="D125" s="75">
        <f>IF($C125="","",IFERROR(INDEX(CAT_TIPO,MATCH($C125,CAT_NOME,0)),"Sem categoria"))</f>
        <v/>
      </c>
      <c r="E125" s="75">
        <f>IF($C125="","",IFERROR(INDEX(CAT_GRUPO,MATCH($C125,CAT_NOME,0)),"Sem categoria"))</f>
        <v/>
      </c>
      <c r="F125" s="76" t="n">
        <v>618.16</v>
      </c>
      <c r="G125" s="74" t="inlineStr">
        <is>
          <t>Conta Nubank</t>
        </is>
      </c>
      <c r="H125" s="74" t="inlineStr">
        <is>
          <t>Boleto</t>
        </is>
      </c>
      <c r="I125" s="74" t="inlineStr">
        <is>
          <t>Nubank Mastercard</t>
        </is>
      </c>
      <c r="J125" s="77" t="n"/>
      <c r="K125" s="77" t="n"/>
      <c r="L125" s="74" t="n"/>
      <c r="M125" s="74" t="n"/>
      <c r="O125" s="78">
        <f>IF($A125="","",YEAR($A125)*100+MONTH($A125))</f>
        <v/>
      </c>
      <c r="P125" s="79">
        <f>IF(OR($F125="",$D125=""),"",IF($D125="Receita",$F125,IF($D125="Transferência",0,-$F125)))</f>
        <v/>
      </c>
    </row>
    <row r="126">
      <c r="A126" s="73" t="n">
        <v>45752</v>
      </c>
      <c r="B126" s="74" t="inlineStr">
        <is>
          <t>Salário</t>
        </is>
      </c>
      <c r="C126" s="74" t="inlineStr">
        <is>
          <t>Salário</t>
        </is>
      </c>
      <c r="D126" s="75">
        <f>IF($C126="","",IFERROR(INDEX(CAT_TIPO,MATCH($C126,CAT_NOME,0)),"Sem categoria"))</f>
        <v/>
      </c>
      <c r="E126" s="75">
        <f>IF($C126="","",IFERROR(INDEX(CAT_GRUPO,MATCH($C126,CAT_NOME,0)),"Sem categoria"))</f>
        <v/>
      </c>
      <c r="F126" s="76" t="n">
        <v>5600</v>
      </c>
      <c r="G126" s="74" t="inlineStr">
        <is>
          <t>Conta Nubank</t>
        </is>
      </c>
      <c r="H126" s="74" t="inlineStr">
        <is>
          <t>Transferência</t>
        </is>
      </c>
      <c r="I126" s="74" t="n"/>
      <c r="J126" s="77" t="n"/>
      <c r="K126" s="77" t="n"/>
      <c r="L126" s="74" t="n"/>
      <c r="M126" s="74" t="n"/>
      <c r="O126" s="78">
        <f>IF($A126="","",YEAR($A126)*100+MONTH($A126))</f>
        <v/>
      </c>
      <c r="P126" s="79">
        <f>IF(OR($F126="",$D126=""),"",IF($D126="Receita",$F126,IF($D126="Transferência",0,-$F126)))</f>
        <v/>
      </c>
    </row>
    <row r="127">
      <c r="A127" s="73" t="n">
        <v>45753</v>
      </c>
      <c r="B127" s="74" t="inlineStr">
        <is>
          <t>Plano de saúde</t>
        </is>
      </c>
      <c r="C127" s="74" t="inlineStr">
        <is>
          <t>Saúde e farmácia</t>
        </is>
      </c>
      <c r="D127" s="75">
        <f>IF($C127="","",IFERROR(INDEX(CAT_TIPO,MATCH($C127,CAT_NOME,0)),"Sem categoria"))</f>
        <v/>
      </c>
      <c r="E127" s="75">
        <f>IF($C127="","",IFERROR(INDEX(CAT_GRUPO,MATCH($C127,CAT_NOME,0)),"Sem categoria"))</f>
        <v/>
      </c>
      <c r="F127" s="76" t="n">
        <v>290</v>
      </c>
      <c r="G127" s="74" t="inlineStr">
        <is>
          <t>Conta Nubank</t>
        </is>
      </c>
      <c r="H127" s="74" t="inlineStr">
        <is>
          <t>Débito automático</t>
        </is>
      </c>
      <c r="I127" s="74" t="n"/>
      <c r="J127" s="77" t="n"/>
      <c r="K127" s="77" t="n"/>
      <c r="L127" s="74" t="n"/>
      <c r="M127" s="74" t="n"/>
      <c r="O127" s="78">
        <f>IF($A127="","",YEAR($A127)*100+MONTH($A127))</f>
        <v/>
      </c>
      <c r="P127" s="79">
        <f>IF(OR($F127="",$D127=""),"",IF($D127="Receita",$F127,IF($D127="Transferência",0,-$F127)))</f>
        <v/>
      </c>
    </row>
    <row r="128">
      <c r="A128" s="73" t="n">
        <v>45754</v>
      </c>
      <c r="B128" s="74" t="inlineStr">
        <is>
          <t>Combustível</t>
        </is>
      </c>
      <c r="C128" s="74" t="inlineStr">
        <is>
          <t>Transporte</t>
        </is>
      </c>
      <c r="D128" s="75">
        <f>IF($C128="","",IFERROR(INDEX(CAT_TIPO,MATCH($C128,CAT_NOME,0)),"Sem categoria"))</f>
        <v/>
      </c>
      <c r="E128" s="75">
        <f>IF($C128="","",IFERROR(INDEX(CAT_GRUPO,MATCH($C128,CAT_NOME,0)),"Sem categoria"))</f>
        <v/>
      </c>
      <c r="F128" s="76" t="n">
        <v>114.09</v>
      </c>
      <c r="G128" s="74" t="n"/>
      <c r="H128" s="74" t="inlineStr">
        <is>
          <t>Crédito</t>
        </is>
      </c>
      <c r="I128" s="74" t="inlineStr">
        <is>
          <t>Itaú Visa</t>
        </is>
      </c>
      <c r="J128" s="77" t="n"/>
      <c r="K128" s="77" t="n"/>
      <c r="L128" s="74" t="n"/>
      <c r="M128" s="74" t="n"/>
      <c r="O128" s="78">
        <f>IF($A128="","",YEAR($A128)*100+MONTH($A128))</f>
        <v/>
      </c>
      <c r="P128" s="79">
        <f>IF(OR($F128="",$D128=""),"",IF($D128="Receita",$F128,IF($D128="Transferência",0,-$F128)))</f>
        <v/>
      </c>
    </row>
    <row r="129">
      <c r="A129" s="73" t="n">
        <v>45755</v>
      </c>
      <c r="B129" s="74" t="inlineStr">
        <is>
          <t>Aluguel</t>
        </is>
      </c>
      <c r="C129" s="74" t="inlineStr">
        <is>
          <t>Moradia (aluguel ou financiamento)</t>
        </is>
      </c>
      <c r="D129" s="75">
        <f>IF($C129="","",IFERROR(INDEX(CAT_TIPO,MATCH($C129,CAT_NOME,0)),"Sem categoria"))</f>
        <v/>
      </c>
      <c r="E129" s="75">
        <f>IF($C129="","",IFERROR(INDEX(CAT_GRUPO,MATCH($C129,CAT_NOME,0)),"Sem categoria"))</f>
        <v/>
      </c>
      <c r="F129" s="76" t="n">
        <v>1150</v>
      </c>
      <c r="G129" s="74" t="inlineStr">
        <is>
          <t>Conta Nubank</t>
        </is>
      </c>
      <c r="H129" s="74" t="inlineStr">
        <is>
          <t>Boleto</t>
        </is>
      </c>
      <c r="I129" s="74" t="n"/>
      <c r="J129" s="77" t="n"/>
      <c r="K129" s="77" t="n"/>
      <c r="L129" s="74" t="n"/>
      <c r="M129" s="74" t="n"/>
      <c r="O129" s="78">
        <f>IF($A129="","",YEAR($A129)*100+MONTH($A129))</f>
        <v/>
      </c>
      <c r="P129" s="79">
        <f>IF(OR($F129="",$D129=""),"",IF($D129="Receita",$F129,IF($D129="Transferência",0,-$F129)))</f>
        <v/>
      </c>
    </row>
    <row r="130">
      <c r="A130" s="73" t="n">
        <v>45756</v>
      </c>
      <c r="B130" s="74" t="inlineStr">
        <is>
          <t>Farmácia</t>
        </is>
      </c>
      <c r="C130" s="74" t="inlineStr">
        <is>
          <t>Saúde e farmácia</t>
        </is>
      </c>
      <c r="D130" s="75">
        <f>IF($C130="","",IFERROR(INDEX(CAT_TIPO,MATCH($C130,CAT_NOME,0)),"Sem categoria"))</f>
        <v/>
      </c>
      <c r="E130" s="75">
        <f>IF($C130="","",IFERROR(INDEX(CAT_GRUPO,MATCH($C130,CAT_NOME,0)),"Sem categoria"))</f>
        <v/>
      </c>
      <c r="F130" s="76" t="n">
        <v>61.86</v>
      </c>
      <c r="G130" s="74" t="n"/>
      <c r="H130" s="74" t="inlineStr">
        <is>
          <t>Crédito</t>
        </is>
      </c>
      <c r="I130" s="74" t="inlineStr">
        <is>
          <t>Itaú Visa</t>
        </is>
      </c>
      <c r="J130" s="77" t="n"/>
      <c r="K130" s="77" t="n"/>
      <c r="L130" s="74" t="n"/>
      <c r="M130" s="74" t="n"/>
      <c r="O130" s="78">
        <f>IF($A130="","",YEAR($A130)*100+MONTH($A130))</f>
        <v/>
      </c>
      <c r="P130" s="79">
        <f>IF(OR($F130="",$D130=""),"",IF($D130="Receita",$F130,IF($D130="Transferência",0,-$F130)))</f>
        <v/>
      </c>
    </row>
    <row r="131">
      <c r="A131" s="73" t="n">
        <v>45757</v>
      </c>
      <c r="B131" s="74" t="inlineStr">
        <is>
          <t>Condomínio</t>
        </is>
      </c>
      <c r="C131" s="74" t="inlineStr">
        <is>
          <t>Condomínio e IPTU</t>
        </is>
      </c>
      <c r="D131" s="75">
        <f>IF($C131="","",IFERROR(INDEX(CAT_TIPO,MATCH($C131,CAT_NOME,0)),"Sem categoria"))</f>
        <v/>
      </c>
      <c r="E131" s="75">
        <f>IF($C131="","",IFERROR(INDEX(CAT_GRUPO,MATCH($C131,CAT_NOME,0)),"Sem categoria"))</f>
        <v/>
      </c>
      <c r="F131" s="76" t="n">
        <v>290</v>
      </c>
      <c r="G131" s="74" t="inlineStr">
        <is>
          <t>Conta Nubank</t>
        </is>
      </c>
      <c r="H131" s="74" t="inlineStr">
        <is>
          <t>Boleto</t>
        </is>
      </c>
      <c r="I131" s="74" t="n"/>
      <c r="J131" s="77" t="n"/>
      <c r="K131" s="77" t="n"/>
      <c r="L131" s="74" t="n"/>
      <c r="M131" s="74" t="n"/>
      <c r="O131" s="78">
        <f>IF($A131="","",YEAR($A131)*100+MONTH($A131))</f>
        <v/>
      </c>
      <c r="P131" s="79">
        <f>IF(OR($F131="",$D131=""),"",IF($D131="Receita",$F131,IF($D131="Transferência",0,-$F131)))</f>
        <v/>
      </c>
    </row>
    <row r="132">
      <c r="A132" s="73" t="n">
        <v>45757</v>
      </c>
      <c r="B132" s="74" t="inlineStr">
        <is>
          <t>Supermercado</t>
        </is>
      </c>
      <c r="C132" s="74" t="inlineStr">
        <is>
          <t>Mercado</t>
        </is>
      </c>
      <c r="D132" s="75">
        <f>IF($C132="","",IFERROR(INDEX(CAT_TIPO,MATCH($C132,CAT_NOME,0)),"Sem categoria"))</f>
        <v/>
      </c>
      <c r="E132" s="75">
        <f>IF($C132="","",IFERROR(INDEX(CAT_GRUPO,MATCH($C132,CAT_NOME,0)),"Sem categoria"))</f>
        <v/>
      </c>
      <c r="F132" s="76" t="n">
        <v>137.34</v>
      </c>
      <c r="G132" s="74" t="inlineStr">
        <is>
          <t>Conta Nubank</t>
        </is>
      </c>
      <c r="H132" s="74" t="inlineStr">
        <is>
          <t>Débito</t>
        </is>
      </c>
      <c r="I132" s="74" t="n"/>
      <c r="J132" s="77" t="n"/>
      <c r="K132" s="77" t="n"/>
      <c r="L132" s="74" t="n"/>
      <c r="M132" s="74" t="n"/>
      <c r="O132" s="78">
        <f>IF($A132="","",YEAR($A132)*100+MONTH($A132))</f>
        <v/>
      </c>
      <c r="P132" s="79">
        <f>IF(OR($F132="",$D132=""),"",IF($D132="Receita",$F132,IF($D132="Transferência",0,-$F132)))</f>
        <v/>
      </c>
    </row>
    <row r="133">
      <c r="A133" s="73" t="n">
        <v>45758</v>
      </c>
      <c r="B133" s="74" t="inlineStr">
        <is>
          <t>Uber</t>
        </is>
      </c>
      <c r="C133" s="74" t="inlineStr">
        <is>
          <t>Transporte</t>
        </is>
      </c>
      <c r="D133" s="75">
        <f>IF($C133="","",IFERROR(INDEX(CAT_TIPO,MATCH($C133,CAT_NOME,0)),"Sem categoria"))</f>
        <v/>
      </c>
      <c r="E133" s="75">
        <f>IF($C133="","",IFERROR(INDEX(CAT_GRUPO,MATCH($C133,CAT_NOME,0)),"Sem categoria"))</f>
        <v/>
      </c>
      <c r="F133" s="76" t="n">
        <v>34.28</v>
      </c>
      <c r="G133" s="74" t="n"/>
      <c r="H133" s="74" t="inlineStr">
        <is>
          <t>Crédito</t>
        </is>
      </c>
      <c r="I133" s="74" t="inlineStr">
        <is>
          <t>Nubank Mastercard</t>
        </is>
      </c>
      <c r="J133" s="77" t="n"/>
      <c r="K133" s="77" t="n"/>
      <c r="L133" s="74" t="n"/>
      <c r="M133" s="74" t="n"/>
      <c r="O133" s="78">
        <f>IF($A133="","",YEAR($A133)*100+MONTH($A133))</f>
        <v/>
      </c>
      <c r="P133" s="79">
        <f>IF(OR($F133="",$D133=""),"",IF($D133="Receita",$F133,IF($D133="Transferência",0,-$F133)))</f>
        <v/>
      </c>
    </row>
    <row r="134">
      <c r="A134" s="73" t="n">
        <v>45759</v>
      </c>
      <c r="B134" s="74" t="inlineStr">
        <is>
          <t>Parcela do financiamento do carro</t>
        </is>
      </c>
      <c r="C134" s="74" t="inlineStr">
        <is>
          <t>Dívidas e parcelas</t>
        </is>
      </c>
      <c r="D134" s="75">
        <f>IF($C134="","",IFERROR(INDEX(CAT_TIPO,MATCH($C134,CAT_NOME,0)),"Sem categoria"))</f>
        <v/>
      </c>
      <c r="E134" s="75">
        <f>IF($C134="","",IFERROR(INDEX(CAT_GRUPO,MATCH($C134,CAT_NOME,0)),"Sem categoria"))</f>
        <v/>
      </c>
      <c r="F134" s="76" t="n">
        <v>560</v>
      </c>
      <c r="G134" s="74" t="inlineStr">
        <is>
          <t>Conta Nubank</t>
        </is>
      </c>
      <c r="H134" s="74" t="inlineStr">
        <is>
          <t>Boleto</t>
        </is>
      </c>
      <c r="I134" s="74" t="n"/>
      <c r="J134" s="77" t="inlineStr">
        <is>
          <t>16/48</t>
        </is>
      </c>
      <c r="K134" s="77" t="n"/>
      <c r="L134" s="74" t="n"/>
      <c r="M134" s="74" t="n"/>
      <c r="O134" s="78">
        <f>IF($A134="","",YEAR($A134)*100+MONTH($A134))</f>
        <v/>
      </c>
      <c r="P134" s="79">
        <f>IF(OR($F134="",$D134=""),"",IF($D134="Receita",$F134,IF($D134="Transferência",0,-$F134)))</f>
        <v/>
      </c>
    </row>
    <row r="135">
      <c r="A135" s="73" t="n">
        <v>45759</v>
      </c>
      <c r="B135" s="74" t="inlineStr">
        <is>
          <t>Seguro do carro</t>
        </is>
      </c>
      <c r="C135" s="74" t="inlineStr">
        <is>
          <t>Seguros</t>
        </is>
      </c>
      <c r="D135" s="75">
        <f>IF($C135="","",IFERROR(INDEX(CAT_TIPO,MATCH($C135,CAT_NOME,0)),"Sem categoria"))</f>
        <v/>
      </c>
      <c r="E135" s="75">
        <f>IF($C135="","",IFERROR(INDEX(CAT_GRUPO,MATCH($C135,CAT_NOME,0)),"Sem categoria"))</f>
        <v/>
      </c>
      <c r="F135" s="76" t="n">
        <v>140</v>
      </c>
      <c r="G135" s="74" t="inlineStr">
        <is>
          <t>Conta Nubank</t>
        </is>
      </c>
      <c r="H135" s="74" t="inlineStr">
        <is>
          <t>Débito automático</t>
        </is>
      </c>
      <c r="I135" s="74" t="n"/>
      <c r="J135" s="77" t="n"/>
      <c r="K135" s="77" t="n"/>
      <c r="L135" s="74" t="n"/>
      <c r="M135" s="74" t="n"/>
      <c r="O135" s="78">
        <f>IF($A135="","",YEAR($A135)*100+MONTH($A135))</f>
        <v/>
      </c>
      <c r="P135" s="79">
        <f>IF(OR($F135="",$D135=""),"",IF($D135="Receita",$F135,IF($D135="Transferência",0,-$F135)))</f>
        <v/>
      </c>
    </row>
    <row r="136">
      <c r="A136" s="73" t="n">
        <v>45760</v>
      </c>
      <c r="B136" s="74" t="inlineStr">
        <is>
          <t>Jantar fora</t>
        </is>
      </c>
      <c r="C136" s="74" t="inlineStr">
        <is>
          <t>Restaurantes e delivery</t>
        </is>
      </c>
      <c r="D136" s="75">
        <f>IF($C136="","",IFERROR(INDEX(CAT_TIPO,MATCH($C136,CAT_NOME,0)),"Sem categoria"))</f>
        <v/>
      </c>
      <c r="E136" s="75">
        <f>IF($C136="","",IFERROR(INDEX(CAT_GRUPO,MATCH($C136,CAT_NOME,0)),"Sem categoria"))</f>
        <v/>
      </c>
      <c r="F136" s="76" t="n">
        <v>81.54000000000001</v>
      </c>
      <c r="G136" s="74" t="n"/>
      <c r="H136" s="74" t="inlineStr">
        <is>
          <t>Crédito</t>
        </is>
      </c>
      <c r="I136" s="74" t="inlineStr">
        <is>
          <t>Nubank Mastercard</t>
        </is>
      </c>
      <c r="J136" s="77" t="n"/>
      <c r="K136" s="77" t="n"/>
      <c r="L136" s="74" t="n"/>
      <c r="M136" s="74" t="n"/>
      <c r="O136" s="78">
        <f>IF($A136="","",YEAR($A136)*100+MONTH($A136))</f>
        <v/>
      </c>
      <c r="P136" s="79">
        <f>IF(OR($F136="",$D136=""),"",IF($D136="Receita",$F136,IF($D136="Transferência",0,-$F136)))</f>
        <v/>
      </c>
    </row>
    <row r="137">
      <c r="A137" s="73" t="n">
        <v>45761</v>
      </c>
      <c r="B137" s="74" t="inlineStr">
        <is>
          <t>Conta de luz</t>
        </is>
      </c>
      <c r="C137" s="74" t="inlineStr">
        <is>
          <t>Contas da casa (luz, água, gás)</t>
        </is>
      </c>
      <c r="D137" s="75">
        <f>IF($C137="","",IFERROR(INDEX(CAT_TIPO,MATCH($C137,CAT_NOME,0)),"Sem categoria"))</f>
        <v/>
      </c>
      <c r="E137" s="75">
        <f>IF($C137="","",IFERROR(INDEX(CAT_GRUPO,MATCH($C137,CAT_NOME,0)),"Sem categoria"))</f>
        <v/>
      </c>
      <c r="F137" s="76" t="n">
        <v>164.99</v>
      </c>
      <c r="G137" s="74" t="inlineStr">
        <is>
          <t>Conta Nubank</t>
        </is>
      </c>
      <c r="H137" s="74" t="inlineStr">
        <is>
          <t>Débito automático</t>
        </is>
      </c>
      <c r="I137" s="74" t="n"/>
      <c r="J137" s="77" t="n"/>
      <c r="K137" s="77" t="n"/>
      <c r="L137" s="74" t="n"/>
      <c r="M137" s="74" t="n"/>
      <c r="O137" s="78">
        <f>IF($A137="","",YEAR($A137)*100+MONTH($A137))</f>
        <v/>
      </c>
      <c r="P137" s="79">
        <f>IF(OR($F137="",$D137=""),"",IF($D137="Receita",$F137,IF($D137="Transferência",0,-$F137)))</f>
        <v/>
      </c>
    </row>
    <row r="138">
      <c r="A138" s="73" t="n">
        <v>45762</v>
      </c>
      <c r="B138" s="74" t="inlineStr">
        <is>
          <t>Projeto freelance</t>
        </is>
      </c>
      <c r="C138" s="74" t="inlineStr">
        <is>
          <t>Renda extra e freelance</t>
        </is>
      </c>
      <c r="D138" s="75">
        <f>IF($C138="","",IFERROR(INDEX(CAT_TIPO,MATCH($C138,CAT_NOME,0)),"Sem categoria"))</f>
        <v/>
      </c>
      <c r="E138" s="75">
        <f>IF($C138="","",IFERROR(INDEX(CAT_GRUPO,MATCH($C138,CAT_NOME,0)),"Sem categoria"))</f>
        <v/>
      </c>
      <c r="F138" s="76" t="n">
        <v>600</v>
      </c>
      <c r="G138" s="74" t="inlineStr">
        <is>
          <t>Conta Nubank</t>
        </is>
      </c>
      <c r="H138" s="74" t="inlineStr">
        <is>
          <t>Pix</t>
        </is>
      </c>
      <c r="I138" s="74" t="n"/>
      <c r="J138" s="77" t="n"/>
      <c r="K138" s="77" t="n"/>
      <c r="L138" s="74" t="n"/>
      <c r="M138" s="74" t="n"/>
      <c r="O138" s="78">
        <f>IF($A138="","",YEAR($A138)*100+MONTH($A138))</f>
        <v/>
      </c>
      <c r="P138" s="79">
        <f>IF(OR($F138="",$D138=""),"",IF($D138="Receita",$F138,IF($D138="Transferência",0,-$F138)))</f>
        <v/>
      </c>
    </row>
    <row r="139">
      <c r="A139" s="73" t="n">
        <v>45762</v>
      </c>
      <c r="B139" s="74" t="inlineStr">
        <is>
          <t>Roupas e acessórios</t>
        </is>
      </c>
      <c r="C139" s="74" t="inlineStr">
        <is>
          <t>Compras pessoais</t>
        </is>
      </c>
      <c r="D139" s="75">
        <f>IF($C139="","",IFERROR(INDEX(CAT_TIPO,MATCH($C139,CAT_NOME,0)),"Sem categoria"))</f>
        <v/>
      </c>
      <c r="E139" s="75">
        <f>IF($C139="","",IFERROR(INDEX(CAT_GRUPO,MATCH($C139,CAT_NOME,0)),"Sem categoria"))</f>
        <v/>
      </c>
      <c r="F139" s="76" t="n">
        <v>141.49</v>
      </c>
      <c r="G139" s="74" t="n"/>
      <c r="H139" s="74" t="inlineStr">
        <is>
          <t>Crédito</t>
        </is>
      </c>
      <c r="I139" s="74" t="inlineStr">
        <is>
          <t>Nubank Mastercard</t>
        </is>
      </c>
      <c r="J139" s="77" t="n"/>
      <c r="K139" s="77" t="n"/>
      <c r="L139" s="74" t="n"/>
      <c r="M139" s="74" t="n"/>
      <c r="O139" s="78">
        <f>IF($A139="","",YEAR($A139)*100+MONTH($A139))</f>
        <v/>
      </c>
      <c r="P139" s="79">
        <f>IF(OR($F139="",$D139=""),"",IF($D139="Receita",$F139,IF($D139="Transferência",0,-$F139)))</f>
        <v/>
      </c>
    </row>
    <row r="140">
      <c r="A140" s="73" t="n">
        <v>45763</v>
      </c>
      <c r="B140" s="74" t="inlineStr">
        <is>
          <t>Combustível</t>
        </is>
      </c>
      <c r="C140" s="74" t="inlineStr">
        <is>
          <t>Transporte</t>
        </is>
      </c>
      <c r="D140" s="75">
        <f>IF($C140="","",IFERROR(INDEX(CAT_TIPO,MATCH($C140,CAT_NOME,0)),"Sem categoria"))</f>
        <v/>
      </c>
      <c r="E140" s="75">
        <f>IF($C140="","",IFERROR(INDEX(CAT_GRUPO,MATCH($C140,CAT_NOME,0)),"Sem categoria"))</f>
        <v/>
      </c>
      <c r="F140" s="76" t="n">
        <v>120.28</v>
      </c>
      <c r="G140" s="74" t="n"/>
      <c r="H140" s="74" t="inlineStr">
        <is>
          <t>Crédito</t>
        </is>
      </c>
      <c r="I140" s="74" t="inlineStr">
        <is>
          <t>Itaú Visa</t>
        </is>
      </c>
      <c r="J140" s="77" t="n"/>
      <c r="K140" s="77" t="n"/>
      <c r="L140" s="74" t="n"/>
      <c r="M140" s="74" t="n"/>
      <c r="O140" s="78">
        <f>IF($A140="","",YEAR($A140)*100+MONTH($A140))</f>
        <v/>
      </c>
      <c r="P140" s="79">
        <f>IF(OR($F140="",$D140=""),"",IF($D140="Receita",$F140,IF($D140="Transferência",0,-$F140)))</f>
        <v/>
      </c>
    </row>
    <row r="141">
      <c r="A141" s="73" t="n">
        <v>45764</v>
      </c>
      <c r="B141" s="74" t="inlineStr">
        <is>
          <t>Pagamento da fatura Itaú Visa</t>
        </is>
      </c>
      <c r="C141" s="74" t="inlineStr">
        <is>
          <t>Pagamento de fatura</t>
        </is>
      </c>
      <c r="D141" s="75">
        <f>IF($C141="","",IFERROR(INDEX(CAT_TIPO,MATCH($C141,CAT_NOME,0)),"Sem categoria"))</f>
        <v/>
      </c>
      <c r="E141" s="75">
        <f>IF($C141="","",IFERROR(INDEX(CAT_GRUPO,MATCH($C141,CAT_NOME,0)),"Sem categoria"))</f>
        <v/>
      </c>
      <c r="F141" s="76" t="n">
        <v>619.74</v>
      </c>
      <c r="G141" s="74" t="inlineStr">
        <is>
          <t>Conta Nubank</t>
        </is>
      </c>
      <c r="H141" s="74" t="inlineStr">
        <is>
          <t>Boleto</t>
        </is>
      </c>
      <c r="I141" s="74" t="inlineStr">
        <is>
          <t>Itaú Visa</t>
        </is>
      </c>
      <c r="J141" s="77" t="n"/>
      <c r="K141" s="77" t="n"/>
      <c r="L141" s="74" t="n"/>
      <c r="M141" s="74" t="n"/>
      <c r="O141" s="78">
        <f>IF($A141="","",YEAR($A141)*100+MONTH($A141))</f>
        <v/>
      </c>
      <c r="P141" s="79">
        <f>IF(OR($F141="",$D141=""),"",IF($D141="Receita",$F141,IF($D141="Transferência",0,-$F141)))</f>
        <v/>
      </c>
    </row>
    <row r="142">
      <c r="A142" s="73" t="n">
        <v>45764</v>
      </c>
      <c r="B142" s="74" t="inlineStr">
        <is>
          <t>Supermercado</t>
        </is>
      </c>
      <c r="C142" s="74" t="inlineStr">
        <is>
          <t>Mercado</t>
        </is>
      </c>
      <c r="D142" s="75">
        <f>IF($C142="","",IFERROR(INDEX(CAT_TIPO,MATCH($C142,CAT_NOME,0)),"Sem categoria"))</f>
        <v/>
      </c>
      <c r="E142" s="75">
        <f>IF($C142="","",IFERROR(INDEX(CAT_GRUPO,MATCH($C142,CAT_NOME,0)),"Sem categoria"))</f>
        <v/>
      </c>
      <c r="F142" s="76" t="n">
        <v>144.64</v>
      </c>
      <c r="G142" s="74" t="inlineStr">
        <is>
          <t>Conta Nubank</t>
        </is>
      </c>
      <c r="H142" s="74" t="inlineStr">
        <is>
          <t>Débito</t>
        </is>
      </c>
      <c r="I142" s="74" t="n"/>
      <c r="J142" s="77" t="n"/>
      <c r="K142" s="77" t="n"/>
      <c r="L142" s="74" t="n"/>
      <c r="M142" s="74" t="n"/>
      <c r="O142" s="78">
        <f>IF($A142="","",YEAR($A142)*100+MONTH($A142))</f>
        <v/>
      </c>
      <c r="P142" s="79">
        <f>IF(OR($F142="",$D142=""),"",IF($D142="Receita",$F142,IF($D142="Transferência",0,-$F142)))</f>
        <v/>
      </c>
    </row>
    <row r="143">
      <c r="A143" s="73" t="n">
        <v>45764</v>
      </c>
      <c r="B143" s="74" t="inlineStr">
        <is>
          <t>iCloud</t>
        </is>
      </c>
      <c r="C143" s="74" t="inlineStr">
        <is>
          <t>Assinaturas e streaming</t>
        </is>
      </c>
      <c r="D143" s="75">
        <f>IF($C143="","",IFERROR(INDEX(CAT_TIPO,MATCH($C143,CAT_NOME,0)),"Sem categoria"))</f>
        <v/>
      </c>
      <c r="E143" s="75">
        <f>IF($C143="","",IFERROR(INDEX(CAT_GRUPO,MATCH($C143,CAT_NOME,0)),"Sem categoria"))</f>
        <v/>
      </c>
      <c r="F143" s="76" t="n">
        <v>14.9</v>
      </c>
      <c r="G143" s="74" t="n"/>
      <c r="H143" s="74" t="inlineStr">
        <is>
          <t>Crédito</t>
        </is>
      </c>
      <c r="I143" s="74" t="inlineStr">
        <is>
          <t>Nubank Mastercard</t>
        </is>
      </c>
      <c r="J143" s="77" t="n"/>
      <c r="K143" s="77" t="n"/>
      <c r="L143" s="74" t="n"/>
      <c r="M143" s="74" t="n"/>
      <c r="O143" s="78">
        <f>IF($A143="","",YEAR($A143)*100+MONTH($A143))</f>
        <v/>
      </c>
      <c r="P143" s="79">
        <f>IF(OR($F143="",$D143=""),"",IF($D143="Receita",$F143,IF($D143="Transferência",0,-$F143)))</f>
        <v/>
      </c>
    </row>
    <row r="144">
      <c r="A144" s="73" t="n">
        <v>45765</v>
      </c>
      <c r="B144" s="74" t="inlineStr">
        <is>
          <t>Barbearia / salão</t>
        </is>
      </c>
      <c r="C144" s="74" t="inlineStr">
        <is>
          <t>Beleza e cuidados</t>
        </is>
      </c>
      <c r="D144" s="75">
        <f>IF($C144="","",IFERROR(INDEX(CAT_TIPO,MATCH($C144,CAT_NOME,0)),"Sem categoria"))</f>
        <v/>
      </c>
      <c r="E144" s="75">
        <f>IF($C144="","",IFERROR(INDEX(CAT_GRUPO,MATCH($C144,CAT_NOME,0)),"Sem categoria"))</f>
        <v/>
      </c>
      <c r="F144" s="76" t="n">
        <v>102.12</v>
      </c>
      <c r="G144" s="74" t="inlineStr">
        <is>
          <t>Conta Nubank</t>
        </is>
      </c>
      <c r="H144" s="74" t="inlineStr">
        <is>
          <t>Pix</t>
        </is>
      </c>
      <c r="I144" s="74" t="n"/>
      <c r="J144" s="77" t="n"/>
      <c r="K144" s="77" t="n"/>
      <c r="L144" s="74" t="n"/>
      <c r="M144" s="74" t="n"/>
      <c r="O144" s="78">
        <f>IF($A144="","",YEAR($A144)*100+MONTH($A144))</f>
        <v/>
      </c>
      <c r="P144" s="79">
        <f>IF(OR($F144="",$D144=""),"",IF($D144="Receita",$F144,IF($D144="Transferência",0,-$F144)))</f>
        <v/>
      </c>
    </row>
    <row r="145">
      <c r="A145" s="73" t="n">
        <v>45765</v>
      </c>
      <c r="B145" s="74" t="inlineStr">
        <is>
          <t>Conta de água</t>
        </is>
      </c>
      <c r="C145" s="74" t="inlineStr">
        <is>
          <t>Contas da casa (luz, água, gás)</t>
        </is>
      </c>
      <c r="D145" s="75">
        <f>IF($C145="","",IFERROR(INDEX(CAT_TIPO,MATCH($C145,CAT_NOME,0)),"Sem categoria"))</f>
        <v/>
      </c>
      <c r="E145" s="75">
        <f>IF($C145="","",IFERROR(INDEX(CAT_GRUPO,MATCH($C145,CAT_NOME,0)),"Sem categoria"))</f>
        <v/>
      </c>
      <c r="F145" s="76" t="n">
        <v>73.8</v>
      </c>
      <c r="G145" s="74" t="inlineStr">
        <is>
          <t>Conta Nubank</t>
        </is>
      </c>
      <c r="H145" s="74" t="inlineStr">
        <is>
          <t>Débito automático</t>
        </is>
      </c>
      <c r="I145" s="74" t="n"/>
      <c r="J145" s="77" t="n"/>
      <c r="K145" s="77" t="n"/>
      <c r="L145" s="74" t="n"/>
      <c r="M145" s="74" t="n"/>
      <c r="O145" s="78">
        <f>IF($A145="","",YEAR($A145)*100+MONTH($A145))</f>
        <v/>
      </c>
      <c r="P145" s="79">
        <f>IF(OR($F145="",$D145=""),"",IF($D145="Receita",$F145,IF($D145="Transferência",0,-$F145)))</f>
        <v/>
      </c>
    </row>
    <row r="146">
      <c r="A146" s="73" t="n">
        <v>45766</v>
      </c>
      <c r="B146" s="74" t="inlineStr">
        <is>
          <t>iFood</t>
        </is>
      </c>
      <c r="C146" s="74" t="inlineStr">
        <is>
          <t>Restaurantes e delivery</t>
        </is>
      </c>
      <c r="D146" s="75">
        <f>IF($C146="","",IFERROR(INDEX(CAT_TIPO,MATCH($C146,CAT_NOME,0)),"Sem categoria"))</f>
        <v/>
      </c>
      <c r="E146" s="75">
        <f>IF($C146="","",IFERROR(INDEX(CAT_GRUPO,MATCH($C146,CAT_NOME,0)),"Sem categoria"))</f>
        <v/>
      </c>
      <c r="F146" s="76" t="n">
        <v>46.63</v>
      </c>
      <c r="G146" s="74" t="n"/>
      <c r="H146" s="74" t="inlineStr">
        <is>
          <t>Crédito</t>
        </is>
      </c>
      <c r="I146" s="74" t="inlineStr">
        <is>
          <t>Nubank Mastercard</t>
        </is>
      </c>
      <c r="J146" s="77" t="n"/>
      <c r="K146" s="77" t="n"/>
      <c r="L146" s="74" t="n"/>
      <c r="M146" s="74" t="n"/>
      <c r="O146" s="78">
        <f>IF($A146="","",YEAR($A146)*100+MONTH($A146))</f>
        <v/>
      </c>
      <c r="P146" s="79">
        <f>IF(OR($F146="",$D146=""),"",IF($D146="Receita",$F146,IF($D146="Transferência",0,-$F146)))</f>
        <v/>
      </c>
    </row>
    <row r="147">
      <c r="A147" s="73" t="n">
        <v>45767</v>
      </c>
      <c r="B147" s="74" t="inlineStr">
        <is>
          <t>Internet fibra</t>
        </is>
      </c>
      <c r="C147" s="74" t="inlineStr">
        <is>
          <t>Internet e celular</t>
        </is>
      </c>
      <c r="D147" s="75">
        <f>IF($C147="","",IFERROR(INDEX(CAT_TIPO,MATCH($C147,CAT_NOME,0)),"Sem categoria"))</f>
        <v/>
      </c>
      <c r="E147" s="75">
        <f>IF($C147="","",IFERROR(INDEX(CAT_GRUPO,MATCH($C147,CAT_NOME,0)),"Sem categoria"))</f>
        <v/>
      </c>
      <c r="F147" s="76" t="n">
        <v>119.9</v>
      </c>
      <c r="G147" s="74" t="inlineStr">
        <is>
          <t>Conta Nubank</t>
        </is>
      </c>
      <c r="H147" s="74" t="inlineStr">
        <is>
          <t>Débito automático</t>
        </is>
      </c>
      <c r="I147" s="74" t="n"/>
      <c r="J147" s="77" t="n"/>
      <c r="K147" s="77" t="n"/>
      <c r="L147" s="74" t="n"/>
      <c r="M147" s="74" t="n"/>
      <c r="O147" s="78">
        <f>IF($A147="","",YEAR($A147)*100+MONTH($A147))</f>
        <v/>
      </c>
      <c r="P147" s="79">
        <f>IF(OR($F147="",$D147=""),"",IF($D147="Receita",$F147,IF($D147="Transferência",0,-$F147)))</f>
        <v/>
      </c>
    </row>
    <row r="148">
      <c r="A148" s="73" t="n">
        <v>45768</v>
      </c>
      <c r="B148" s="74" t="inlineStr">
        <is>
          <t>Uber</t>
        </is>
      </c>
      <c r="C148" s="74" t="inlineStr">
        <is>
          <t>Transporte</t>
        </is>
      </c>
      <c r="D148" s="75">
        <f>IF($C148="","",IFERROR(INDEX(CAT_TIPO,MATCH($C148,CAT_NOME,0)),"Sem categoria"))</f>
        <v/>
      </c>
      <c r="E148" s="75">
        <f>IF($C148="","",IFERROR(INDEX(CAT_GRUPO,MATCH($C148,CAT_NOME,0)),"Sem categoria"))</f>
        <v/>
      </c>
      <c r="F148" s="76" t="n">
        <v>28.06</v>
      </c>
      <c r="G148" s="74" t="n"/>
      <c r="H148" s="74" t="inlineStr">
        <is>
          <t>Crédito</t>
        </is>
      </c>
      <c r="I148" s="74" t="inlineStr">
        <is>
          <t>Nubank Mastercard</t>
        </is>
      </c>
      <c r="J148" s="77" t="n"/>
      <c r="K148" s="77" t="n"/>
      <c r="L148" s="74" t="n"/>
      <c r="M148" s="74" t="n"/>
      <c r="O148" s="78">
        <f>IF($A148="","",YEAR($A148)*100+MONTH($A148))</f>
        <v/>
      </c>
      <c r="P148" s="79">
        <f>IF(OR($F148="",$D148=""),"",IF($D148="Receita",$F148,IF($D148="Transferência",0,-$F148)))</f>
        <v/>
      </c>
    </row>
    <row r="149">
      <c r="A149" s="73" t="n">
        <v>45769</v>
      </c>
      <c r="B149" s="74" t="inlineStr">
        <is>
          <t>Plano de celular</t>
        </is>
      </c>
      <c r="C149" s="74" t="inlineStr">
        <is>
          <t>Internet e celular</t>
        </is>
      </c>
      <c r="D149" s="75">
        <f>IF($C149="","",IFERROR(INDEX(CAT_TIPO,MATCH($C149,CAT_NOME,0)),"Sem categoria"))</f>
        <v/>
      </c>
      <c r="E149" s="75">
        <f>IF($C149="","",IFERROR(INDEX(CAT_GRUPO,MATCH($C149,CAT_NOME,0)),"Sem categoria"))</f>
        <v/>
      </c>
      <c r="F149" s="76" t="n">
        <v>59.9</v>
      </c>
      <c r="G149" s="74" t="inlineStr">
        <is>
          <t>Conta Nubank</t>
        </is>
      </c>
      <c r="H149" s="74" t="inlineStr">
        <is>
          <t>Débito automático</t>
        </is>
      </c>
      <c r="I149" s="74" t="n"/>
      <c r="J149" s="77" t="n"/>
      <c r="K149" s="77" t="n"/>
      <c r="L149" s="74" t="n"/>
      <c r="M149" s="74" t="n"/>
      <c r="O149" s="78">
        <f>IF($A149="","",YEAR($A149)*100+MONTH($A149))</f>
        <v/>
      </c>
      <c r="P149" s="79">
        <f>IF(OR($F149="",$D149=""),"",IF($D149="Receita",$F149,IF($D149="Transferência",0,-$F149)))</f>
        <v/>
      </c>
    </row>
    <row r="150">
      <c r="A150" s="73" t="n">
        <v>45770</v>
      </c>
      <c r="B150" s="74" t="inlineStr">
        <is>
          <t>Cinema e passeios</t>
        </is>
      </c>
      <c r="C150" s="74" t="inlineStr">
        <is>
          <t>Lazer e entretenimento</t>
        </is>
      </c>
      <c r="D150" s="75">
        <f>IF($C150="","",IFERROR(INDEX(CAT_TIPO,MATCH($C150,CAT_NOME,0)),"Sem categoria"))</f>
        <v/>
      </c>
      <c r="E150" s="75">
        <f>IF($C150="","",IFERROR(INDEX(CAT_GRUPO,MATCH($C150,CAT_NOME,0)),"Sem categoria"))</f>
        <v/>
      </c>
      <c r="F150" s="76" t="n">
        <v>80.42</v>
      </c>
      <c r="G150" s="74" t="n"/>
      <c r="H150" s="74" t="inlineStr">
        <is>
          <t>Crédito</t>
        </is>
      </c>
      <c r="I150" s="74" t="inlineStr">
        <is>
          <t>Itaú Visa</t>
        </is>
      </c>
      <c r="J150" s="77" t="n"/>
      <c r="K150" s="77" t="n"/>
      <c r="L150" s="74" t="n"/>
      <c r="M150" s="74" t="n"/>
      <c r="O150" s="78">
        <f>IF($A150="","",YEAR($A150)*100+MONTH($A150))</f>
        <v/>
      </c>
      <c r="P150" s="79">
        <f>IF(OR($F150="",$D150=""),"",IF($D150="Receita",$F150,IF($D150="Transferência",0,-$F150)))</f>
        <v/>
      </c>
    </row>
    <row r="151">
      <c r="A151" s="73" t="n">
        <v>45771</v>
      </c>
      <c r="B151" s="74" t="inlineStr">
        <is>
          <t>Supermercado</t>
        </is>
      </c>
      <c r="C151" s="74" t="inlineStr">
        <is>
          <t>Mercado</t>
        </is>
      </c>
      <c r="D151" s="75">
        <f>IF($C151="","",IFERROR(INDEX(CAT_TIPO,MATCH($C151,CAT_NOME,0)),"Sem categoria"))</f>
        <v/>
      </c>
      <c r="E151" s="75">
        <f>IF($C151="","",IFERROR(INDEX(CAT_GRUPO,MATCH($C151,CAT_NOME,0)),"Sem categoria"))</f>
        <v/>
      </c>
      <c r="F151" s="76" t="n">
        <v>158.28</v>
      </c>
      <c r="G151" s="74" t="inlineStr">
        <is>
          <t>Conta Nubank</t>
        </is>
      </c>
      <c r="H151" s="74" t="inlineStr">
        <is>
          <t>Débito</t>
        </is>
      </c>
      <c r="I151" s="74" t="n"/>
      <c r="J151" s="77" t="n"/>
      <c r="K151" s="77" t="n"/>
      <c r="L151" s="74" t="n"/>
      <c r="M151" s="74" t="n"/>
      <c r="O151" s="78">
        <f>IF($A151="","",YEAR($A151)*100+MONTH($A151))</f>
        <v/>
      </c>
      <c r="P151" s="79">
        <f>IF(OR($F151="",$D151=""),"",IF($D151="Receita",$F151,IF($D151="Transferência",0,-$F151)))</f>
        <v/>
      </c>
    </row>
    <row r="152">
      <c r="A152" s="73" t="n">
        <v>45772</v>
      </c>
      <c r="B152" s="74" t="inlineStr">
        <is>
          <t>Gás encanado</t>
        </is>
      </c>
      <c r="C152" s="74" t="inlineStr">
        <is>
          <t>Contas da casa (luz, água, gás)</t>
        </is>
      </c>
      <c r="D152" s="75">
        <f>IF($C152="","",IFERROR(INDEX(CAT_TIPO,MATCH($C152,CAT_NOME,0)),"Sem categoria"))</f>
        <v/>
      </c>
      <c r="E152" s="75">
        <f>IF($C152="","",IFERROR(INDEX(CAT_GRUPO,MATCH($C152,CAT_NOME,0)),"Sem categoria"))</f>
        <v/>
      </c>
      <c r="F152" s="76" t="n">
        <v>81.17</v>
      </c>
      <c r="G152" s="74" t="inlineStr">
        <is>
          <t>Conta Nubank</t>
        </is>
      </c>
      <c r="H152" s="74" t="inlineStr">
        <is>
          <t>Boleto</t>
        </is>
      </c>
      <c r="I152" s="74" t="n"/>
      <c r="J152" s="77" t="n"/>
      <c r="K152" s="77" t="n"/>
      <c r="L152" s="74" t="n"/>
      <c r="M152" s="74" t="n"/>
      <c r="O152" s="78">
        <f>IF($A152="","",YEAR($A152)*100+MONTH($A152))</f>
        <v/>
      </c>
      <c r="P152" s="79">
        <f>IF(OR($F152="",$D152=""),"",IF($D152="Receita",$F152,IF($D152="Transferência",0,-$F152)))</f>
        <v/>
      </c>
    </row>
    <row r="153">
      <c r="A153" s="73" t="n">
        <v>45773</v>
      </c>
      <c r="B153" s="74" t="inlineStr">
        <is>
          <t>Combustível</t>
        </is>
      </c>
      <c r="C153" s="74" t="inlineStr">
        <is>
          <t>Transporte</t>
        </is>
      </c>
      <c r="D153" s="75">
        <f>IF($C153="","",IFERROR(INDEX(CAT_TIPO,MATCH($C153,CAT_NOME,0)),"Sem categoria"))</f>
        <v/>
      </c>
      <c r="E153" s="75">
        <f>IF($C153="","",IFERROR(INDEX(CAT_GRUPO,MATCH($C153,CAT_NOME,0)),"Sem categoria"))</f>
        <v/>
      </c>
      <c r="F153" s="76" t="n">
        <v>111.29</v>
      </c>
      <c r="G153" s="74" t="n"/>
      <c r="H153" s="74" t="inlineStr">
        <is>
          <t>Crédito</t>
        </is>
      </c>
      <c r="I153" s="74" t="inlineStr">
        <is>
          <t>Itaú Visa</t>
        </is>
      </c>
      <c r="J153" s="77" t="n"/>
      <c r="K153" s="77" t="n"/>
      <c r="L153" s="74" t="n"/>
      <c r="M153" s="74" t="n"/>
      <c r="O153" s="78">
        <f>IF($A153="","",YEAR($A153)*100+MONTH($A153))</f>
        <v/>
      </c>
      <c r="P153" s="79">
        <f>IF(OR($F153="",$D153=""),"",IF($D153="Receita",$F153,IF($D153="Transferência",0,-$F153)))</f>
        <v/>
      </c>
    </row>
    <row r="154">
      <c r="A154" s="73" t="n">
        <v>45774</v>
      </c>
      <c r="B154" s="74" t="inlineStr">
        <is>
          <t>Almoço de domingo</t>
        </is>
      </c>
      <c r="C154" s="74" t="inlineStr">
        <is>
          <t>Restaurantes e delivery</t>
        </is>
      </c>
      <c r="D154" s="75">
        <f>IF($C154="","",IFERROR(INDEX(CAT_TIPO,MATCH($C154,CAT_NOME,0)),"Sem categoria"))</f>
        <v/>
      </c>
      <c r="E154" s="75">
        <f>IF($C154="","",IFERROR(INDEX(CAT_GRUPO,MATCH($C154,CAT_NOME,0)),"Sem categoria"))</f>
        <v/>
      </c>
      <c r="F154" s="76" t="n">
        <v>73.7</v>
      </c>
      <c r="G154" s="74" t="n"/>
      <c r="H154" s="74" t="inlineStr">
        <is>
          <t>Crédito</t>
        </is>
      </c>
      <c r="I154" s="74" t="inlineStr">
        <is>
          <t>Nubank Mastercard</t>
        </is>
      </c>
      <c r="J154" s="77" t="n"/>
      <c r="K154" s="77" t="n"/>
      <c r="L154" s="74" t="n"/>
      <c r="M154" s="74" t="n"/>
      <c r="O154" s="78">
        <f>IF($A154="","",YEAR($A154)*100+MONTH($A154))</f>
        <v/>
      </c>
      <c r="P154" s="79">
        <f>IF(OR($F154="",$D154=""),"",IF($D154="Receita",$F154,IF($D154="Transferência",0,-$F154)))</f>
        <v/>
      </c>
    </row>
    <row r="155">
      <c r="A155" s="73" t="n">
        <v>45775</v>
      </c>
      <c r="B155" s="74" t="inlineStr">
        <is>
          <t>Aporte em renda fixa</t>
        </is>
      </c>
      <c r="C155" s="74" t="inlineStr">
        <is>
          <t>Investimentos</t>
        </is>
      </c>
      <c r="D155" s="75">
        <f>IF($C155="","",IFERROR(INDEX(CAT_TIPO,MATCH($C155,CAT_NOME,0)),"Sem categoria"))</f>
        <v/>
      </c>
      <c r="E155" s="75">
        <f>IF($C155="","",IFERROR(INDEX(CAT_GRUPO,MATCH($C155,CAT_NOME,0)),"Sem categoria"))</f>
        <v/>
      </c>
      <c r="F155" s="76" t="n">
        <v>250</v>
      </c>
      <c r="G155" s="74" t="inlineStr">
        <is>
          <t>Conta Nubank</t>
        </is>
      </c>
      <c r="H155" s="74" t="inlineStr">
        <is>
          <t>Transferência</t>
        </is>
      </c>
      <c r="I155" s="74" t="n"/>
      <c r="J155" s="77" t="n"/>
      <c r="K155" s="77" t="n"/>
      <c r="L155" s="74" t="inlineStr">
        <is>
          <t>Corretora</t>
        </is>
      </c>
      <c r="M155" s="74" t="n"/>
      <c r="O155" s="78">
        <f>IF($A155="","",YEAR($A155)*100+MONTH($A155))</f>
        <v/>
      </c>
      <c r="P155" s="79">
        <f>IF(OR($F155="",$D155=""),"",IF($D155="Receita",$F155,IF($D155="Transferência",0,-$F155)))</f>
        <v/>
      </c>
    </row>
    <row r="156">
      <c r="A156" s="73" t="n">
        <v>45775</v>
      </c>
      <c r="B156" s="74" t="inlineStr">
        <is>
          <t>Cofrinho da viagem</t>
        </is>
      </c>
      <c r="C156" s="74" t="inlineStr">
        <is>
          <t>Metas e sonhos</t>
        </is>
      </c>
      <c r="D156" s="75">
        <f>IF($C156="","",IFERROR(INDEX(CAT_TIPO,MATCH($C156,CAT_NOME,0)),"Sem categoria"))</f>
        <v/>
      </c>
      <c r="E156" s="75">
        <f>IF($C156="","",IFERROR(INDEX(CAT_GRUPO,MATCH($C156,CAT_NOME,0)),"Sem categoria"))</f>
        <v/>
      </c>
      <c r="F156" s="76" t="n">
        <v>150</v>
      </c>
      <c r="G156" s="74" t="inlineStr">
        <is>
          <t>Conta Nubank</t>
        </is>
      </c>
      <c r="H156" s="74" t="inlineStr">
        <is>
          <t>Transferência</t>
        </is>
      </c>
      <c r="I156" s="74" t="n"/>
      <c r="J156" s="77" t="n"/>
      <c r="K156" s="77" t="n"/>
      <c r="L156" s="74" t="inlineStr">
        <is>
          <t>Cofrinho viagem</t>
        </is>
      </c>
      <c r="M156" s="74" t="n"/>
      <c r="O156" s="78">
        <f>IF($A156="","",YEAR($A156)*100+MONTH($A156))</f>
        <v/>
      </c>
      <c r="P156" s="79">
        <f>IF(OR($F156="",$D156=""),"",IF($D156="Receita",$F156,IF($D156="Transferência",0,-$F156)))</f>
        <v/>
      </c>
    </row>
    <row r="157">
      <c r="A157" s="73" t="n">
        <v>45775</v>
      </c>
      <c r="B157" s="74" t="inlineStr">
        <is>
          <t>Rendimento da renda fixa</t>
        </is>
      </c>
      <c r="C157" s="74" t="inlineStr">
        <is>
          <t>Rendimentos de investimentos</t>
        </is>
      </c>
      <c r="D157" s="75">
        <f>IF($C157="","",IFERROR(INDEX(CAT_TIPO,MATCH($C157,CAT_NOME,0)),"Sem categoria"))</f>
        <v/>
      </c>
      <c r="E157" s="75">
        <f>IF($C157="","",IFERROR(INDEX(CAT_GRUPO,MATCH($C157,CAT_NOME,0)),"Sem categoria"))</f>
        <v/>
      </c>
      <c r="F157" s="76" t="n">
        <v>87.45</v>
      </c>
      <c r="G157" s="74" t="inlineStr">
        <is>
          <t>Corretora</t>
        </is>
      </c>
      <c r="H157" s="74" t="inlineStr">
        <is>
          <t>Transferência</t>
        </is>
      </c>
      <c r="I157" s="74" t="n"/>
      <c r="J157" s="77" t="n"/>
      <c r="K157" s="77" t="n"/>
      <c r="L157" s="74" t="n"/>
      <c r="M157" s="74" t="n"/>
      <c r="O157" s="78">
        <f>IF($A157="","",YEAR($A157)*100+MONTH($A157))</f>
        <v/>
      </c>
      <c r="P157" s="79">
        <f>IF(OR($F157="",$D157=""),"",IF($D157="Receita",$F157,IF($D157="Transferência",0,-$F157)))</f>
        <v/>
      </c>
    </row>
    <row r="158">
      <c r="A158" s="73" t="n">
        <v>45775</v>
      </c>
      <c r="B158" s="74" t="inlineStr">
        <is>
          <t>Reserva de emergência</t>
        </is>
      </c>
      <c r="C158" s="74" t="inlineStr">
        <is>
          <t>Reserva de emergência</t>
        </is>
      </c>
      <c r="D158" s="75">
        <f>IF($C158="","",IFERROR(INDEX(CAT_TIPO,MATCH($C158,CAT_NOME,0)),"Sem categoria"))</f>
        <v/>
      </c>
      <c r="E158" s="75">
        <f>IF($C158="","",IFERROR(INDEX(CAT_GRUPO,MATCH($C158,CAT_NOME,0)),"Sem categoria"))</f>
        <v/>
      </c>
      <c r="F158" s="76" t="n">
        <v>400</v>
      </c>
      <c r="G158" s="74" t="inlineStr">
        <is>
          <t>Conta Nubank</t>
        </is>
      </c>
      <c r="H158" s="74" t="inlineStr">
        <is>
          <t>Transferência</t>
        </is>
      </c>
      <c r="I158" s="74" t="n"/>
      <c r="J158" s="77" t="n"/>
      <c r="K158" s="77" t="n"/>
      <c r="L158" s="74" t="inlineStr">
        <is>
          <t>Poupança Caixa</t>
        </is>
      </c>
      <c r="M158" s="74" t="n"/>
      <c r="O158" s="78">
        <f>IF($A158="","",YEAR($A158)*100+MONTH($A158))</f>
        <v/>
      </c>
      <c r="P158" s="79">
        <f>IF(OR($F158="",$D158=""),"",IF($D158="Receita",$F158,IF($D158="Transferência",0,-$F158)))</f>
        <v/>
      </c>
    </row>
    <row r="159">
      <c r="A159" s="73" t="n">
        <v>45780</v>
      </c>
      <c r="B159" s="74" t="inlineStr">
        <is>
          <t>Netflix</t>
        </is>
      </c>
      <c r="C159" s="74" t="inlineStr">
        <is>
          <t>Assinaturas e streaming</t>
        </is>
      </c>
      <c r="D159" s="75">
        <f>IF($C159="","",IFERROR(INDEX(CAT_TIPO,MATCH($C159,CAT_NOME,0)),"Sem categoria"))</f>
        <v/>
      </c>
      <c r="E159" s="75">
        <f>IF($C159="","",IFERROR(INDEX(CAT_GRUPO,MATCH($C159,CAT_NOME,0)),"Sem categoria"))</f>
        <v/>
      </c>
      <c r="F159" s="76" t="n">
        <v>55.9</v>
      </c>
      <c r="G159" s="74" t="n"/>
      <c r="H159" s="74" t="inlineStr">
        <is>
          <t>Crédito</t>
        </is>
      </c>
      <c r="I159" s="74" t="inlineStr">
        <is>
          <t>Nubank Mastercard</t>
        </is>
      </c>
      <c r="J159" s="77" t="n"/>
      <c r="K159" s="77" t="n"/>
      <c r="L159" s="74" t="n"/>
      <c r="M159" s="74" t="n"/>
      <c r="O159" s="78">
        <f>IF($A159="","",YEAR($A159)*100+MONTH($A159))</f>
        <v/>
      </c>
      <c r="P159" s="79">
        <f>IF(OR($F159="",$D159=""),"",IF($D159="Receita",$F159,IF($D159="Transferência",0,-$F159)))</f>
        <v/>
      </c>
    </row>
    <row r="160">
      <c r="A160" s="73" t="n">
        <v>45780</v>
      </c>
      <c r="B160" s="74" t="inlineStr">
        <is>
          <t>Supermercado</t>
        </is>
      </c>
      <c r="C160" s="74" t="inlineStr">
        <is>
          <t>Mercado</t>
        </is>
      </c>
      <c r="D160" s="75">
        <f>IF($C160="","",IFERROR(INDEX(CAT_TIPO,MATCH($C160,CAT_NOME,0)),"Sem categoria"))</f>
        <v/>
      </c>
      <c r="E160" s="75">
        <f>IF($C160="","",IFERROR(INDEX(CAT_GRUPO,MATCH($C160,CAT_NOME,0)),"Sem categoria"))</f>
        <v/>
      </c>
      <c r="F160" s="76" t="n">
        <v>147.96</v>
      </c>
      <c r="G160" s="74" t="inlineStr">
        <is>
          <t>Conta Nubank</t>
        </is>
      </c>
      <c r="H160" s="74" t="inlineStr">
        <is>
          <t>Débito</t>
        </is>
      </c>
      <c r="I160" s="74" t="n"/>
      <c r="J160" s="77" t="n"/>
      <c r="K160" s="77" t="n"/>
      <c r="L160" s="74" t="n"/>
      <c r="M160" s="74" t="n"/>
      <c r="O160" s="78">
        <f>IF($A160="","",YEAR($A160)*100+MONTH($A160))</f>
        <v/>
      </c>
      <c r="P160" s="79">
        <f>IF(OR($F160="",$D160=""),"",IF($D160="Receita",$F160,IF($D160="Transferência",0,-$F160)))</f>
        <v/>
      </c>
    </row>
    <row r="161">
      <c r="A161" s="73" t="n">
        <v>45781</v>
      </c>
      <c r="B161" s="74" t="inlineStr">
        <is>
          <t>Spotify</t>
        </is>
      </c>
      <c r="C161" s="74" t="inlineStr">
        <is>
          <t>Assinaturas e streaming</t>
        </is>
      </c>
      <c r="D161" s="75">
        <f>IF($C161="","",IFERROR(INDEX(CAT_TIPO,MATCH($C161,CAT_NOME,0)),"Sem categoria"))</f>
        <v/>
      </c>
      <c r="E161" s="75">
        <f>IF($C161="","",IFERROR(INDEX(CAT_GRUPO,MATCH($C161,CAT_NOME,0)),"Sem categoria"))</f>
        <v/>
      </c>
      <c r="F161" s="76" t="n">
        <v>23.9</v>
      </c>
      <c r="G161" s="74" t="n"/>
      <c r="H161" s="74" t="inlineStr">
        <is>
          <t>Crédito</t>
        </is>
      </c>
      <c r="I161" s="74" t="inlineStr">
        <is>
          <t>Nubank Mastercard</t>
        </is>
      </c>
      <c r="J161" s="77" t="n"/>
      <c r="K161" s="77" t="n"/>
      <c r="L161" s="74" t="n"/>
      <c r="M161" s="74" t="n"/>
      <c r="O161" s="78">
        <f>IF($A161="","",YEAR($A161)*100+MONTH($A161))</f>
        <v/>
      </c>
      <c r="P161" s="79">
        <f>IF(OR($F161="",$D161=""),"",IF($D161="Receita",$F161,IF($D161="Transferência",0,-$F161)))</f>
        <v/>
      </c>
    </row>
    <row r="162">
      <c r="A162" s="73" t="n">
        <v>45782</v>
      </c>
      <c r="B162" s="74" t="inlineStr">
        <is>
          <t>Academia</t>
        </is>
      </c>
      <c r="C162" s="74" t="inlineStr">
        <is>
          <t>Assinaturas e streaming</t>
        </is>
      </c>
      <c r="D162" s="75">
        <f>IF($C162="","",IFERROR(INDEX(CAT_TIPO,MATCH($C162,CAT_NOME,0)),"Sem categoria"))</f>
        <v/>
      </c>
      <c r="E162" s="75">
        <f>IF($C162="","",IFERROR(INDEX(CAT_GRUPO,MATCH($C162,CAT_NOME,0)),"Sem categoria"))</f>
        <v/>
      </c>
      <c r="F162" s="76" t="n">
        <v>119.9</v>
      </c>
      <c r="G162" s="74" t="n"/>
      <c r="H162" s="74" t="inlineStr">
        <is>
          <t>Crédito</t>
        </is>
      </c>
      <c r="I162" s="74" t="inlineStr">
        <is>
          <t>Nubank Mastercard</t>
        </is>
      </c>
      <c r="J162" s="77" t="n"/>
      <c r="K162" s="77" t="n"/>
      <c r="L162" s="74" t="n"/>
      <c r="M162" s="74" t="n"/>
      <c r="O162" s="78">
        <f>IF($A162="","",YEAR($A162)*100+MONTH($A162))</f>
        <v/>
      </c>
      <c r="P162" s="79">
        <f>IF(OR($F162="",$D162=""),"",IF($D162="Receita",$F162,IF($D162="Transferência",0,-$F162)))</f>
        <v/>
      </c>
    </row>
    <row r="163">
      <c r="A163" s="73" t="n">
        <v>45782</v>
      </c>
      <c r="B163" s="74" t="inlineStr">
        <is>
          <t>Pagamento da fatura Nubank Mastercard</t>
        </is>
      </c>
      <c r="C163" s="74" t="inlineStr">
        <is>
          <t>Pagamento de fatura</t>
        </is>
      </c>
      <c r="D163" s="75">
        <f>IF($C163="","",IFERROR(INDEX(CAT_TIPO,MATCH($C163,CAT_NOME,0)),"Sem categoria"))</f>
        <v/>
      </c>
      <c r="E163" s="75">
        <f>IF($C163="","",IFERROR(INDEX(CAT_GRUPO,MATCH($C163,CAT_NOME,0)),"Sem categoria"))</f>
        <v/>
      </c>
      <c r="F163" s="76" t="n">
        <v>840.36</v>
      </c>
      <c r="G163" s="74" t="inlineStr">
        <is>
          <t>Conta Nubank</t>
        </is>
      </c>
      <c r="H163" s="74" t="inlineStr">
        <is>
          <t>Boleto</t>
        </is>
      </c>
      <c r="I163" s="74" t="inlineStr">
        <is>
          <t>Nubank Mastercard</t>
        </is>
      </c>
      <c r="J163" s="77" t="n"/>
      <c r="K163" s="77" t="n"/>
      <c r="L163" s="74" t="n"/>
      <c r="M163" s="74" t="n"/>
      <c r="O163" s="78">
        <f>IF($A163="","",YEAR($A163)*100+MONTH($A163))</f>
        <v/>
      </c>
      <c r="P163" s="79">
        <f>IF(OR($F163="",$D163=""),"",IF($D163="Receita",$F163,IF($D163="Transferência",0,-$F163)))</f>
        <v/>
      </c>
    </row>
    <row r="164">
      <c r="A164" s="73" t="n">
        <v>45782</v>
      </c>
      <c r="B164" s="74" t="inlineStr">
        <is>
          <t>Salário</t>
        </is>
      </c>
      <c r="C164" s="74" t="inlineStr">
        <is>
          <t>Salário</t>
        </is>
      </c>
      <c r="D164" s="75">
        <f>IF($C164="","",IFERROR(INDEX(CAT_TIPO,MATCH($C164,CAT_NOME,0)),"Sem categoria"))</f>
        <v/>
      </c>
      <c r="E164" s="75">
        <f>IF($C164="","",IFERROR(INDEX(CAT_GRUPO,MATCH($C164,CAT_NOME,0)),"Sem categoria"))</f>
        <v/>
      </c>
      <c r="F164" s="76" t="n">
        <v>5600</v>
      </c>
      <c r="G164" s="74" t="inlineStr">
        <is>
          <t>Conta Nubank</t>
        </is>
      </c>
      <c r="H164" s="74" t="inlineStr">
        <is>
          <t>Transferência</t>
        </is>
      </c>
      <c r="I164" s="74" t="n"/>
      <c r="J164" s="77" t="n"/>
      <c r="K164" s="77" t="n"/>
      <c r="L164" s="74" t="n"/>
      <c r="M164" s="74" t="n"/>
      <c r="O164" s="78">
        <f>IF($A164="","",YEAR($A164)*100+MONTH($A164))</f>
        <v/>
      </c>
      <c r="P164" s="79">
        <f>IF(OR($F164="",$D164=""),"",IF($D164="Receita",$F164,IF($D164="Transferência",0,-$F164)))</f>
        <v/>
      </c>
    </row>
    <row r="165">
      <c r="A165" s="73" t="n">
        <v>45783</v>
      </c>
      <c r="B165" s="74" t="inlineStr">
        <is>
          <t>Plano de saúde</t>
        </is>
      </c>
      <c r="C165" s="74" t="inlineStr">
        <is>
          <t>Saúde e farmácia</t>
        </is>
      </c>
      <c r="D165" s="75">
        <f>IF($C165="","",IFERROR(INDEX(CAT_TIPO,MATCH($C165,CAT_NOME,0)),"Sem categoria"))</f>
        <v/>
      </c>
      <c r="E165" s="75">
        <f>IF($C165="","",IFERROR(INDEX(CAT_GRUPO,MATCH($C165,CAT_NOME,0)),"Sem categoria"))</f>
        <v/>
      </c>
      <c r="F165" s="76" t="n">
        <v>290</v>
      </c>
      <c r="G165" s="74" t="inlineStr">
        <is>
          <t>Conta Nubank</t>
        </is>
      </c>
      <c r="H165" s="74" t="inlineStr">
        <is>
          <t>Débito automático</t>
        </is>
      </c>
      <c r="I165" s="74" t="n"/>
      <c r="J165" s="77" t="n"/>
      <c r="K165" s="77" t="n"/>
      <c r="L165" s="74" t="n"/>
      <c r="M165" s="74" t="n"/>
      <c r="O165" s="78">
        <f>IF($A165="","",YEAR($A165)*100+MONTH($A165))</f>
        <v/>
      </c>
      <c r="P165" s="79">
        <f>IF(OR($F165="",$D165=""),"",IF($D165="Receita",$F165,IF($D165="Transferência",0,-$F165)))</f>
        <v/>
      </c>
    </row>
    <row r="166">
      <c r="A166" s="73" t="n">
        <v>45784</v>
      </c>
      <c r="B166" s="74" t="inlineStr">
        <is>
          <t>Combustível</t>
        </is>
      </c>
      <c r="C166" s="74" t="inlineStr">
        <is>
          <t>Transporte</t>
        </is>
      </c>
      <c r="D166" s="75">
        <f>IF($C166="","",IFERROR(INDEX(CAT_TIPO,MATCH($C166,CAT_NOME,0)),"Sem categoria"))</f>
        <v/>
      </c>
      <c r="E166" s="75">
        <f>IF($C166="","",IFERROR(INDEX(CAT_GRUPO,MATCH($C166,CAT_NOME,0)),"Sem categoria"))</f>
        <v/>
      </c>
      <c r="F166" s="76" t="n">
        <v>93.88</v>
      </c>
      <c r="G166" s="74" t="n"/>
      <c r="H166" s="74" t="inlineStr">
        <is>
          <t>Crédito</t>
        </is>
      </c>
      <c r="I166" s="74" t="inlineStr">
        <is>
          <t>Itaú Visa</t>
        </is>
      </c>
      <c r="J166" s="77" t="n"/>
      <c r="K166" s="77" t="n"/>
      <c r="L166" s="74" t="n"/>
      <c r="M166" s="74" t="n"/>
      <c r="O166" s="78">
        <f>IF($A166="","",YEAR($A166)*100+MONTH($A166))</f>
        <v/>
      </c>
      <c r="P166" s="79">
        <f>IF(OR($F166="",$D166=""),"",IF($D166="Receita",$F166,IF($D166="Transferência",0,-$F166)))</f>
        <v/>
      </c>
    </row>
    <row r="167">
      <c r="A167" s="73" t="n">
        <v>45785</v>
      </c>
      <c r="B167" s="74" t="inlineStr">
        <is>
          <t>Aluguel</t>
        </is>
      </c>
      <c r="C167" s="74" t="inlineStr">
        <is>
          <t>Moradia (aluguel ou financiamento)</t>
        </is>
      </c>
      <c r="D167" s="75">
        <f>IF($C167="","",IFERROR(INDEX(CAT_TIPO,MATCH($C167,CAT_NOME,0)),"Sem categoria"))</f>
        <v/>
      </c>
      <c r="E167" s="75">
        <f>IF($C167="","",IFERROR(INDEX(CAT_GRUPO,MATCH($C167,CAT_NOME,0)),"Sem categoria"))</f>
        <v/>
      </c>
      <c r="F167" s="76" t="n">
        <v>1150</v>
      </c>
      <c r="G167" s="74" t="inlineStr">
        <is>
          <t>Conta Nubank</t>
        </is>
      </c>
      <c r="H167" s="74" t="inlineStr">
        <is>
          <t>Boleto</t>
        </is>
      </c>
      <c r="I167" s="74" t="n"/>
      <c r="J167" s="77" t="n"/>
      <c r="K167" s="77" t="n"/>
      <c r="L167" s="74" t="n"/>
      <c r="M167" s="74" t="n"/>
      <c r="O167" s="78">
        <f>IF($A167="","",YEAR($A167)*100+MONTH($A167))</f>
        <v/>
      </c>
      <c r="P167" s="79">
        <f>IF(OR($F167="",$D167=""),"",IF($D167="Receita",$F167,IF($D167="Transferência",0,-$F167)))</f>
        <v/>
      </c>
    </row>
    <row r="168">
      <c r="A168" s="73" t="n">
        <v>45786</v>
      </c>
      <c r="B168" s="74" t="inlineStr">
        <is>
          <t>Farmácia</t>
        </is>
      </c>
      <c r="C168" s="74" t="inlineStr">
        <is>
          <t>Saúde e farmácia</t>
        </is>
      </c>
      <c r="D168" s="75">
        <f>IF($C168="","",IFERROR(INDEX(CAT_TIPO,MATCH($C168,CAT_NOME,0)),"Sem categoria"))</f>
        <v/>
      </c>
      <c r="E168" s="75">
        <f>IF($C168="","",IFERROR(INDEX(CAT_GRUPO,MATCH($C168,CAT_NOME,0)),"Sem categoria"))</f>
        <v/>
      </c>
      <c r="F168" s="76" t="n">
        <v>82.65000000000001</v>
      </c>
      <c r="G168" s="74" t="n"/>
      <c r="H168" s="74" t="inlineStr">
        <is>
          <t>Crédito</t>
        </is>
      </c>
      <c r="I168" s="74" t="inlineStr">
        <is>
          <t>Itaú Visa</t>
        </is>
      </c>
      <c r="J168" s="77" t="n"/>
      <c r="K168" s="77" t="n"/>
      <c r="L168" s="74" t="n"/>
      <c r="M168" s="74" t="n"/>
      <c r="O168" s="78">
        <f>IF($A168="","",YEAR($A168)*100+MONTH($A168))</f>
        <v/>
      </c>
      <c r="P168" s="79">
        <f>IF(OR($F168="",$D168=""),"",IF($D168="Receita",$F168,IF($D168="Transferência",0,-$F168)))</f>
        <v/>
      </c>
    </row>
    <row r="169">
      <c r="A169" s="73" t="n">
        <v>45787</v>
      </c>
      <c r="B169" s="74" t="inlineStr">
        <is>
          <t>Condomínio</t>
        </is>
      </c>
      <c r="C169" s="74" t="inlineStr">
        <is>
          <t>Condomínio e IPTU</t>
        </is>
      </c>
      <c r="D169" s="75">
        <f>IF($C169="","",IFERROR(INDEX(CAT_TIPO,MATCH($C169,CAT_NOME,0)),"Sem categoria"))</f>
        <v/>
      </c>
      <c r="E169" s="75">
        <f>IF($C169="","",IFERROR(INDEX(CAT_GRUPO,MATCH($C169,CAT_NOME,0)),"Sem categoria"))</f>
        <v/>
      </c>
      <c r="F169" s="76" t="n">
        <v>290</v>
      </c>
      <c r="G169" s="74" t="inlineStr">
        <is>
          <t>Conta Nubank</t>
        </is>
      </c>
      <c r="H169" s="74" t="inlineStr">
        <is>
          <t>Boleto</t>
        </is>
      </c>
      <c r="I169" s="74" t="n"/>
      <c r="J169" s="77" t="n"/>
      <c r="K169" s="77" t="n"/>
      <c r="L169" s="74" t="n"/>
      <c r="M169" s="74" t="n"/>
      <c r="O169" s="78">
        <f>IF($A169="","",YEAR($A169)*100+MONTH($A169))</f>
        <v/>
      </c>
      <c r="P169" s="79">
        <f>IF(OR($F169="",$D169=""),"",IF($D169="Receita",$F169,IF($D169="Transferência",0,-$F169)))</f>
        <v/>
      </c>
    </row>
    <row r="170">
      <c r="A170" s="73" t="n">
        <v>45787</v>
      </c>
      <c r="B170" s="74" t="inlineStr">
        <is>
          <t>Presente Dia das Mães</t>
        </is>
      </c>
      <c r="C170" s="74" t="inlineStr">
        <is>
          <t>Presentes e doações</t>
        </is>
      </c>
      <c r="D170" s="75">
        <f>IF($C170="","",IFERROR(INDEX(CAT_TIPO,MATCH($C170,CAT_NOME,0)),"Sem categoria"))</f>
        <v/>
      </c>
      <c r="E170" s="75">
        <f>IF($C170="","",IFERROR(INDEX(CAT_GRUPO,MATCH($C170,CAT_NOME,0)),"Sem categoria"))</f>
        <v/>
      </c>
      <c r="F170" s="76" t="n">
        <v>210</v>
      </c>
      <c r="G170" s="74" t="inlineStr">
        <is>
          <t>Conta Nubank</t>
        </is>
      </c>
      <c r="H170" s="74" t="inlineStr">
        <is>
          <t>Pix</t>
        </is>
      </c>
      <c r="I170" s="74" t="n"/>
      <c r="J170" s="77" t="n"/>
      <c r="K170" s="77" t="n"/>
      <c r="L170" s="74" t="n"/>
      <c r="M170" s="74" t="n"/>
      <c r="O170" s="78">
        <f>IF($A170="","",YEAR($A170)*100+MONTH($A170))</f>
        <v/>
      </c>
      <c r="P170" s="79">
        <f>IF(OR($F170="",$D170=""),"",IF($D170="Receita",$F170,IF($D170="Transferência",0,-$F170)))</f>
        <v/>
      </c>
    </row>
    <row r="171">
      <c r="A171" s="73" t="n">
        <v>45787</v>
      </c>
      <c r="B171" s="74" t="inlineStr">
        <is>
          <t>Supermercado</t>
        </is>
      </c>
      <c r="C171" s="74" t="inlineStr">
        <is>
          <t>Mercado</t>
        </is>
      </c>
      <c r="D171" s="75">
        <f>IF($C171="","",IFERROR(INDEX(CAT_TIPO,MATCH($C171,CAT_NOME,0)),"Sem categoria"))</f>
        <v/>
      </c>
      <c r="E171" s="75">
        <f>IF($C171="","",IFERROR(INDEX(CAT_GRUPO,MATCH($C171,CAT_NOME,0)),"Sem categoria"))</f>
        <v/>
      </c>
      <c r="F171" s="76" t="n">
        <v>152.62</v>
      </c>
      <c r="G171" s="74" t="inlineStr">
        <is>
          <t>Conta Nubank</t>
        </is>
      </c>
      <c r="H171" s="74" t="inlineStr">
        <is>
          <t>Débito</t>
        </is>
      </c>
      <c r="I171" s="74" t="n"/>
      <c r="J171" s="77" t="n"/>
      <c r="K171" s="77" t="n"/>
      <c r="L171" s="74" t="n"/>
      <c r="M171" s="74" t="n"/>
      <c r="O171" s="78">
        <f>IF($A171="","",YEAR($A171)*100+MONTH($A171))</f>
        <v/>
      </c>
      <c r="P171" s="79">
        <f>IF(OR($F171="",$D171=""),"",IF($D171="Receita",$F171,IF($D171="Transferência",0,-$F171)))</f>
        <v/>
      </c>
    </row>
    <row r="172">
      <c r="A172" s="73" t="n">
        <v>45788</v>
      </c>
      <c r="B172" s="74" t="inlineStr">
        <is>
          <t>Uber</t>
        </is>
      </c>
      <c r="C172" s="74" t="inlineStr">
        <is>
          <t>Transporte</t>
        </is>
      </c>
      <c r="D172" s="75">
        <f>IF($C172="","",IFERROR(INDEX(CAT_TIPO,MATCH($C172,CAT_NOME,0)),"Sem categoria"))</f>
        <v/>
      </c>
      <c r="E172" s="75">
        <f>IF($C172="","",IFERROR(INDEX(CAT_GRUPO,MATCH($C172,CAT_NOME,0)),"Sem categoria"))</f>
        <v/>
      </c>
      <c r="F172" s="76" t="n">
        <v>20.55</v>
      </c>
      <c r="G172" s="74" t="n"/>
      <c r="H172" s="74" t="inlineStr">
        <is>
          <t>Crédito</t>
        </is>
      </c>
      <c r="I172" s="74" t="inlineStr">
        <is>
          <t>Nubank Mastercard</t>
        </is>
      </c>
      <c r="J172" s="77" t="n"/>
      <c r="K172" s="77" t="n"/>
      <c r="L172" s="74" t="n"/>
      <c r="M172" s="74" t="n"/>
      <c r="O172" s="78">
        <f>IF($A172="","",YEAR($A172)*100+MONTH($A172))</f>
        <v/>
      </c>
      <c r="P172" s="79">
        <f>IF(OR($F172="",$D172=""),"",IF($D172="Receita",$F172,IF($D172="Transferência",0,-$F172)))</f>
        <v/>
      </c>
    </row>
    <row r="173">
      <c r="A173" s="73" t="n">
        <v>45789</v>
      </c>
      <c r="B173" s="74" t="inlineStr">
        <is>
          <t>Parcela do financiamento do carro</t>
        </is>
      </c>
      <c r="C173" s="74" t="inlineStr">
        <is>
          <t>Dívidas e parcelas</t>
        </is>
      </c>
      <c r="D173" s="75">
        <f>IF($C173="","",IFERROR(INDEX(CAT_TIPO,MATCH($C173,CAT_NOME,0)),"Sem categoria"))</f>
        <v/>
      </c>
      <c r="E173" s="75">
        <f>IF($C173="","",IFERROR(INDEX(CAT_GRUPO,MATCH($C173,CAT_NOME,0)),"Sem categoria"))</f>
        <v/>
      </c>
      <c r="F173" s="76" t="n">
        <v>560</v>
      </c>
      <c r="G173" s="74" t="inlineStr">
        <is>
          <t>Conta Nubank</t>
        </is>
      </c>
      <c r="H173" s="74" t="inlineStr">
        <is>
          <t>Boleto</t>
        </is>
      </c>
      <c r="I173" s="74" t="n"/>
      <c r="J173" s="77" t="inlineStr">
        <is>
          <t>17/48</t>
        </is>
      </c>
      <c r="K173" s="77" t="n"/>
      <c r="L173" s="74" t="n"/>
      <c r="M173" s="74" t="n"/>
      <c r="O173" s="78">
        <f>IF($A173="","",YEAR($A173)*100+MONTH($A173))</f>
        <v/>
      </c>
      <c r="P173" s="79">
        <f>IF(OR($F173="",$D173=""),"",IF($D173="Receita",$F173,IF($D173="Transferência",0,-$F173)))</f>
        <v/>
      </c>
    </row>
    <row r="174">
      <c r="A174" s="73" t="n">
        <v>45789</v>
      </c>
      <c r="B174" s="74" t="inlineStr">
        <is>
          <t>Seguro do carro</t>
        </is>
      </c>
      <c r="C174" s="74" t="inlineStr">
        <is>
          <t>Seguros</t>
        </is>
      </c>
      <c r="D174" s="75">
        <f>IF($C174="","",IFERROR(INDEX(CAT_TIPO,MATCH($C174,CAT_NOME,0)),"Sem categoria"))</f>
        <v/>
      </c>
      <c r="E174" s="75">
        <f>IF($C174="","",IFERROR(INDEX(CAT_GRUPO,MATCH($C174,CAT_NOME,0)),"Sem categoria"))</f>
        <v/>
      </c>
      <c r="F174" s="76" t="n">
        <v>140</v>
      </c>
      <c r="G174" s="74" t="inlineStr">
        <is>
          <t>Conta Nubank</t>
        </is>
      </c>
      <c r="H174" s="74" t="inlineStr">
        <is>
          <t>Débito automático</t>
        </is>
      </c>
      <c r="I174" s="74" t="n"/>
      <c r="J174" s="77" t="n"/>
      <c r="K174" s="77" t="n"/>
      <c r="L174" s="74" t="n"/>
      <c r="M174" s="74" t="n"/>
      <c r="O174" s="78">
        <f>IF($A174="","",YEAR($A174)*100+MONTH($A174))</f>
        <v/>
      </c>
      <c r="P174" s="79">
        <f>IF(OR($F174="",$D174=""),"",IF($D174="Receita",$F174,IF($D174="Transferência",0,-$F174)))</f>
        <v/>
      </c>
    </row>
    <row r="175">
      <c r="A175" s="73" t="n">
        <v>45790</v>
      </c>
      <c r="B175" s="74" t="inlineStr">
        <is>
          <t>Jantar fora</t>
        </is>
      </c>
      <c r="C175" s="74" t="inlineStr">
        <is>
          <t>Restaurantes e delivery</t>
        </is>
      </c>
      <c r="D175" s="75">
        <f>IF($C175="","",IFERROR(INDEX(CAT_TIPO,MATCH($C175,CAT_NOME,0)),"Sem categoria"))</f>
        <v/>
      </c>
      <c r="E175" s="75">
        <f>IF($C175="","",IFERROR(INDEX(CAT_GRUPO,MATCH($C175,CAT_NOME,0)),"Sem categoria"))</f>
        <v/>
      </c>
      <c r="F175" s="76" t="n">
        <v>102.49</v>
      </c>
      <c r="G175" s="74" t="n"/>
      <c r="H175" s="74" t="inlineStr">
        <is>
          <t>Crédito</t>
        </is>
      </c>
      <c r="I175" s="74" t="inlineStr">
        <is>
          <t>Nubank Mastercard</t>
        </is>
      </c>
      <c r="J175" s="77" t="n"/>
      <c r="K175" s="77" t="n"/>
      <c r="L175" s="74" t="n"/>
      <c r="M175" s="74" t="n"/>
      <c r="O175" s="78">
        <f>IF($A175="","",YEAR($A175)*100+MONTH($A175))</f>
        <v/>
      </c>
      <c r="P175" s="79">
        <f>IF(OR($F175="",$D175=""),"",IF($D175="Receita",$F175,IF($D175="Transferência",0,-$F175)))</f>
        <v/>
      </c>
    </row>
    <row r="176">
      <c r="A176" s="73" t="n">
        <v>45791</v>
      </c>
      <c r="B176" s="74" t="inlineStr">
        <is>
          <t>Conta de luz</t>
        </is>
      </c>
      <c r="C176" s="74" t="inlineStr">
        <is>
          <t>Contas da casa (luz, água, gás)</t>
        </is>
      </c>
      <c r="D176" s="75">
        <f>IF($C176="","",IFERROR(INDEX(CAT_TIPO,MATCH($C176,CAT_NOME,0)),"Sem categoria"))</f>
        <v/>
      </c>
      <c r="E176" s="75">
        <f>IF($C176="","",IFERROR(INDEX(CAT_GRUPO,MATCH($C176,CAT_NOME,0)),"Sem categoria"))</f>
        <v/>
      </c>
      <c r="F176" s="76" t="n">
        <v>123.43</v>
      </c>
      <c r="G176" s="74" t="inlineStr">
        <is>
          <t>Conta Nubank</t>
        </is>
      </c>
      <c r="H176" s="74" t="inlineStr">
        <is>
          <t>Débito automático</t>
        </is>
      </c>
      <c r="I176" s="74" t="n"/>
      <c r="J176" s="77" t="n"/>
      <c r="K176" s="77" t="n"/>
      <c r="L176" s="74" t="n"/>
      <c r="M176" s="74" t="n"/>
      <c r="O176" s="78">
        <f>IF($A176="","",YEAR($A176)*100+MONTH($A176))</f>
        <v/>
      </c>
      <c r="P176" s="79">
        <f>IF(OR($F176="",$D176=""),"",IF($D176="Receita",$F176,IF($D176="Transferência",0,-$F176)))</f>
        <v/>
      </c>
    </row>
    <row r="177">
      <c r="A177" s="73" t="n">
        <v>45792</v>
      </c>
      <c r="B177" s="74" t="inlineStr">
        <is>
          <t>Roupas e acessórios</t>
        </is>
      </c>
      <c r="C177" s="74" t="inlineStr">
        <is>
          <t>Compras pessoais</t>
        </is>
      </c>
      <c r="D177" s="75">
        <f>IF($C177="","",IFERROR(INDEX(CAT_TIPO,MATCH($C177,CAT_NOME,0)),"Sem categoria"))</f>
        <v/>
      </c>
      <c r="E177" s="75">
        <f>IF($C177="","",IFERROR(INDEX(CAT_GRUPO,MATCH($C177,CAT_NOME,0)),"Sem categoria"))</f>
        <v/>
      </c>
      <c r="F177" s="76" t="n">
        <v>150.05</v>
      </c>
      <c r="G177" s="74" t="n"/>
      <c r="H177" s="74" t="inlineStr">
        <is>
          <t>Crédito</t>
        </is>
      </c>
      <c r="I177" s="74" t="inlineStr">
        <is>
          <t>Nubank Mastercard</t>
        </is>
      </c>
      <c r="J177" s="77" t="n"/>
      <c r="K177" s="77" t="n"/>
      <c r="L177" s="74" t="n"/>
      <c r="M177" s="74" t="n"/>
      <c r="O177" s="78">
        <f>IF($A177="","",YEAR($A177)*100+MONTH($A177))</f>
        <v/>
      </c>
      <c r="P177" s="79">
        <f>IF(OR($F177="",$D177=""),"",IF($D177="Receita",$F177,IF($D177="Transferência",0,-$F177)))</f>
        <v/>
      </c>
    </row>
    <row r="178">
      <c r="A178" s="73" t="n">
        <v>45793</v>
      </c>
      <c r="B178" s="74" t="inlineStr">
        <is>
          <t>Combustível</t>
        </is>
      </c>
      <c r="C178" s="74" t="inlineStr">
        <is>
          <t>Transporte</t>
        </is>
      </c>
      <c r="D178" s="75">
        <f>IF($C178="","",IFERROR(INDEX(CAT_TIPO,MATCH($C178,CAT_NOME,0)),"Sem categoria"))</f>
        <v/>
      </c>
      <c r="E178" s="75">
        <f>IF($C178="","",IFERROR(INDEX(CAT_GRUPO,MATCH($C178,CAT_NOME,0)),"Sem categoria"))</f>
        <v/>
      </c>
      <c r="F178" s="76" t="n">
        <v>112.71</v>
      </c>
      <c r="G178" s="74" t="n"/>
      <c r="H178" s="74" t="inlineStr">
        <is>
          <t>Crédito</t>
        </is>
      </c>
      <c r="I178" s="74" t="inlineStr">
        <is>
          <t>Itaú Visa</t>
        </is>
      </c>
      <c r="J178" s="77" t="n"/>
      <c r="K178" s="77" t="n"/>
      <c r="L178" s="74" t="n"/>
      <c r="M178" s="74" t="n"/>
      <c r="O178" s="78">
        <f>IF($A178="","",YEAR($A178)*100+MONTH($A178))</f>
        <v/>
      </c>
      <c r="P178" s="79">
        <f>IF(OR($F178="",$D178=""),"",IF($D178="Receita",$F178,IF($D178="Transferência",0,-$F178)))</f>
        <v/>
      </c>
    </row>
    <row r="179">
      <c r="A179" s="73" t="n">
        <v>45794</v>
      </c>
      <c r="B179" s="74" t="inlineStr">
        <is>
          <t>Pagamento da fatura Itaú Visa</t>
        </is>
      </c>
      <c r="C179" s="74" t="inlineStr">
        <is>
          <t>Pagamento de fatura</t>
        </is>
      </c>
      <c r="D179" s="75">
        <f>IF($C179="","",IFERROR(INDEX(CAT_TIPO,MATCH($C179,CAT_NOME,0)),"Sem categoria"))</f>
        <v/>
      </c>
      <c r="E179" s="75">
        <f>IF($C179="","",IFERROR(INDEX(CAT_GRUPO,MATCH($C179,CAT_NOME,0)),"Sem categoria"))</f>
        <v/>
      </c>
      <c r="F179" s="76" t="n">
        <v>949.63</v>
      </c>
      <c r="G179" s="74" t="inlineStr">
        <is>
          <t>Conta Nubank</t>
        </is>
      </c>
      <c r="H179" s="74" t="inlineStr">
        <is>
          <t>Boleto</t>
        </is>
      </c>
      <c r="I179" s="74" t="inlineStr">
        <is>
          <t>Itaú Visa</t>
        </is>
      </c>
      <c r="J179" s="77" t="n"/>
      <c r="K179" s="77" t="n"/>
      <c r="L179" s="74" t="n"/>
      <c r="M179" s="74" t="n"/>
      <c r="O179" s="78">
        <f>IF($A179="","",YEAR($A179)*100+MONTH($A179))</f>
        <v/>
      </c>
      <c r="P179" s="79">
        <f>IF(OR($F179="",$D179=""),"",IF($D179="Receita",$F179,IF($D179="Transferência",0,-$F179)))</f>
        <v/>
      </c>
    </row>
    <row r="180">
      <c r="A180" s="73" t="n">
        <v>45794</v>
      </c>
      <c r="B180" s="74" t="inlineStr">
        <is>
          <t>Supermercado</t>
        </is>
      </c>
      <c r="C180" s="74" t="inlineStr">
        <is>
          <t>Mercado</t>
        </is>
      </c>
      <c r="D180" s="75">
        <f>IF($C180="","",IFERROR(INDEX(CAT_TIPO,MATCH($C180,CAT_NOME,0)),"Sem categoria"))</f>
        <v/>
      </c>
      <c r="E180" s="75">
        <f>IF($C180="","",IFERROR(INDEX(CAT_GRUPO,MATCH($C180,CAT_NOME,0)),"Sem categoria"))</f>
        <v/>
      </c>
      <c r="F180" s="76" t="n">
        <v>159.53</v>
      </c>
      <c r="G180" s="74" t="inlineStr">
        <is>
          <t>Conta Nubank</t>
        </is>
      </c>
      <c r="H180" s="74" t="inlineStr">
        <is>
          <t>Débito</t>
        </is>
      </c>
      <c r="I180" s="74" t="n"/>
      <c r="J180" s="77" t="n"/>
      <c r="K180" s="77" t="n"/>
      <c r="L180" s="74" t="n"/>
      <c r="M180" s="74" t="n"/>
      <c r="O180" s="78">
        <f>IF($A180="","",YEAR($A180)*100+MONTH($A180))</f>
        <v/>
      </c>
      <c r="P180" s="79">
        <f>IF(OR($F180="",$D180=""),"",IF($D180="Receita",$F180,IF($D180="Transferência",0,-$F180)))</f>
        <v/>
      </c>
    </row>
    <row r="181">
      <c r="A181" s="73" t="n">
        <v>45794</v>
      </c>
      <c r="B181" s="74" t="inlineStr">
        <is>
          <t>iCloud</t>
        </is>
      </c>
      <c r="C181" s="74" t="inlineStr">
        <is>
          <t>Assinaturas e streaming</t>
        </is>
      </c>
      <c r="D181" s="75">
        <f>IF($C181="","",IFERROR(INDEX(CAT_TIPO,MATCH($C181,CAT_NOME,0)),"Sem categoria"))</f>
        <v/>
      </c>
      <c r="E181" s="75">
        <f>IF($C181="","",IFERROR(INDEX(CAT_GRUPO,MATCH($C181,CAT_NOME,0)),"Sem categoria"))</f>
        <v/>
      </c>
      <c r="F181" s="76" t="n">
        <v>14.9</v>
      </c>
      <c r="G181" s="74" t="n"/>
      <c r="H181" s="74" t="inlineStr">
        <is>
          <t>Crédito</t>
        </is>
      </c>
      <c r="I181" s="74" t="inlineStr">
        <is>
          <t>Nubank Mastercard</t>
        </is>
      </c>
      <c r="J181" s="77" t="n"/>
      <c r="K181" s="77" t="n"/>
      <c r="L181" s="74" t="n"/>
      <c r="M181" s="74" t="n"/>
      <c r="O181" s="78">
        <f>IF($A181="","",YEAR($A181)*100+MONTH($A181))</f>
        <v/>
      </c>
      <c r="P181" s="79">
        <f>IF(OR($F181="",$D181=""),"",IF($D181="Receita",$F181,IF($D181="Transferência",0,-$F181)))</f>
        <v/>
      </c>
    </row>
    <row r="182">
      <c r="A182" s="73" t="n">
        <v>45795</v>
      </c>
      <c r="B182" s="74" t="inlineStr">
        <is>
          <t>Barbearia / salão</t>
        </is>
      </c>
      <c r="C182" s="74" t="inlineStr">
        <is>
          <t>Beleza e cuidados</t>
        </is>
      </c>
      <c r="D182" s="75">
        <f>IF($C182="","",IFERROR(INDEX(CAT_TIPO,MATCH($C182,CAT_NOME,0)),"Sem categoria"))</f>
        <v/>
      </c>
      <c r="E182" s="75">
        <f>IF($C182="","",IFERROR(INDEX(CAT_GRUPO,MATCH($C182,CAT_NOME,0)),"Sem categoria"))</f>
        <v/>
      </c>
      <c r="F182" s="76" t="n">
        <v>104.17</v>
      </c>
      <c r="G182" s="74" t="inlineStr">
        <is>
          <t>Conta Nubank</t>
        </is>
      </c>
      <c r="H182" s="74" t="inlineStr">
        <is>
          <t>Pix</t>
        </is>
      </c>
      <c r="I182" s="74" t="n"/>
      <c r="J182" s="77" t="n"/>
      <c r="K182" s="77" t="n"/>
      <c r="L182" s="74" t="n"/>
      <c r="M182" s="74" t="n"/>
      <c r="O182" s="78">
        <f>IF($A182="","",YEAR($A182)*100+MONTH($A182))</f>
        <v/>
      </c>
      <c r="P182" s="79">
        <f>IF(OR($F182="",$D182=""),"",IF($D182="Receita",$F182,IF($D182="Transferência",0,-$F182)))</f>
        <v/>
      </c>
    </row>
    <row r="183">
      <c r="A183" s="73" t="n">
        <v>45795</v>
      </c>
      <c r="B183" s="74" t="inlineStr">
        <is>
          <t>Conta de água</t>
        </is>
      </c>
      <c r="C183" s="74" t="inlineStr">
        <is>
          <t>Contas da casa (luz, água, gás)</t>
        </is>
      </c>
      <c r="D183" s="75">
        <f>IF($C183="","",IFERROR(INDEX(CAT_TIPO,MATCH($C183,CAT_NOME,0)),"Sem categoria"))</f>
        <v/>
      </c>
      <c r="E183" s="75">
        <f>IF($C183="","",IFERROR(INDEX(CAT_GRUPO,MATCH($C183,CAT_NOME,0)),"Sem categoria"))</f>
        <v/>
      </c>
      <c r="F183" s="76" t="n">
        <v>71.31999999999999</v>
      </c>
      <c r="G183" s="74" t="inlineStr">
        <is>
          <t>Conta Nubank</t>
        </is>
      </c>
      <c r="H183" s="74" t="inlineStr">
        <is>
          <t>Débito automático</t>
        </is>
      </c>
      <c r="I183" s="74" t="n"/>
      <c r="J183" s="77" t="n"/>
      <c r="K183" s="77" t="n"/>
      <c r="L183" s="74" t="n"/>
      <c r="M183" s="74" t="n"/>
      <c r="O183" s="78">
        <f>IF($A183="","",YEAR($A183)*100+MONTH($A183))</f>
        <v/>
      </c>
      <c r="P183" s="79">
        <f>IF(OR($F183="",$D183=""),"",IF($D183="Receita",$F183,IF($D183="Transferência",0,-$F183)))</f>
        <v/>
      </c>
    </row>
    <row r="184">
      <c r="A184" s="73" t="n">
        <v>45796</v>
      </c>
      <c r="B184" s="74" t="inlineStr">
        <is>
          <t>iFood</t>
        </is>
      </c>
      <c r="C184" s="74" t="inlineStr">
        <is>
          <t>Restaurantes e delivery</t>
        </is>
      </c>
      <c r="D184" s="75">
        <f>IF($C184="","",IFERROR(INDEX(CAT_TIPO,MATCH($C184,CAT_NOME,0)),"Sem categoria"))</f>
        <v/>
      </c>
      <c r="E184" s="75">
        <f>IF($C184="","",IFERROR(INDEX(CAT_GRUPO,MATCH($C184,CAT_NOME,0)),"Sem categoria"))</f>
        <v/>
      </c>
      <c r="F184" s="76" t="n">
        <v>47.06</v>
      </c>
      <c r="G184" s="74" t="n"/>
      <c r="H184" s="74" t="inlineStr">
        <is>
          <t>Crédito</t>
        </is>
      </c>
      <c r="I184" s="74" t="inlineStr">
        <is>
          <t>Nubank Mastercard</t>
        </is>
      </c>
      <c r="J184" s="77" t="n"/>
      <c r="K184" s="77" t="n"/>
      <c r="L184" s="74" t="n"/>
      <c r="M184" s="74" t="n"/>
      <c r="O184" s="78">
        <f>IF($A184="","",YEAR($A184)*100+MONTH($A184))</f>
        <v/>
      </c>
      <c r="P184" s="79">
        <f>IF(OR($F184="",$D184=""),"",IF($D184="Receita",$F184,IF($D184="Transferência",0,-$F184)))</f>
        <v/>
      </c>
    </row>
    <row r="185">
      <c r="A185" s="73" t="n">
        <v>45797</v>
      </c>
      <c r="B185" s="74" t="inlineStr">
        <is>
          <t>Internet fibra</t>
        </is>
      </c>
      <c r="C185" s="74" t="inlineStr">
        <is>
          <t>Internet e celular</t>
        </is>
      </c>
      <c r="D185" s="75">
        <f>IF($C185="","",IFERROR(INDEX(CAT_TIPO,MATCH($C185,CAT_NOME,0)),"Sem categoria"))</f>
        <v/>
      </c>
      <c r="E185" s="75">
        <f>IF($C185="","",IFERROR(INDEX(CAT_GRUPO,MATCH($C185,CAT_NOME,0)),"Sem categoria"))</f>
        <v/>
      </c>
      <c r="F185" s="76" t="n">
        <v>119.9</v>
      </c>
      <c r="G185" s="74" t="inlineStr">
        <is>
          <t>Conta Nubank</t>
        </is>
      </c>
      <c r="H185" s="74" t="inlineStr">
        <is>
          <t>Débito automático</t>
        </is>
      </c>
      <c r="I185" s="74" t="n"/>
      <c r="J185" s="77" t="n"/>
      <c r="K185" s="77" t="n"/>
      <c r="L185" s="74" t="n"/>
      <c r="M185" s="74" t="n"/>
      <c r="O185" s="78">
        <f>IF($A185="","",YEAR($A185)*100+MONTH($A185))</f>
        <v/>
      </c>
      <c r="P185" s="79">
        <f>IF(OR($F185="",$D185=""),"",IF($D185="Receita",$F185,IF($D185="Transferência",0,-$F185)))</f>
        <v/>
      </c>
    </row>
    <row r="186">
      <c r="A186" s="73" t="n">
        <v>45797</v>
      </c>
      <c r="B186" s="74" t="inlineStr">
        <is>
          <t>Projeto freelance</t>
        </is>
      </c>
      <c r="C186" s="74" t="inlineStr">
        <is>
          <t>Renda extra e freelance</t>
        </is>
      </c>
      <c r="D186" s="75">
        <f>IF($C186="","",IFERROR(INDEX(CAT_TIPO,MATCH($C186,CAT_NOME,0)),"Sem categoria"))</f>
        <v/>
      </c>
      <c r="E186" s="75">
        <f>IF($C186="","",IFERROR(INDEX(CAT_GRUPO,MATCH($C186,CAT_NOME,0)),"Sem categoria"))</f>
        <v/>
      </c>
      <c r="F186" s="76" t="n">
        <v>1500</v>
      </c>
      <c r="G186" s="74" t="inlineStr">
        <is>
          <t>Conta Nubank</t>
        </is>
      </c>
      <c r="H186" s="74" t="inlineStr">
        <is>
          <t>Pix</t>
        </is>
      </c>
      <c r="I186" s="74" t="n"/>
      <c r="J186" s="77" t="n"/>
      <c r="K186" s="77" t="n"/>
      <c r="L186" s="74" t="n"/>
      <c r="M186" s="74" t="n"/>
      <c r="O186" s="78">
        <f>IF($A186="","",YEAR($A186)*100+MONTH($A186))</f>
        <v/>
      </c>
      <c r="P186" s="79">
        <f>IF(OR($F186="",$D186=""),"",IF($D186="Receita",$F186,IF($D186="Transferência",0,-$F186)))</f>
        <v/>
      </c>
    </row>
    <row r="187">
      <c r="A187" s="73" t="n">
        <v>45798</v>
      </c>
      <c r="B187" s="74" t="inlineStr">
        <is>
          <t>Uber</t>
        </is>
      </c>
      <c r="C187" s="74" t="inlineStr">
        <is>
          <t>Transporte</t>
        </is>
      </c>
      <c r="D187" s="75">
        <f>IF($C187="","",IFERROR(INDEX(CAT_TIPO,MATCH($C187,CAT_NOME,0)),"Sem categoria"))</f>
        <v/>
      </c>
      <c r="E187" s="75">
        <f>IF($C187="","",IFERROR(INDEX(CAT_GRUPO,MATCH($C187,CAT_NOME,0)),"Sem categoria"))</f>
        <v/>
      </c>
      <c r="F187" s="76" t="n">
        <v>18.83</v>
      </c>
      <c r="G187" s="74" t="n"/>
      <c r="H187" s="74" t="inlineStr">
        <is>
          <t>Crédito</t>
        </is>
      </c>
      <c r="I187" s="74" t="inlineStr">
        <is>
          <t>Nubank Mastercard</t>
        </is>
      </c>
      <c r="J187" s="77" t="n"/>
      <c r="K187" s="77" t="n"/>
      <c r="L187" s="74" t="n"/>
      <c r="M187" s="74" t="n"/>
      <c r="O187" s="78">
        <f>IF($A187="","",YEAR($A187)*100+MONTH($A187))</f>
        <v/>
      </c>
      <c r="P187" s="79">
        <f>IF(OR($F187="",$D187=""),"",IF($D187="Receita",$F187,IF($D187="Transferência",0,-$F187)))</f>
        <v/>
      </c>
    </row>
    <row r="188">
      <c r="A188" s="73" t="n">
        <v>45799</v>
      </c>
      <c r="B188" s="74" t="inlineStr">
        <is>
          <t>Plano de celular</t>
        </is>
      </c>
      <c r="C188" s="74" t="inlineStr">
        <is>
          <t>Internet e celular</t>
        </is>
      </c>
      <c r="D188" s="75">
        <f>IF($C188="","",IFERROR(INDEX(CAT_TIPO,MATCH($C188,CAT_NOME,0)),"Sem categoria"))</f>
        <v/>
      </c>
      <c r="E188" s="75">
        <f>IF($C188="","",IFERROR(INDEX(CAT_GRUPO,MATCH($C188,CAT_NOME,0)),"Sem categoria"))</f>
        <v/>
      </c>
      <c r="F188" s="76" t="n">
        <v>59.9</v>
      </c>
      <c r="G188" s="74" t="inlineStr">
        <is>
          <t>Conta Nubank</t>
        </is>
      </c>
      <c r="H188" s="74" t="inlineStr">
        <is>
          <t>Débito automático</t>
        </is>
      </c>
      <c r="I188" s="74" t="n"/>
      <c r="J188" s="77" t="n"/>
      <c r="K188" s="77" t="n"/>
      <c r="L188" s="74" t="n"/>
      <c r="M188" s="74" t="n"/>
      <c r="O188" s="78">
        <f>IF($A188="","",YEAR($A188)*100+MONTH($A188))</f>
        <v/>
      </c>
      <c r="P188" s="79">
        <f>IF(OR($F188="",$D188=""),"",IF($D188="Receita",$F188,IF($D188="Transferência",0,-$F188)))</f>
        <v/>
      </c>
    </row>
    <row r="189">
      <c r="A189" s="73" t="n">
        <v>45800</v>
      </c>
      <c r="B189" s="74" t="inlineStr">
        <is>
          <t>Cinema e passeios</t>
        </is>
      </c>
      <c r="C189" s="74" t="inlineStr">
        <is>
          <t>Lazer e entretenimento</t>
        </is>
      </c>
      <c r="D189" s="75">
        <f>IF($C189="","",IFERROR(INDEX(CAT_TIPO,MATCH($C189,CAT_NOME,0)),"Sem categoria"))</f>
        <v/>
      </c>
      <c r="E189" s="75">
        <f>IF($C189="","",IFERROR(INDEX(CAT_GRUPO,MATCH($C189,CAT_NOME,0)),"Sem categoria"))</f>
        <v/>
      </c>
      <c r="F189" s="76" t="n">
        <v>50.92</v>
      </c>
      <c r="G189" s="74" t="n"/>
      <c r="H189" s="74" t="inlineStr">
        <is>
          <t>Crédito</t>
        </is>
      </c>
      <c r="I189" s="74" t="inlineStr">
        <is>
          <t>Itaú Visa</t>
        </is>
      </c>
      <c r="J189" s="77" t="n"/>
      <c r="K189" s="77" t="n"/>
      <c r="L189" s="74" t="n"/>
      <c r="M189" s="74" t="n"/>
      <c r="O189" s="78">
        <f>IF($A189="","",YEAR($A189)*100+MONTH($A189))</f>
        <v/>
      </c>
      <c r="P189" s="79">
        <f>IF(OR($F189="",$D189=""),"",IF($D189="Receita",$F189,IF($D189="Transferência",0,-$F189)))</f>
        <v/>
      </c>
    </row>
    <row r="190">
      <c r="A190" s="73" t="n">
        <v>45801</v>
      </c>
      <c r="B190" s="74" t="inlineStr">
        <is>
          <t>Supermercado</t>
        </is>
      </c>
      <c r="C190" s="74" t="inlineStr">
        <is>
          <t>Mercado</t>
        </is>
      </c>
      <c r="D190" s="75">
        <f>IF($C190="","",IFERROR(INDEX(CAT_TIPO,MATCH($C190,CAT_NOME,0)),"Sem categoria"))</f>
        <v/>
      </c>
      <c r="E190" s="75">
        <f>IF($C190="","",IFERROR(INDEX(CAT_GRUPO,MATCH($C190,CAT_NOME,0)),"Sem categoria"))</f>
        <v/>
      </c>
      <c r="F190" s="76" t="n">
        <v>141.3</v>
      </c>
      <c r="G190" s="74" t="inlineStr">
        <is>
          <t>Conta Nubank</t>
        </is>
      </c>
      <c r="H190" s="74" t="inlineStr">
        <is>
          <t>Débito</t>
        </is>
      </c>
      <c r="I190" s="74" t="n"/>
      <c r="J190" s="77" t="n"/>
      <c r="K190" s="77" t="n"/>
      <c r="L190" s="74" t="n"/>
      <c r="M190" s="74" t="n"/>
      <c r="O190" s="78">
        <f>IF($A190="","",YEAR($A190)*100+MONTH($A190))</f>
        <v/>
      </c>
      <c r="P190" s="79">
        <f>IF(OR($F190="",$D190=""),"",IF($D190="Receita",$F190,IF($D190="Transferência",0,-$F190)))</f>
        <v/>
      </c>
    </row>
    <row r="191">
      <c r="A191" s="73" t="n">
        <v>45803</v>
      </c>
      <c r="B191" s="74" t="inlineStr">
        <is>
          <t>Combustível</t>
        </is>
      </c>
      <c r="C191" s="74" t="inlineStr">
        <is>
          <t>Transporte</t>
        </is>
      </c>
      <c r="D191" s="75">
        <f>IF($C191="","",IFERROR(INDEX(CAT_TIPO,MATCH($C191,CAT_NOME,0)),"Sem categoria"))</f>
        <v/>
      </c>
      <c r="E191" s="75">
        <f>IF($C191="","",IFERROR(INDEX(CAT_GRUPO,MATCH($C191,CAT_NOME,0)),"Sem categoria"))</f>
        <v/>
      </c>
      <c r="F191" s="76" t="n">
        <v>99.95</v>
      </c>
      <c r="G191" s="74" t="n"/>
      <c r="H191" s="74" t="inlineStr">
        <is>
          <t>Crédito</t>
        </is>
      </c>
      <c r="I191" s="74" t="inlineStr">
        <is>
          <t>Itaú Visa</t>
        </is>
      </c>
      <c r="J191" s="77" t="n"/>
      <c r="K191" s="77" t="n"/>
      <c r="L191" s="74" t="n"/>
      <c r="M191" s="74" t="n"/>
      <c r="O191" s="78">
        <f>IF($A191="","",YEAR($A191)*100+MONTH($A191))</f>
        <v/>
      </c>
      <c r="P191" s="79">
        <f>IF(OR($F191="",$D191=""),"",IF($D191="Receita",$F191,IF($D191="Transferência",0,-$F191)))</f>
        <v/>
      </c>
    </row>
    <row r="192">
      <c r="A192" s="73" t="n">
        <v>45804</v>
      </c>
      <c r="B192" s="74" t="inlineStr">
        <is>
          <t>Almoço de domingo</t>
        </is>
      </c>
      <c r="C192" s="74" t="inlineStr">
        <is>
          <t>Restaurantes e delivery</t>
        </is>
      </c>
      <c r="D192" s="75">
        <f>IF($C192="","",IFERROR(INDEX(CAT_TIPO,MATCH($C192,CAT_NOME,0)),"Sem categoria"))</f>
        <v/>
      </c>
      <c r="E192" s="75">
        <f>IF($C192="","",IFERROR(INDEX(CAT_GRUPO,MATCH($C192,CAT_NOME,0)),"Sem categoria"))</f>
        <v/>
      </c>
      <c r="F192" s="76" t="n">
        <v>87.12</v>
      </c>
      <c r="G192" s="74" t="n"/>
      <c r="H192" s="74" t="inlineStr">
        <is>
          <t>Crédito</t>
        </is>
      </c>
      <c r="I192" s="74" t="inlineStr">
        <is>
          <t>Nubank Mastercard</t>
        </is>
      </c>
      <c r="J192" s="77" t="n"/>
      <c r="K192" s="77" t="n"/>
      <c r="L192" s="74" t="n"/>
      <c r="M192" s="74" t="n"/>
      <c r="O192" s="78">
        <f>IF($A192="","",YEAR($A192)*100+MONTH($A192))</f>
        <v/>
      </c>
      <c r="P192" s="79">
        <f>IF(OR($F192="",$D192=""),"",IF($D192="Receita",$F192,IF($D192="Transferência",0,-$F192)))</f>
        <v/>
      </c>
    </row>
    <row r="193">
      <c r="A193" s="73" t="n">
        <v>45805</v>
      </c>
      <c r="B193" s="74" t="inlineStr">
        <is>
          <t>Aporte em renda fixa</t>
        </is>
      </c>
      <c r="C193" s="74" t="inlineStr">
        <is>
          <t>Investimentos</t>
        </is>
      </c>
      <c r="D193" s="75">
        <f>IF($C193="","",IFERROR(INDEX(CAT_TIPO,MATCH($C193,CAT_NOME,0)),"Sem categoria"))</f>
        <v/>
      </c>
      <c r="E193" s="75">
        <f>IF($C193="","",IFERROR(INDEX(CAT_GRUPO,MATCH($C193,CAT_NOME,0)),"Sem categoria"))</f>
        <v/>
      </c>
      <c r="F193" s="76" t="n">
        <v>250</v>
      </c>
      <c r="G193" s="74" t="inlineStr">
        <is>
          <t>Conta Nubank</t>
        </is>
      </c>
      <c r="H193" s="74" t="inlineStr">
        <is>
          <t>Transferência</t>
        </is>
      </c>
      <c r="I193" s="74" t="n"/>
      <c r="J193" s="77" t="n"/>
      <c r="K193" s="77" t="n"/>
      <c r="L193" s="74" t="inlineStr">
        <is>
          <t>Corretora</t>
        </is>
      </c>
      <c r="M193" s="74" t="n"/>
      <c r="O193" s="78">
        <f>IF($A193="","",YEAR($A193)*100+MONTH($A193))</f>
        <v/>
      </c>
      <c r="P193" s="79">
        <f>IF(OR($F193="",$D193=""),"",IF($D193="Receita",$F193,IF($D193="Transferência",0,-$F193)))</f>
        <v/>
      </c>
    </row>
    <row r="194">
      <c r="A194" s="73" t="n">
        <v>45805</v>
      </c>
      <c r="B194" s="74" t="inlineStr">
        <is>
          <t>Cofrinho da viagem</t>
        </is>
      </c>
      <c r="C194" s="74" t="inlineStr">
        <is>
          <t>Metas e sonhos</t>
        </is>
      </c>
      <c r="D194" s="75">
        <f>IF($C194="","",IFERROR(INDEX(CAT_TIPO,MATCH($C194,CAT_NOME,0)),"Sem categoria"))</f>
        <v/>
      </c>
      <c r="E194" s="75">
        <f>IF($C194="","",IFERROR(INDEX(CAT_GRUPO,MATCH($C194,CAT_NOME,0)),"Sem categoria"))</f>
        <v/>
      </c>
      <c r="F194" s="76" t="n">
        <v>150</v>
      </c>
      <c r="G194" s="74" t="inlineStr">
        <is>
          <t>Conta Nubank</t>
        </is>
      </c>
      <c r="H194" s="74" t="inlineStr">
        <is>
          <t>Transferência</t>
        </is>
      </c>
      <c r="I194" s="74" t="n"/>
      <c r="J194" s="77" t="n"/>
      <c r="K194" s="77" t="n"/>
      <c r="L194" s="74" t="inlineStr">
        <is>
          <t>Cofrinho viagem</t>
        </is>
      </c>
      <c r="M194" s="74" t="n"/>
      <c r="O194" s="78">
        <f>IF($A194="","",YEAR($A194)*100+MONTH($A194))</f>
        <v/>
      </c>
      <c r="P194" s="79">
        <f>IF(OR($F194="",$D194=""),"",IF($D194="Receita",$F194,IF($D194="Transferência",0,-$F194)))</f>
        <v/>
      </c>
    </row>
    <row r="195">
      <c r="A195" s="73" t="n">
        <v>45805</v>
      </c>
      <c r="B195" s="74" t="inlineStr">
        <is>
          <t>Rendimento da renda fixa</t>
        </is>
      </c>
      <c r="C195" s="74" t="inlineStr">
        <is>
          <t>Rendimentos de investimentos</t>
        </is>
      </c>
      <c r="D195" s="75">
        <f>IF($C195="","",IFERROR(INDEX(CAT_TIPO,MATCH($C195,CAT_NOME,0)),"Sem categoria"))</f>
        <v/>
      </c>
      <c r="E195" s="75">
        <f>IF($C195="","",IFERROR(INDEX(CAT_GRUPO,MATCH($C195,CAT_NOME,0)),"Sem categoria"))</f>
        <v/>
      </c>
      <c r="F195" s="76" t="n">
        <v>72.48999999999999</v>
      </c>
      <c r="G195" s="74" t="inlineStr">
        <is>
          <t>Corretora</t>
        </is>
      </c>
      <c r="H195" s="74" t="inlineStr">
        <is>
          <t>Transferência</t>
        </is>
      </c>
      <c r="I195" s="74" t="n"/>
      <c r="J195" s="77" t="n"/>
      <c r="K195" s="77" t="n"/>
      <c r="L195" s="74" t="n"/>
      <c r="M195" s="74" t="n"/>
      <c r="O195" s="78">
        <f>IF($A195="","",YEAR($A195)*100+MONTH($A195))</f>
        <v/>
      </c>
      <c r="P195" s="79">
        <f>IF(OR($F195="",$D195=""),"",IF($D195="Receita",$F195,IF($D195="Transferência",0,-$F195)))</f>
        <v/>
      </c>
    </row>
    <row r="196">
      <c r="A196" s="73" t="n">
        <v>45805</v>
      </c>
      <c r="B196" s="74" t="inlineStr">
        <is>
          <t>Reserva de emergência</t>
        </is>
      </c>
      <c r="C196" s="74" t="inlineStr">
        <is>
          <t>Reserva de emergência</t>
        </is>
      </c>
      <c r="D196" s="75">
        <f>IF($C196="","",IFERROR(INDEX(CAT_TIPO,MATCH($C196,CAT_NOME,0)),"Sem categoria"))</f>
        <v/>
      </c>
      <c r="E196" s="75">
        <f>IF($C196="","",IFERROR(INDEX(CAT_GRUPO,MATCH($C196,CAT_NOME,0)),"Sem categoria"))</f>
        <v/>
      </c>
      <c r="F196" s="76" t="n">
        <v>400</v>
      </c>
      <c r="G196" s="74" t="inlineStr">
        <is>
          <t>Conta Nubank</t>
        </is>
      </c>
      <c r="H196" s="74" t="inlineStr">
        <is>
          <t>Transferência</t>
        </is>
      </c>
      <c r="I196" s="74" t="n"/>
      <c r="J196" s="77" t="n"/>
      <c r="K196" s="77" t="n"/>
      <c r="L196" s="74" t="inlineStr">
        <is>
          <t>Poupança Caixa</t>
        </is>
      </c>
      <c r="M196" s="74" t="n"/>
      <c r="O196" s="78">
        <f>IF($A196="","",YEAR($A196)*100+MONTH($A196))</f>
        <v/>
      </c>
      <c r="P196" s="79">
        <f>IF(OR($F196="",$D196=""),"",IF($D196="Receita",$F196,IF($D196="Transferência",0,-$F196)))</f>
        <v/>
      </c>
    </row>
    <row r="197">
      <c r="A197" s="73" t="n">
        <v>45811</v>
      </c>
      <c r="B197" s="74" t="inlineStr">
        <is>
          <t>Netflix</t>
        </is>
      </c>
      <c r="C197" s="74" t="inlineStr">
        <is>
          <t>Assinaturas e streaming</t>
        </is>
      </c>
      <c r="D197" s="75">
        <f>IF($C197="","",IFERROR(INDEX(CAT_TIPO,MATCH($C197,CAT_NOME,0)),"Sem categoria"))</f>
        <v/>
      </c>
      <c r="E197" s="75">
        <f>IF($C197="","",IFERROR(INDEX(CAT_GRUPO,MATCH($C197,CAT_NOME,0)),"Sem categoria"))</f>
        <v/>
      </c>
      <c r="F197" s="76" t="n">
        <v>55.9</v>
      </c>
      <c r="G197" s="74" t="n"/>
      <c r="H197" s="74" t="inlineStr">
        <is>
          <t>Crédito</t>
        </is>
      </c>
      <c r="I197" s="74" t="inlineStr">
        <is>
          <t>Nubank Mastercard</t>
        </is>
      </c>
      <c r="J197" s="77" t="n"/>
      <c r="K197" s="77" t="n"/>
      <c r="L197" s="74" t="n"/>
      <c r="M197" s="74" t="n"/>
      <c r="O197" s="78">
        <f>IF($A197="","",YEAR($A197)*100+MONTH($A197))</f>
        <v/>
      </c>
      <c r="P197" s="79">
        <f>IF(OR($F197="",$D197=""),"",IF($D197="Receita",$F197,IF($D197="Transferência",0,-$F197)))</f>
        <v/>
      </c>
    </row>
    <row r="198">
      <c r="A198" s="73" t="n">
        <v>45811</v>
      </c>
      <c r="B198" s="74" t="inlineStr">
        <is>
          <t>Supermercado</t>
        </is>
      </c>
      <c r="C198" s="74" t="inlineStr">
        <is>
          <t>Mercado</t>
        </is>
      </c>
      <c r="D198" s="75">
        <f>IF($C198="","",IFERROR(INDEX(CAT_TIPO,MATCH($C198,CAT_NOME,0)),"Sem categoria"))</f>
        <v/>
      </c>
      <c r="E198" s="75">
        <f>IF($C198="","",IFERROR(INDEX(CAT_GRUPO,MATCH($C198,CAT_NOME,0)),"Sem categoria"))</f>
        <v/>
      </c>
      <c r="F198" s="76" t="n">
        <v>160.52</v>
      </c>
      <c r="G198" s="74" t="inlineStr">
        <is>
          <t>Conta Nubank</t>
        </is>
      </c>
      <c r="H198" s="74" t="inlineStr">
        <is>
          <t>Débito</t>
        </is>
      </c>
      <c r="I198" s="74" t="n"/>
      <c r="J198" s="77" t="n"/>
      <c r="K198" s="77" t="n"/>
      <c r="L198" s="74" t="n"/>
      <c r="M198" s="74" t="n"/>
      <c r="O198" s="78">
        <f>IF($A198="","",YEAR($A198)*100+MONTH($A198))</f>
        <v/>
      </c>
      <c r="P198" s="79">
        <f>IF(OR($F198="",$D198=""),"",IF($D198="Receita",$F198,IF($D198="Transferência",0,-$F198)))</f>
        <v/>
      </c>
    </row>
    <row r="199">
      <c r="A199" s="73" t="n">
        <v>45812</v>
      </c>
      <c r="B199" s="74" t="inlineStr">
        <is>
          <t>Spotify</t>
        </is>
      </c>
      <c r="C199" s="74" t="inlineStr">
        <is>
          <t>Assinaturas e streaming</t>
        </is>
      </c>
      <c r="D199" s="75">
        <f>IF($C199="","",IFERROR(INDEX(CAT_TIPO,MATCH($C199,CAT_NOME,0)),"Sem categoria"))</f>
        <v/>
      </c>
      <c r="E199" s="75">
        <f>IF($C199="","",IFERROR(INDEX(CAT_GRUPO,MATCH($C199,CAT_NOME,0)),"Sem categoria"))</f>
        <v/>
      </c>
      <c r="F199" s="76" t="n">
        <v>23.9</v>
      </c>
      <c r="G199" s="74" t="n"/>
      <c r="H199" s="74" t="inlineStr">
        <is>
          <t>Crédito</t>
        </is>
      </c>
      <c r="I199" s="74" t="inlineStr">
        <is>
          <t>Nubank Mastercard</t>
        </is>
      </c>
      <c r="J199" s="77" t="n"/>
      <c r="K199" s="77" t="n"/>
      <c r="L199" s="74" t="n"/>
      <c r="M199" s="74" t="n"/>
      <c r="O199" s="78">
        <f>IF($A199="","",YEAR($A199)*100+MONTH($A199))</f>
        <v/>
      </c>
      <c r="P199" s="79">
        <f>IF(OR($F199="",$D199=""),"",IF($D199="Receita",$F199,IF($D199="Transferência",0,-$F199)))</f>
        <v/>
      </c>
    </row>
    <row r="200">
      <c r="A200" s="73" t="n">
        <v>45813</v>
      </c>
      <c r="B200" s="74" t="inlineStr">
        <is>
          <t>Academia</t>
        </is>
      </c>
      <c r="C200" s="74" t="inlineStr">
        <is>
          <t>Assinaturas e streaming</t>
        </is>
      </c>
      <c r="D200" s="75">
        <f>IF($C200="","",IFERROR(INDEX(CAT_TIPO,MATCH($C200,CAT_NOME,0)),"Sem categoria"))</f>
        <v/>
      </c>
      <c r="E200" s="75">
        <f>IF($C200="","",IFERROR(INDEX(CAT_GRUPO,MATCH($C200,CAT_NOME,0)),"Sem categoria"))</f>
        <v/>
      </c>
      <c r="F200" s="76" t="n">
        <v>119.9</v>
      </c>
      <c r="G200" s="74" t="n"/>
      <c r="H200" s="74" t="inlineStr">
        <is>
          <t>Crédito</t>
        </is>
      </c>
      <c r="I200" s="74" t="inlineStr">
        <is>
          <t>Nubank Mastercard</t>
        </is>
      </c>
      <c r="J200" s="77" t="n"/>
      <c r="K200" s="77" t="n"/>
      <c r="L200" s="74" t="n"/>
      <c r="M200" s="74" t="n"/>
      <c r="O200" s="78">
        <f>IF($A200="","",YEAR($A200)*100+MONTH($A200))</f>
        <v/>
      </c>
      <c r="P200" s="79">
        <f>IF(OR($F200="",$D200=""),"",IF($D200="Receita",$F200,IF($D200="Transferência",0,-$F200)))</f>
        <v/>
      </c>
    </row>
    <row r="201">
      <c r="A201" s="73" t="n">
        <v>45813</v>
      </c>
      <c r="B201" s="74" t="inlineStr">
        <is>
          <t>Pagamento da fatura Nubank Mastercard</t>
        </is>
      </c>
      <c r="C201" s="74" t="inlineStr">
        <is>
          <t>Pagamento de fatura</t>
        </is>
      </c>
      <c r="D201" s="75">
        <f>IF($C201="","",IFERROR(INDEX(CAT_TIPO,MATCH($C201,CAT_NOME,0)),"Sem categoria"))</f>
        <v/>
      </c>
      <c r="E201" s="75">
        <f>IF($C201="","",IFERROR(INDEX(CAT_GRUPO,MATCH($C201,CAT_NOME,0)),"Sem categoria"))</f>
        <v/>
      </c>
      <c r="F201" s="76" t="n">
        <v>777.28</v>
      </c>
      <c r="G201" s="74" t="inlineStr">
        <is>
          <t>Conta Nubank</t>
        </is>
      </c>
      <c r="H201" s="74" t="inlineStr">
        <is>
          <t>Boleto</t>
        </is>
      </c>
      <c r="I201" s="74" t="inlineStr">
        <is>
          <t>Nubank Mastercard</t>
        </is>
      </c>
      <c r="J201" s="77" t="n"/>
      <c r="K201" s="77" t="n"/>
      <c r="L201" s="74" t="n"/>
      <c r="M201" s="74" t="n"/>
      <c r="O201" s="78">
        <f>IF($A201="","",YEAR($A201)*100+MONTH($A201))</f>
        <v/>
      </c>
      <c r="P201" s="79">
        <f>IF(OR($F201="",$D201=""),"",IF($D201="Receita",$F201,IF($D201="Transferência",0,-$F201)))</f>
        <v/>
      </c>
    </row>
    <row r="202">
      <c r="A202" s="73" t="n">
        <v>45813</v>
      </c>
      <c r="B202" s="74" t="inlineStr">
        <is>
          <t>Salário</t>
        </is>
      </c>
      <c r="C202" s="74" t="inlineStr">
        <is>
          <t>Salário</t>
        </is>
      </c>
      <c r="D202" s="75">
        <f>IF($C202="","",IFERROR(INDEX(CAT_TIPO,MATCH($C202,CAT_NOME,0)),"Sem categoria"))</f>
        <v/>
      </c>
      <c r="E202" s="75">
        <f>IF($C202="","",IFERROR(INDEX(CAT_GRUPO,MATCH($C202,CAT_NOME,0)),"Sem categoria"))</f>
        <v/>
      </c>
      <c r="F202" s="76" t="n">
        <v>5600</v>
      </c>
      <c r="G202" s="74" t="inlineStr">
        <is>
          <t>Conta Nubank</t>
        </is>
      </c>
      <c r="H202" s="74" t="inlineStr">
        <is>
          <t>Transferência</t>
        </is>
      </c>
      <c r="I202" s="74" t="n"/>
      <c r="J202" s="77" t="n"/>
      <c r="K202" s="77" t="n"/>
      <c r="L202" s="74" t="n"/>
      <c r="M202" s="74" t="n"/>
      <c r="O202" s="78">
        <f>IF($A202="","",YEAR($A202)*100+MONTH($A202))</f>
        <v/>
      </c>
      <c r="P202" s="79">
        <f>IF(OR($F202="",$D202=""),"",IF($D202="Receita",$F202,IF($D202="Transferência",0,-$F202)))</f>
        <v/>
      </c>
    </row>
    <row r="203">
      <c r="A203" s="73" t="n">
        <v>45814</v>
      </c>
      <c r="B203" s="74" t="inlineStr">
        <is>
          <t>Plano de saúde</t>
        </is>
      </c>
      <c r="C203" s="74" t="inlineStr">
        <is>
          <t>Saúde e farmácia</t>
        </is>
      </c>
      <c r="D203" s="75">
        <f>IF($C203="","",IFERROR(INDEX(CAT_TIPO,MATCH($C203,CAT_NOME,0)),"Sem categoria"))</f>
        <v/>
      </c>
      <c r="E203" s="75">
        <f>IF($C203="","",IFERROR(INDEX(CAT_GRUPO,MATCH($C203,CAT_NOME,0)),"Sem categoria"))</f>
        <v/>
      </c>
      <c r="F203" s="76" t="n">
        <v>290</v>
      </c>
      <c r="G203" s="74" t="inlineStr">
        <is>
          <t>Conta Nubank</t>
        </is>
      </c>
      <c r="H203" s="74" t="inlineStr">
        <is>
          <t>Débito automático</t>
        </is>
      </c>
      <c r="I203" s="74" t="n"/>
      <c r="J203" s="77" t="n"/>
      <c r="K203" s="77" t="n"/>
      <c r="L203" s="74" t="n"/>
      <c r="M203" s="74" t="n"/>
      <c r="O203" s="78">
        <f>IF($A203="","",YEAR($A203)*100+MONTH($A203))</f>
        <v/>
      </c>
      <c r="P203" s="79">
        <f>IF(OR($F203="",$D203=""),"",IF($D203="Receita",$F203,IF($D203="Transferência",0,-$F203)))</f>
        <v/>
      </c>
    </row>
    <row r="204">
      <c r="A204" s="73" t="n">
        <v>45815</v>
      </c>
      <c r="B204" s="74" t="inlineStr">
        <is>
          <t>Combustível</t>
        </is>
      </c>
      <c r="C204" s="74" t="inlineStr">
        <is>
          <t>Transporte</t>
        </is>
      </c>
      <c r="D204" s="75">
        <f>IF($C204="","",IFERROR(INDEX(CAT_TIPO,MATCH($C204,CAT_NOME,0)),"Sem categoria"))</f>
        <v/>
      </c>
      <c r="E204" s="75">
        <f>IF($C204="","",IFERROR(INDEX(CAT_GRUPO,MATCH($C204,CAT_NOME,0)),"Sem categoria"))</f>
        <v/>
      </c>
      <c r="F204" s="76" t="n">
        <v>119.89</v>
      </c>
      <c r="G204" s="74" t="n"/>
      <c r="H204" s="74" t="inlineStr">
        <is>
          <t>Crédito</t>
        </is>
      </c>
      <c r="I204" s="74" t="inlineStr">
        <is>
          <t>Itaú Visa</t>
        </is>
      </c>
      <c r="J204" s="77" t="n"/>
      <c r="K204" s="77" t="n"/>
      <c r="L204" s="74" t="n"/>
      <c r="M204" s="74" t="n"/>
      <c r="O204" s="78">
        <f>IF($A204="","",YEAR($A204)*100+MONTH($A204))</f>
        <v/>
      </c>
      <c r="P204" s="79">
        <f>IF(OR($F204="",$D204=""),"",IF($D204="Receita",$F204,IF($D204="Transferência",0,-$F204)))</f>
        <v/>
      </c>
    </row>
    <row r="205">
      <c r="A205" s="73" t="n">
        <v>45816</v>
      </c>
      <c r="B205" s="74" t="inlineStr">
        <is>
          <t>Aluguel</t>
        </is>
      </c>
      <c r="C205" s="74" t="inlineStr">
        <is>
          <t>Moradia (aluguel ou financiamento)</t>
        </is>
      </c>
      <c r="D205" s="75">
        <f>IF($C205="","",IFERROR(INDEX(CAT_TIPO,MATCH($C205,CAT_NOME,0)),"Sem categoria"))</f>
        <v/>
      </c>
      <c r="E205" s="75">
        <f>IF($C205="","",IFERROR(INDEX(CAT_GRUPO,MATCH($C205,CAT_NOME,0)),"Sem categoria"))</f>
        <v/>
      </c>
      <c r="F205" s="76" t="n">
        <v>1150</v>
      </c>
      <c r="G205" s="74" t="inlineStr">
        <is>
          <t>Conta Nubank</t>
        </is>
      </c>
      <c r="H205" s="74" t="inlineStr">
        <is>
          <t>Boleto</t>
        </is>
      </c>
      <c r="I205" s="74" t="n"/>
      <c r="J205" s="77" t="n"/>
      <c r="K205" s="77" t="n"/>
      <c r="L205" s="74" t="n"/>
      <c r="M205" s="74" t="n"/>
      <c r="O205" s="78">
        <f>IF($A205="","",YEAR($A205)*100+MONTH($A205))</f>
        <v/>
      </c>
      <c r="P205" s="79">
        <f>IF(OR($F205="",$D205=""),"",IF($D205="Receita",$F205,IF($D205="Transferência",0,-$F205)))</f>
        <v/>
      </c>
    </row>
    <row r="206">
      <c r="A206" s="73" t="n">
        <v>45817</v>
      </c>
      <c r="B206" s="74" t="inlineStr">
        <is>
          <t>Farmácia</t>
        </is>
      </c>
      <c r="C206" s="74" t="inlineStr">
        <is>
          <t>Saúde e farmácia</t>
        </is>
      </c>
      <c r="D206" s="75">
        <f>IF($C206="","",IFERROR(INDEX(CAT_TIPO,MATCH($C206,CAT_NOME,0)),"Sem categoria"))</f>
        <v/>
      </c>
      <c r="E206" s="75">
        <f>IF($C206="","",IFERROR(INDEX(CAT_GRUPO,MATCH($C206,CAT_NOME,0)),"Sem categoria"))</f>
        <v/>
      </c>
      <c r="F206" s="76" t="n">
        <v>97.04000000000001</v>
      </c>
      <c r="G206" s="74" t="n"/>
      <c r="H206" s="74" t="inlineStr">
        <is>
          <t>Crédito</t>
        </is>
      </c>
      <c r="I206" s="74" t="inlineStr">
        <is>
          <t>Itaú Visa</t>
        </is>
      </c>
      <c r="J206" s="77" t="n"/>
      <c r="K206" s="77" t="n"/>
      <c r="L206" s="74" t="n"/>
      <c r="M206" s="74" t="n"/>
      <c r="O206" s="78">
        <f>IF($A206="","",YEAR($A206)*100+MONTH($A206))</f>
        <v/>
      </c>
      <c r="P206" s="79">
        <f>IF(OR($F206="",$D206=""),"",IF($D206="Receita",$F206,IF($D206="Transferência",0,-$F206)))</f>
        <v/>
      </c>
    </row>
    <row r="207">
      <c r="A207" s="73" t="n">
        <v>45818</v>
      </c>
      <c r="B207" s="74" t="inlineStr">
        <is>
          <t>Condomínio</t>
        </is>
      </c>
      <c r="C207" s="74" t="inlineStr">
        <is>
          <t>Condomínio e IPTU</t>
        </is>
      </c>
      <c r="D207" s="75">
        <f>IF($C207="","",IFERROR(INDEX(CAT_TIPO,MATCH($C207,CAT_NOME,0)),"Sem categoria"))</f>
        <v/>
      </c>
      <c r="E207" s="75">
        <f>IF($C207="","",IFERROR(INDEX(CAT_GRUPO,MATCH($C207,CAT_NOME,0)),"Sem categoria"))</f>
        <v/>
      </c>
      <c r="F207" s="76" t="n">
        <v>290</v>
      </c>
      <c r="G207" s="74" t="inlineStr">
        <is>
          <t>Conta Nubank</t>
        </is>
      </c>
      <c r="H207" s="74" t="inlineStr">
        <is>
          <t>Boleto</t>
        </is>
      </c>
      <c r="I207" s="74" t="n"/>
      <c r="J207" s="77" t="n"/>
      <c r="K207" s="77" t="n"/>
      <c r="L207" s="74" t="n"/>
      <c r="M207" s="74" t="n"/>
      <c r="O207" s="78">
        <f>IF($A207="","",YEAR($A207)*100+MONTH($A207))</f>
        <v/>
      </c>
      <c r="P207" s="79">
        <f>IF(OR($F207="",$D207=""),"",IF($D207="Receita",$F207,IF($D207="Transferência",0,-$F207)))</f>
        <v/>
      </c>
    </row>
    <row r="208">
      <c r="A208" s="73" t="n">
        <v>45818</v>
      </c>
      <c r="B208" s="74" t="inlineStr">
        <is>
          <t>Supermercado</t>
        </is>
      </c>
      <c r="C208" s="74" t="inlineStr">
        <is>
          <t>Mercado</t>
        </is>
      </c>
      <c r="D208" s="75">
        <f>IF($C208="","",IFERROR(INDEX(CAT_TIPO,MATCH($C208,CAT_NOME,0)),"Sem categoria"))</f>
        <v/>
      </c>
      <c r="E208" s="75">
        <f>IF($C208="","",IFERROR(INDEX(CAT_GRUPO,MATCH($C208,CAT_NOME,0)),"Sem categoria"))</f>
        <v/>
      </c>
      <c r="F208" s="76" t="n">
        <v>134.79</v>
      </c>
      <c r="G208" s="74" t="inlineStr">
        <is>
          <t>Conta Nubank</t>
        </is>
      </c>
      <c r="H208" s="74" t="inlineStr">
        <is>
          <t>Débito</t>
        </is>
      </c>
      <c r="I208" s="74" t="n"/>
      <c r="J208" s="77" t="n"/>
      <c r="K208" s="77" t="n"/>
      <c r="L208" s="74" t="n"/>
      <c r="M208" s="74" t="n"/>
      <c r="O208" s="78">
        <f>IF($A208="","",YEAR($A208)*100+MONTH($A208))</f>
        <v/>
      </c>
      <c r="P208" s="79">
        <f>IF(OR($F208="",$D208=""),"",IF($D208="Receita",$F208,IF($D208="Transferência",0,-$F208)))</f>
        <v/>
      </c>
    </row>
    <row r="209">
      <c r="A209" s="73" t="n">
        <v>45819</v>
      </c>
      <c r="B209" s="74" t="inlineStr">
        <is>
          <t>Uber</t>
        </is>
      </c>
      <c r="C209" s="74" t="inlineStr">
        <is>
          <t>Transporte</t>
        </is>
      </c>
      <c r="D209" s="75">
        <f>IF($C209="","",IFERROR(INDEX(CAT_TIPO,MATCH($C209,CAT_NOME,0)),"Sem categoria"))</f>
        <v/>
      </c>
      <c r="E209" s="75">
        <f>IF($C209="","",IFERROR(INDEX(CAT_GRUPO,MATCH($C209,CAT_NOME,0)),"Sem categoria"))</f>
        <v/>
      </c>
      <c r="F209" s="76" t="n">
        <v>34.83</v>
      </c>
      <c r="G209" s="74" t="n"/>
      <c r="H209" s="74" t="inlineStr">
        <is>
          <t>Crédito</t>
        </is>
      </c>
      <c r="I209" s="74" t="inlineStr">
        <is>
          <t>Nubank Mastercard</t>
        </is>
      </c>
      <c r="J209" s="77" t="n"/>
      <c r="K209" s="77" t="n"/>
      <c r="L209" s="74" t="n"/>
      <c r="M209" s="74" t="n"/>
      <c r="O209" s="78">
        <f>IF($A209="","",YEAR($A209)*100+MONTH($A209))</f>
        <v/>
      </c>
      <c r="P209" s="79">
        <f>IF(OR($F209="",$D209=""),"",IF($D209="Receita",$F209,IF($D209="Transferência",0,-$F209)))</f>
        <v/>
      </c>
    </row>
    <row r="210">
      <c r="A210" s="73" t="n">
        <v>45820</v>
      </c>
      <c r="B210" s="74" t="inlineStr">
        <is>
          <t>Parcela do financiamento do carro</t>
        </is>
      </c>
      <c r="C210" s="74" t="inlineStr">
        <is>
          <t>Dívidas e parcelas</t>
        </is>
      </c>
      <c r="D210" s="75">
        <f>IF($C210="","",IFERROR(INDEX(CAT_TIPO,MATCH($C210,CAT_NOME,0)),"Sem categoria"))</f>
        <v/>
      </c>
      <c r="E210" s="75">
        <f>IF($C210="","",IFERROR(INDEX(CAT_GRUPO,MATCH($C210,CAT_NOME,0)),"Sem categoria"))</f>
        <v/>
      </c>
      <c r="F210" s="76" t="n">
        <v>560</v>
      </c>
      <c r="G210" s="74" t="inlineStr">
        <is>
          <t>Conta Nubank</t>
        </is>
      </c>
      <c r="H210" s="74" t="inlineStr">
        <is>
          <t>Boleto</t>
        </is>
      </c>
      <c r="I210" s="74" t="n"/>
      <c r="J210" s="77" t="inlineStr">
        <is>
          <t>18/48</t>
        </is>
      </c>
      <c r="K210" s="77" t="n"/>
      <c r="L210" s="74" t="n"/>
      <c r="M210" s="74" t="n"/>
      <c r="O210" s="78">
        <f>IF($A210="","",YEAR($A210)*100+MONTH($A210))</f>
        <v/>
      </c>
      <c r="P210" s="79">
        <f>IF(OR($F210="",$D210=""),"",IF($D210="Receita",$F210,IF($D210="Transferência",0,-$F210)))</f>
        <v/>
      </c>
    </row>
    <row r="211">
      <c r="A211" s="73" t="n">
        <v>45820</v>
      </c>
      <c r="B211" s="74" t="inlineStr">
        <is>
          <t>Seguro do carro</t>
        </is>
      </c>
      <c r="C211" s="74" t="inlineStr">
        <is>
          <t>Seguros</t>
        </is>
      </c>
      <c r="D211" s="75">
        <f>IF($C211="","",IFERROR(INDEX(CAT_TIPO,MATCH($C211,CAT_NOME,0)),"Sem categoria"))</f>
        <v/>
      </c>
      <c r="E211" s="75">
        <f>IF($C211="","",IFERROR(INDEX(CAT_GRUPO,MATCH($C211,CAT_NOME,0)),"Sem categoria"))</f>
        <v/>
      </c>
      <c r="F211" s="76" t="n">
        <v>140</v>
      </c>
      <c r="G211" s="74" t="inlineStr">
        <is>
          <t>Conta Nubank</t>
        </is>
      </c>
      <c r="H211" s="74" t="inlineStr">
        <is>
          <t>Débito automático</t>
        </is>
      </c>
      <c r="I211" s="74" t="n"/>
      <c r="J211" s="77" t="n"/>
      <c r="K211" s="77" t="n"/>
      <c r="L211" s="74" t="n"/>
      <c r="M211" s="74" t="n"/>
      <c r="O211" s="78">
        <f>IF($A211="","",YEAR($A211)*100+MONTH($A211))</f>
        <v/>
      </c>
      <c r="P211" s="79">
        <f>IF(OR($F211="",$D211=""),"",IF($D211="Receita",$F211,IF($D211="Transferência",0,-$F211)))</f>
        <v/>
      </c>
    </row>
    <row r="212">
      <c r="A212" s="73" t="n">
        <v>45821</v>
      </c>
      <c r="B212" s="74" t="inlineStr">
        <is>
          <t>Jantar fora</t>
        </is>
      </c>
      <c r="C212" s="74" t="inlineStr">
        <is>
          <t>Restaurantes e delivery</t>
        </is>
      </c>
      <c r="D212" s="75">
        <f>IF($C212="","",IFERROR(INDEX(CAT_TIPO,MATCH($C212,CAT_NOME,0)),"Sem categoria"))</f>
        <v/>
      </c>
      <c r="E212" s="75">
        <f>IF($C212="","",IFERROR(INDEX(CAT_GRUPO,MATCH($C212,CAT_NOME,0)),"Sem categoria"))</f>
        <v/>
      </c>
      <c r="F212" s="76" t="n">
        <v>82.06</v>
      </c>
      <c r="G212" s="74" t="n"/>
      <c r="H212" s="74" t="inlineStr">
        <is>
          <t>Crédito</t>
        </is>
      </c>
      <c r="I212" s="74" t="inlineStr">
        <is>
          <t>Nubank Mastercard</t>
        </is>
      </c>
      <c r="J212" s="77" t="n"/>
      <c r="K212" s="77" t="n"/>
      <c r="L212" s="74" t="n"/>
      <c r="M212" s="74" t="n"/>
      <c r="O212" s="78">
        <f>IF($A212="","",YEAR($A212)*100+MONTH($A212))</f>
        <v/>
      </c>
      <c r="P212" s="79">
        <f>IF(OR($F212="",$D212=""),"",IF($D212="Receita",$F212,IF($D212="Transferência",0,-$F212)))</f>
        <v/>
      </c>
    </row>
    <row r="213">
      <c r="A213" s="73" t="n">
        <v>45822</v>
      </c>
      <c r="B213" s="74" t="inlineStr">
        <is>
          <t>Conta de luz</t>
        </is>
      </c>
      <c r="C213" s="74" t="inlineStr">
        <is>
          <t>Contas da casa (luz, água, gás)</t>
        </is>
      </c>
      <c r="D213" s="75">
        <f>IF($C213="","",IFERROR(INDEX(CAT_TIPO,MATCH($C213,CAT_NOME,0)),"Sem categoria"))</f>
        <v/>
      </c>
      <c r="E213" s="75">
        <f>IF($C213="","",IFERROR(INDEX(CAT_GRUPO,MATCH($C213,CAT_NOME,0)),"Sem categoria"))</f>
        <v/>
      </c>
      <c r="F213" s="76" t="n">
        <v>190.21</v>
      </c>
      <c r="G213" s="74" t="inlineStr">
        <is>
          <t>Conta Nubank</t>
        </is>
      </c>
      <c r="H213" s="74" t="inlineStr">
        <is>
          <t>Débito automático</t>
        </is>
      </c>
      <c r="I213" s="74" t="n"/>
      <c r="J213" s="77" t="n"/>
      <c r="K213" s="77" t="n"/>
      <c r="L213" s="74" t="n"/>
      <c r="M213" s="74" t="n"/>
      <c r="O213" s="78">
        <f>IF($A213="","",YEAR($A213)*100+MONTH($A213))</f>
        <v/>
      </c>
      <c r="P213" s="79">
        <f>IF(OR($F213="",$D213=""),"",IF($D213="Receita",$F213,IF($D213="Transferência",0,-$F213)))</f>
        <v/>
      </c>
    </row>
    <row r="214">
      <c r="A214" s="73" t="n">
        <v>45823</v>
      </c>
      <c r="B214" s="74" t="inlineStr">
        <is>
          <t>Projeto freelance</t>
        </is>
      </c>
      <c r="C214" s="74" t="inlineStr">
        <is>
          <t>Renda extra e freelance</t>
        </is>
      </c>
      <c r="D214" s="75">
        <f>IF($C214="","",IFERROR(INDEX(CAT_TIPO,MATCH($C214,CAT_NOME,0)),"Sem categoria"))</f>
        <v/>
      </c>
      <c r="E214" s="75">
        <f>IF($C214="","",IFERROR(INDEX(CAT_GRUPO,MATCH($C214,CAT_NOME,0)),"Sem categoria"))</f>
        <v/>
      </c>
      <c r="F214" s="76" t="n">
        <v>380</v>
      </c>
      <c r="G214" s="74" t="inlineStr">
        <is>
          <t>Conta Nubank</t>
        </is>
      </c>
      <c r="H214" s="74" t="inlineStr">
        <is>
          <t>Pix</t>
        </is>
      </c>
      <c r="I214" s="74" t="n"/>
      <c r="J214" s="77" t="n"/>
      <c r="K214" s="77" t="n"/>
      <c r="L214" s="74" t="n"/>
      <c r="M214" s="74" t="n"/>
      <c r="O214" s="78">
        <f>IF($A214="","",YEAR($A214)*100+MONTH($A214))</f>
        <v/>
      </c>
      <c r="P214" s="79">
        <f>IF(OR($F214="",$D214=""),"",IF($D214="Receita",$F214,IF($D214="Transferência",0,-$F214)))</f>
        <v/>
      </c>
    </row>
    <row r="215">
      <c r="A215" s="73" t="n">
        <v>45823</v>
      </c>
      <c r="B215" s="74" t="inlineStr">
        <is>
          <t>Roupas e acessórios</t>
        </is>
      </c>
      <c r="C215" s="74" t="inlineStr">
        <is>
          <t>Compras pessoais</t>
        </is>
      </c>
      <c r="D215" s="75">
        <f>IF($C215="","",IFERROR(INDEX(CAT_TIPO,MATCH($C215,CAT_NOME,0)),"Sem categoria"))</f>
        <v/>
      </c>
      <c r="E215" s="75">
        <f>IF($C215="","",IFERROR(INDEX(CAT_GRUPO,MATCH($C215,CAT_NOME,0)),"Sem categoria"))</f>
        <v/>
      </c>
      <c r="F215" s="76" t="n">
        <v>126.18</v>
      </c>
      <c r="G215" s="74" t="n"/>
      <c r="H215" s="74" t="inlineStr">
        <is>
          <t>Crédito</t>
        </is>
      </c>
      <c r="I215" s="74" t="inlineStr">
        <is>
          <t>Nubank Mastercard</t>
        </is>
      </c>
      <c r="J215" s="77" t="n"/>
      <c r="K215" s="77" t="n"/>
      <c r="L215" s="74" t="n"/>
      <c r="M215" s="74" t="n"/>
      <c r="O215" s="78">
        <f>IF($A215="","",YEAR($A215)*100+MONTH($A215))</f>
        <v/>
      </c>
      <c r="P215" s="79">
        <f>IF(OR($F215="",$D215=""),"",IF($D215="Receita",$F215,IF($D215="Transferência",0,-$F215)))</f>
        <v/>
      </c>
    </row>
    <row r="216">
      <c r="A216" s="73" t="n">
        <v>45824</v>
      </c>
      <c r="B216" s="74" t="inlineStr">
        <is>
          <t>Combustível</t>
        </is>
      </c>
      <c r="C216" s="74" t="inlineStr">
        <is>
          <t>Transporte</t>
        </is>
      </c>
      <c r="D216" s="75">
        <f>IF($C216="","",IFERROR(INDEX(CAT_TIPO,MATCH($C216,CAT_NOME,0)),"Sem categoria"))</f>
        <v/>
      </c>
      <c r="E216" s="75">
        <f>IF($C216="","",IFERROR(INDEX(CAT_GRUPO,MATCH($C216,CAT_NOME,0)),"Sem categoria"))</f>
        <v/>
      </c>
      <c r="F216" s="76" t="n">
        <v>119.93</v>
      </c>
      <c r="G216" s="74" t="n"/>
      <c r="H216" s="74" t="inlineStr">
        <is>
          <t>Crédito</t>
        </is>
      </c>
      <c r="I216" s="74" t="inlineStr">
        <is>
          <t>Itaú Visa</t>
        </is>
      </c>
      <c r="J216" s="77" t="n"/>
      <c r="K216" s="77" t="n"/>
      <c r="L216" s="74" t="n"/>
      <c r="M216" s="74" t="n"/>
      <c r="O216" s="78">
        <f>IF($A216="","",YEAR($A216)*100+MONTH($A216))</f>
        <v/>
      </c>
      <c r="P216" s="79">
        <f>IF(OR($F216="",$D216=""),"",IF($D216="Receita",$F216,IF($D216="Transferência",0,-$F216)))</f>
        <v/>
      </c>
    </row>
    <row r="217">
      <c r="A217" s="73" t="n">
        <v>45825</v>
      </c>
      <c r="B217" s="74" t="inlineStr">
        <is>
          <t>Pagamento da fatura Itaú Visa</t>
        </is>
      </c>
      <c r="C217" s="74" t="inlineStr">
        <is>
          <t>Pagamento de fatura</t>
        </is>
      </c>
      <c r="D217" s="75">
        <f>IF($C217="","",IFERROR(INDEX(CAT_TIPO,MATCH($C217,CAT_NOME,0)),"Sem categoria"))</f>
        <v/>
      </c>
      <c r="E217" s="75">
        <f>IF($C217="","",IFERROR(INDEX(CAT_GRUPO,MATCH($C217,CAT_NOME,0)),"Sem categoria"))</f>
        <v/>
      </c>
      <c r="F217" s="76" t="n">
        <v>941.62</v>
      </c>
      <c r="G217" s="74" t="inlineStr">
        <is>
          <t>Conta Nubank</t>
        </is>
      </c>
      <c r="H217" s="74" t="inlineStr">
        <is>
          <t>Boleto</t>
        </is>
      </c>
      <c r="I217" s="74" t="inlineStr">
        <is>
          <t>Itaú Visa</t>
        </is>
      </c>
      <c r="J217" s="77" t="n"/>
      <c r="K217" s="77" t="n"/>
      <c r="L217" s="74" t="n"/>
      <c r="M217" s="74" t="n"/>
      <c r="O217" s="78">
        <f>IF($A217="","",YEAR($A217)*100+MONTH($A217))</f>
        <v/>
      </c>
      <c r="P217" s="79">
        <f>IF(OR($F217="",$D217=""),"",IF($D217="Receita",$F217,IF($D217="Transferência",0,-$F217)))</f>
        <v/>
      </c>
    </row>
    <row r="218">
      <c r="A218" s="73" t="n">
        <v>45825</v>
      </c>
      <c r="B218" s="74" t="inlineStr">
        <is>
          <t>Supermercado</t>
        </is>
      </c>
      <c r="C218" s="74" t="inlineStr">
        <is>
          <t>Mercado</t>
        </is>
      </c>
      <c r="D218" s="75">
        <f>IF($C218="","",IFERROR(INDEX(CAT_TIPO,MATCH($C218,CAT_NOME,0)),"Sem categoria"))</f>
        <v/>
      </c>
      <c r="E218" s="75">
        <f>IF($C218="","",IFERROR(INDEX(CAT_GRUPO,MATCH($C218,CAT_NOME,0)),"Sem categoria"))</f>
        <v/>
      </c>
      <c r="F218" s="76" t="n">
        <v>150.36</v>
      </c>
      <c r="G218" s="74" t="inlineStr">
        <is>
          <t>Conta Nubank</t>
        </is>
      </c>
      <c r="H218" s="74" t="inlineStr">
        <is>
          <t>Débito</t>
        </is>
      </c>
      <c r="I218" s="74" t="n"/>
      <c r="J218" s="77" t="n"/>
      <c r="K218" s="77" t="n"/>
      <c r="L218" s="74" t="n"/>
      <c r="M218" s="74" t="n"/>
      <c r="O218" s="78">
        <f>IF($A218="","",YEAR($A218)*100+MONTH($A218))</f>
        <v/>
      </c>
      <c r="P218" s="79">
        <f>IF(OR($F218="",$D218=""),"",IF($D218="Receita",$F218,IF($D218="Transferência",0,-$F218)))</f>
        <v/>
      </c>
    </row>
    <row r="219">
      <c r="A219" s="73" t="n">
        <v>45825</v>
      </c>
      <c r="B219" s="74" t="inlineStr">
        <is>
          <t>iCloud</t>
        </is>
      </c>
      <c r="C219" s="74" t="inlineStr">
        <is>
          <t>Assinaturas e streaming</t>
        </is>
      </c>
      <c r="D219" s="75">
        <f>IF($C219="","",IFERROR(INDEX(CAT_TIPO,MATCH($C219,CAT_NOME,0)),"Sem categoria"))</f>
        <v/>
      </c>
      <c r="E219" s="75">
        <f>IF($C219="","",IFERROR(INDEX(CAT_GRUPO,MATCH($C219,CAT_NOME,0)),"Sem categoria"))</f>
        <v/>
      </c>
      <c r="F219" s="76" t="n">
        <v>14.9</v>
      </c>
      <c r="G219" s="74" t="n"/>
      <c r="H219" s="74" t="inlineStr">
        <is>
          <t>Crédito</t>
        </is>
      </c>
      <c r="I219" s="74" t="inlineStr">
        <is>
          <t>Nubank Mastercard</t>
        </is>
      </c>
      <c r="J219" s="77" t="n"/>
      <c r="K219" s="77" t="n"/>
      <c r="L219" s="74" t="n"/>
      <c r="M219" s="74" t="n"/>
      <c r="O219" s="78">
        <f>IF($A219="","",YEAR($A219)*100+MONTH($A219))</f>
        <v/>
      </c>
      <c r="P219" s="79">
        <f>IF(OR($F219="",$D219=""),"",IF($D219="Receita",$F219,IF($D219="Transferência",0,-$F219)))</f>
        <v/>
      </c>
    </row>
    <row r="220">
      <c r="A220" s="73" t="n">
        <v>45826</v>
      </c>
      <c r="B220" s="74" t="inlineStr">
        <is>
          <t>Barbearia / salão</t>
        </is>
      </c>
      <c r="C220" s="74" t="inlineStr">
        <is>
          <t>Beleza e cuidados</t>
        </is>
      </c>
      <c r="D220" s="75">
        <f>IF($C220="","",IFERROR(INDEX(CAT_TIPO,MATCH($C220,CAT_NOME,0)),"Sem categoria"))</f>
        <v/>
      </c>
      <c r="E220" s="75">
        <f>IF($C220="","",IFERROR(INDEX(CAT_GRUPO,MATCH($C220,CAT_NOME,0)),"Sem categoria"))</f>
        <v/>
      </c>
      <c r="F220" s="76" t="n">
        <v>85.87</v>
      </c>
      <c r="G220" s="74" t="inlineStr">
        <is>
          <t>Conta Nubank</t>
        </is>
      </c>
      <c r="H220" s="74" t="inlineStr">
        <is>
          <t>Pix</t>
        </is>
      </c>
      <c r="I220" s="74" t="n"/>
      <c r="J220" s="77" t="n"/>
      <c r="K220" s="77" t="n"/>
      <c r="L220" s="74" t="n"/>
      <c r="M220" s="74" t="n"/>
      <c r="O220" s="78">
        <f>IF($A220="","",YEAR($A220)*100+MONTH($A220))</f>
        <v/>
      </c>
      <c r="P220" s="79">
        <f>IF(OR($F220="",$D220=""),"",IF($D220="Receita",$F220,IF($D220="Transferência",0,-$F220)))</f>
        <v/>
      </c>
    </row>
    <row r="221">
      <c r="A221" s="73" t="n">
        <v>45826</v>
      </c>
      <c r="B221" s="74" t="inlineStr">
        <is>
          <t>Conta de água</t>
        </is>
      </c>
      <c r="C221" s="74" t="inlineStr">
        <is>
          <t>Contas da casa (luz, água, gás)</t>
        </is>
      </c>
      <c r="D221" s="75">
        <f>IF($C221="","",IFERROR(INDEX(CAT_TIPO,MATCH($C221,CAT_NOME,0)),"Sem categoria"))</f>
        <v/>
      </c>
      <c r="E221" s="75">
        <f>IF($C221="","",IFERROR(INDEX(CAT_GRUPO,MATCH($C221,CAT_NOME,0)),"Sem categoria"))</f>
        <v/>
      </c>
      <c r="F221" s="76" t="n">
        <v>72.93000000000001</v>
      </c>
      <c r="G221" s="74" t="inlineStr">
        <is>
          <t>Conta Nubank</t>
        </is>
      </c>
      <c r="H221" s="74" t="inlineStr">
        <is>
          <t>Débito automático</t>
        </is>
      </c>
      <c r="I221" s="74" t="n"/>
      <c r="J221" s="77" t="n"/>
      <c r="K221" s="77" t="n"/>
      <c r="L221" s="74" t="n"/>
      <c r="M221" s="74" t="n"/>
      <c r="O221" s="78">
        <f>IF($A221="","",YEAR($A221)*100+MONTH($A221))</f>
        <v/>
      </c>
      <c r="P221" s="79">
        <f>IF(OR($F221="",$D221=""),"",IF($D221="Receita",$F221,IF($D221="Transferência",0,-$F221)))</f>
        <v/>
      </c>
    </row>
    <row r="222">
      <c r="A222" s="73" t="n">
        <v>45827</v>
      </c>
      <c r="B222" s="74" t="inlineStr">
        <is>
          <t>iFood</t>
        </is>
      </c>
      <c r="C222" s="74" t="inlineStr">
        <is>
          <t>Restaurantes e delivery</t>
        </is>
      </c>
      <c r="D222" s="75">
        <f>IF($C222="","",IFERROR(INDEX(CAT_TIPO,MATCH($C222,CAT_NOME,0)),"Sem categoria"))</f>
        <v/>
      </c>
      <c r="E222" s="75">
        <f>IF($C222="","",IFERROR(INDEX(CAT_GRUPO,MATCH($C222,CAT_NOME,0)),"Sem categoria"))</f>
        <v/>
      </c>
      <c r="F222" s="76" t="n">
        <v>62.07</v>
      </c>
      <c r="G222" s="74" t="n"/>
      <c r="H222" s="74" t="inlineStr">
        <is>
          <t>Crédito</t>
        </is>
      </c>
      <c r="I222" s="74" t="inlineStr">
        <is>
          <t>Nubank Mastercard</t>
        </is>
      </c>
      <c r="J222" s="77" t="n"/>
      <c r="K222" s="77" t="n"/>
      <c r="L222" s="74" t="n"/>
      <c r="M222" s="74" t="n"/>
      <c r="O222" s="78">
        <f>IF($A222="","",YEAR($A222)*100+MONTH($A222))</f>
        <v/>
      </c>
      <c r="P222" s="79">
        <f>IF(OR($F222="",$D222=""),"",IF($D222="Receita",$F222,IF($D222="Transferência",0,-$F222)))</f>
        <v/>
      </c>
    </row>
    <row r="223">
      <c r="A223" s="73" t="n">
        <v>45828</v>
      </c>
      <c r="B223" s="74" t="inlineStr">
        <is>
          <t>Internet fibra</t>
        </is>
      </c>
      <c r="C223" s="74" t="inlineStr">
        <is>
          <t>Internet e celular</t>
        </is>
      </c>
      <c r="D223" s="75">
        <f>IF($C223="","",IFERROR(INDEX(CAT_TIPO,MATCH($C223,CAT_NOME,0)),"Sem categoria"))</f>
        <v/>
      </c>
      <c r="E223" s="75">
        <f>IF($C223="","",IFERROR(INDEX(CAT_GRUPO,MATCH($C223,CAT_NOME,0)),"Sem categoria"))</f>
        <v/>
      </c>
      <c r="F223" s="76" t="n">
        <v>119.9</v>
      </c>
      <c r="G223" s="74" t="inlineStr">
        <is>
          <t>Conta Nubank</t>
        </is>
      </c>
      <c r="H223" s="74" t="inlineStr">
        <is>
          <t>Débito automático</t>
        </is>
      </c>
      <c r="I223" s="74" t="n"/>
      <c r="J223" s="77" t="n"/>
      <c r="K223" s="77" t="n"/>
      <c r="L223" s="74" t="n"/>
      <c r="M223" s="74" t="n"/>
      <c r="O223" s="78">
        <f>IF($A223="","",YEAR($A223)*100+MONTH($A223))</f>
        <v/>
      </c>
      <c r="P223" s="79">
        <f>IF(OR($F223="",$D223=""),"",IF($D223="Receita",$F223,IF($D223="Transferência",0,-$F223)))</f>
        <v/>
      </c>
    </row>
    <row r="224">
      <c r="A224" s="73" t="n">
        <v>45828</v>
      </c>
      <c r="B224" s="74" t="inlineStr">
        <is>
          <t>Saque para a carteira</t>
        </is>
      </c>
      <c r="C224" s="74" t="inlineStr">
        <is>
          <t>Transferência entre contas</t>
        </is>
      </c>
      <c r="D224" s="75">
        <f>IF($C224="","",IFERROR(INDEX(CAT_TIPO,MATCH($C224,CAT_NOME,0)),"Sem categoria"))</f>
        <v/>
      </c>
      <c r="E224" s="75">
        <f>IF($C224="","",IFERROR(INDEX(CAT_GRUPO,MATCH($C224,CAT_NOME,0)),"Sem categoria"))</f>
        <v/>
      </c>
      <c r="F224" s="76" t="n">
        <v>150</v>
      </c>
      <c r="G224" s="74" t="inlineStr">
        <is>
          <t>Conta Nubank</t>
        </is>
      </c>
      <c r="H224" s="74" t="inlineStr">
        <is>
          <t>Transferência</t>
        </is>
      </c>
      <c r="I224" s="74" t="n"/>
      <c r="J224" s="77" t="n"/>
      <c r="K224" s="77" t="n"/>
      <c r="L224" s="74" t="inlineStr">
        <is>
          <t>Carteira</t>
        </is>
      </c>
      <c r="M224" s="74" t="n"/>
      <c r="O224" s="78">
        <f>IF($A224="","",YEAR($A224)*100+MONTH($A224))</f>
        <v/>
      </c>
      <c r="P224" s="79">
        <f>IF(OR($F224="",$D224=""),"",IF($D224="Receita",$F224,IF($D224="Transferência",0,-$F224)))</f>
        <v/>
      </c>
    </row>
    <row r="225">
      <c r="A225" s="73" t="n">
        <v>45829</v>
      </c>
      <c r="B225" s="74" t="inlineStr">
        <is>
          <t>Uber</t>
        </is>
      </c>
      <c r="C225" s="74" t="inlineStr">
        <is>
          <t>Transporte</t>
        </is>
      </c>
      <c r="D225" s="75">
        <f>IF($C225="","",IFERROR(INDEX(CAT_TIPO,MATCH($C225,CAT_NOME,0)),"Sem categoria"))</f>
        <v/>
      </c>
      <c r="E225" s="75">
        <f>IF($C225="","",IFERROR(INDEX(CAT_GRUPO,MATCH($C225,CAT_NOME,0)),"Sem categoria"))</f>
        <v/>
      </c>
      <c r="F225" s="76" t="n">
        <v>20.39</v>
      </c>
      <c r="G225" s="74" t="n"/>
      <c r="H225" s="74" t="inlineStr">
        <is>
          <t>Crédito</t>
        </is>
      </c>
      <c r="I225" s="74" t="inlineStr">
        <is>
          <t>Nubank Mastercard</t>
        </is>
      </c>
      <c r="J225" s="77" t="n"/>
      <c r="K225" s="77" t="n"/>
      <c r="L225" s="74" t="n"/>
      <c r="M225" s="74" t="n"/>
      <c r="O225" s="78">
        <f>IF($A225="","",YEAR($A225)*100+MONTH($A225))</f>
        <v/>
      </c>
      <c r="P225" s="79">
        <f>IF(OR($F225="",$D225=""),"",IF($D225="Receita",$F225,IF($D225="Transferência",0,-$F225)))</f>
        <v/>
      </c>
    </row>
    <row r="226">
      <c r="A226" s="73" t="n">
        <v>45830</v>
      </c>
      <c r="B226" s="74" t="inlineStr">
        <is>
          <t>Plano de celular</t>
        </is>
      </c>
      <c r="C226" s="74" t="inlineStr">
        <is>
          <t>Internet e celular</t>
        </is>
      </c>
      <c r="D226" s="75">
        <f>IF($C226="","",IFERROR(INDEX(CAT_TIPO,MATCH($C226,CAT_NOME,0)),"Sem categoria"))</f>
        <v/>
      </c>
      <c r="E226" s="75">
        <f>IF($C226="","",IFERROR(INDEX(CAT_GRUPO,MATCH($C226,CAT_NOME,0)),"Sem categoria"))</f>
        <v/>
      </c>
      <c r="F226" s="76" t="n">
        <v>59.9</v>
      </c>
      <c r="G226" s="74" t="inlineStr">
        <is>
          <t>Conta Nubank</t>
        </is>
      </c>
      <c r="H226" s="74" t="inlineStr">
        <is>
          <t>Débito automático</t>
        </is>
      </c>
      <c r="I226" s="74" t="n"/>
      <c r="J226" s="77" t="n"/>
      <c r="K226" s="77" t="n"/>
      <c r="L226" s="74" t="n"/>
      <c r="M226" s="74" t="n"/>
      <c r="O226" s="78">
        <f>IF($A226="","",YEAR($A226)*100+MONTH($A226))</f>
        <v/>
      </c>
      <c r="P226" s="79">
        <f>IF(OR($F226="",$D226=""),"",IF($D226="Receita",$F226,IF($D226="Transferência",0,-$F226)))</f>
        <v/>
      </c>
    </row>
    <row r="227">
      <c r="A227" s="73" t="n">
        <v>45831</v>
      </c>
      <c r="B227" s="74" t="inlineStr">
        <is>
          <t>Cinema e passeios</t>
        </is>
      </c>
      <c r="C227" s="74" t="inlineStr">
        <is>
          <t>Lazer e entretenimento</t>
        </is>
      </c>
      <c r="D227" s="75">
        <f>IF($C227="","",IFERROR(INDEX(CAT_TIPO,MATCH($C227,CAT_NOME,0)),"Sem categoria"))</f>
        <v/>
      </c>
      <c r="E227" s="75">
        <f>IF($C227="","",IFERROR(INDEX(CAT_GRUPO,MATCH($C227,CAT_NOME,0)),"Sem categoria"))</f>
        <v/>
      </c>
      <c r="F227" s="76" t="n">
        <v>69.55</v>
      </c>
      <c r="G227" s="74" t="n"/>
      <c r="H227" s="74" t="inlineStr">
        <is>
          <t>Crédito</t>
        </is>
      </c>
      <c r="I227" s="74" t="inlineStr">
        <is>
          <t>Itaú Visa</t>
        </is>
      </c>
      <c r="J227" s="77" t="n"/>
      <c r="K227" s="77" t="n"/>
      <c r="L227" s="74" t="n"/>
      <c r="M227" s="74" t="n"/>
      <c r="O227" s="78">
        <f>IF($A227="","",YEAR($A227)*100+MONTH($A227))</f>
        <v/>
      </c>
      <c r="P227" s="79">
        <f>IF(OR($F227="",$D227=""),"",IF($D227="Receita",$F227,IF($D227="Transferência",0,-$F227)))</f>
        <v/>
      </c>
    </row>
    <row r="228">
      <c r="A228" s="73" t="n">
        <v>45832</v>
      </c>
      <c r="B228" s="74" t="inlineStr">
        <is>
          <t>Supermercado</t>
        </is>
      </c>
      <c r="C228" s="74" t="inlineStr">
        <is>
          <t>Mercado</t>
        </is>
      </c>
      <c r="D228" s="75">
        <f>IF($C228="","",IFERROR(INDEX(CAT_TIPO,MATCH($C228,CAT_NOME,0)),"Sem categoria"))</f>
        <v/>
      </c>
      <c r="E228" s="75">
        <f>IF($C228="","",IFERROR(INDEX(CAT_GRUPO,MATCH($C228,CAT_NOME,0)),"Sem categoria"))</f>
        <v/>
      </c>
      <c r="F228" s="76" t="n">
        <v>140.66</v>
      </c>
      <c r="G228" s="74" t="inlineStr">
        <is>
          <t>Conta Nubank</t>
        </is>
      </c>
      <c r="H228" s="74" t="inlineStr">
        <is>
          <t>Débito</t>
        </is>
      </c>
      <c r="I228" s="74" t="n"/>
      <c r="J228" s="77" t="n"/>
      <c r="K228" s="77" t="n"/>
      <c r="L228" s="74" t="n"/>
      <c r="M228" s="74" t="n"/>
      <c r="O228" s="78">
        <f>IF($A228="","",YEAR($A228)*100+MONTH($A228))</f>
        <v/>
      </c>
      <c r="P228" s="79">
        <f>IF(OR($F228="",$D228=""),"",IF($D228="Receita",$F228,IF($D228="Transferência",0,-$F228)))</f>
        <v/>
      </c>
    </row>
    <row r="229">
      <c r="A229" s="73" t="n">
        <v>45833</v>
      </c>
      <c r="B229" s="74" t="inlineStr">
        <is>
          <t>Gás encanado</t>
        </is>
      </c>
      <c r="C229" s="74" t="inlineStr">
        <is>
          <t>Contas da casa (luz, água, gás)</t>
        </is>
      </c>
      <c r="D229" s="75">
        <f>IF($C229="","",IFERROR(INDEX(CAT_TIPO,MATCH($C229,CAT_NOME,0)),"Sem categoria"))</f>
        <v/>
      </c>
      <c r="E229" s="75">
        <f>IF($C229="","",IFERROR(INDEX(CAT_GRUPO,MATCH($C229,CAT_NOME,0)),"Sem categoria"))</f>
        <v/>
      </c>
      <c r="F229" s="76" t="n">
        <v>89.27</v>
      </c>
      <c r="G229" s="74" t="inlineStr">
        <is>
          <t>Conta Nubank</t>
        </is>
      </c>
      <c r="H229" s="74" t="inlineStr">
        <is>
          <t>Boleto</t>
        </is>
      </c>
      <c r="I229" s="74" t="n"/>
      <c r="J229" s="77" t="n"/>
      <c r="K229" s="77" t="n"/>
      <c r="L229" s="74" t="n"/>
      <c r="M229" s="74" t="n"/>
      <c r="O229" s="78">
        <f>IF($A229="","",YEAR($A229)*100+MONTH($A229))</f>
        <v/>
      </c>
      <c r="P229" s="79">
        <f>IF(OR($F229="",$D229=""),"",IF($D229="Receita",$F229,IF($D229="Transferência",0,-$F229)))</f>
        <v/>
      </c>
    </row>
    <row r="230">
      <c r="A230" s="73" t="n">
        <v>45834</v>
      </c>
      <c r="B230" s="74" t="inlineStr">
        <is>
          <t>Combustível</t>
        </is>
      </c>
      <c r="C230" s="74" t="inlineStr">
        <is>
          <t>Transporte</t>
        </is>
      </c>
      <c r="D230" s="75">
        <f>IF($C230="","",IFERROR(INDEX(CAT_TIPO,MATCH($C230,CAT_NOME,0)),"Sem categoria"))</f>
        <v/>
      </c>
      <c r="E230" s="75">
        <f>IF($C230="","",IFERROR(INDEX(CAT_GRUPO,MATCH($C230,CAT_NOME,0)),"Sem categoria"))</f>
        <v/>
      </c>
      <c r="F230" s="76" t="n">
        <v>115.79</v>
      </c>
      <c r="G230" s="74" t="n"/>
      <c r="H230" s="74" t="inlineStr">
        <is>
          <t>Crédito</t>
        </is>
      </c>
      <c r="I230" s="74" t="inlineStr">
        <is>
          <t>Itaú Visa</t>
        </is>
      </c>
      <c r="J230" s="77" t="n"/>
      <c r="K230" s="77" t="n"/>
      <c r="L230" s="74" t="n"/>
      <c r="M230" s="74" t="n"/>
      <c r="O230" s="78">
        <f>IF($A230="","",YEAR($A230)*100+MONTH($A230))</f>
        <v/>
      </c>
      <c r="P230" s="79">
        <f>IF(OR($F230="",$D230=""),"",IF($D230="Receita",$F230,IF($D230="Transferência",0,-$F230)))</f>
        <v/>
      </c>
    </row>
    <row r="231">
      <c r="A231" s="73" t="n">
        <v>45835</v>
      </c>
      <c r="B231" s="74" t="inlineStr">
        <is>
          <t>Almoço de domingo</t>
        </is>
      </c>
      <c r="C231" s="74" t="inlineStr">
        <is>
          <t>Restaurantes e delivery</t>
        </is>
      </c>
      <c r="D231" s="75">
        <f>IF($C231="","",IFERROR(INDEX(CAT_TIPO,MATCH($C231,CAT_NOME,0)),"Sem categoria"))</f>
        <v/>
      </c>
      <c r="E231" s="75">
        <f>IF($C231="","",IFERROR(INDEX(CAT_GRUPO,MATCH($C231,CAT_NOME,0)),"Sem categoria"))</f>
        <v/>
      </c>
      <c r="F231" s="76" t="n">
        <v>70.69</v>
      </c>
      <c r="G231" s="74" t="n"/>
      <c r="H231" s="74" t="inlineStr">
        <is>
          <t>Crédito</t>
        </is>
      </c>
      <c r="I231" s="74" t="inlineStr">
        <is>
          <t>Nubank Mastercard</t>
        </is>
      </c>
      <c r="J231" s="77" t="n"/>
      <c r="K231" s="77" t="n"/>
      <c r="L231" s="74" t="n"/>
      <c r="M231" s="74" t="n"/>
      <c r="O231" s="78">
        <f>IF($A231="","",YEAR($A231)*100+MONTH($A231))</f>
        <v/>
      </c>
      <c r="P231" s="79">
        <f>IF(OR($F231="",$D231=""),"",IF($D231="Receita",$F231,IF($D231="Transferência",0,-$F231)))</f>
        <v/>
      </c>
    </row>
    <row r="232">
      <c r="A232" s="73" t="n">
        <v>45836</v>
      </c>
      <c r="B232" s="74" t="inlineStr">
        <is>
          <t>Aporte em renda fixa</t>
        </is>
      </c>
      <c r="C232" s="74" t="inlineStr">
        <is>
          <t>Investimentos</t>
        </is>
      </c>
      <c r="D232" s="75">
        <f>IF($C232="","",IFERROR(INDEX(CAT_TIPO,MATCH($C232,CAT_NOME,0)),"Sem categoria"))</f>
        <v/>
      </c>
      <c r="E232" s="75">
        <f>IF($C232="","",IFERROR(INDEX(CAT_GRUPO,MATCH($C232,CAT_NOME,0)),"Sem categoria"))</f>
        <v/>
      </c>
      <c r="F232" s="76" t="n">
        <v>250</v>
      </c>
      <c r="G232" s="74" t="inlineStr">
        <is>
          <t>Conta Nubank</t>
        </is>
      </c>
      <c r="H232" s="74" t="inlineStr">
        <is>
          <t>Transferência</t>
        </is>
      </c>
      <c r="I232" s="74" t="n"/>
      <c r="J232" s="77" t="n"/>
      <c r="K232" s="77" t="n"/>
      <c r="L232" s="74" t="inlineStr">
        <is>
          <t>Corretora</t>
        </is>
      </c>
      <c r="M232" s="74" t="n"/>
      <c r="O232" s="78">
        <f>IF($A232="","",YEAR($A232)*100+MONTH($A232))</f>
        <v/>
      </c>
      <c r="P232" s="79">
        <f>IF(OR($F232="",$D232=""),"",IF($D232="Receita",$F232,IF($D232="Transferência",0,-$F232)))</f>
        <v/>
      </c>
    </row>
    <row r="233">
      <c r="A233" s="73" t="n">
        <v>45836</v>
      </c>
      <c r="B233" s="74" t="inlineStr">
        <is>
          <t>Cofrinho da viagem</t>
        </is>
      </c>
      <c r="C233" s="74" t="inlineStr">
        <is>
          <t>Metas e sonhos</t>
        </is>
      </c>
      <c r="D233" s="75">
        <f>IF($C233="","",IFERROR(INDEX(CAT_TIPO,MATCH($C233,CAT_NOME,0)),"Sem categoria"))</f>
        <v/>
      </c>
      <c r="E233" s="75">
        <f>IF($C233="","",IFERROR(INDEX(CAT_GRUPO,MATCH($C233,CAT_NOME,0)),"Sem categoria"))</f>
        <v/>
      </c>
      <c r="F233" s="76" t="n">
        <v>150</v>
      </c>
      <c r="G233" s="74" t="inlineStr">
        <is>
          <t>Conta Nubank</t>
        </is>
      </c>
      <c r="H233" s="74" t="inlineStr">
        <is>
          <t>Transferência</t>
        </is>
      </c>
      <c r="I233" s="74" t="n"/>
      <c r="J233" s="77" t="n"/>
      <c r="K233" s="77" t="n"/>
      <c r="L233" s="74" t="inlineStr">
        <is>
          <t>Cofrinho viagem</t>
        </is>
      </c>
      <c r="M233" s="74" t="n"/>
      <c r="O233" s="78">
        <f>IF($A233="","",YEAR($A233)*100+MONTH($A233))</f>
        <v/>
      </c>
      <c r="P233" s="79">
        <f>IF(OR($F233="",$D233=""),"",IF($D233="Receita",$F233,IF($D233="Transferência",0,-$F233)))</f>
        <v/>
      </c>
    </row>
    <row r="234">
      <c r="A234" s="73" t="n">
        <v>45836</v>
      </c>
      <c r="B234" s="74" t="inlineStr">
        <is>
          <t>Rendimento da renda fixa</t>
        </is>
      </c>
      <c r="C234" s="74" t="inlineStr">
        <is>
          <t>Rendimentos de investimentos</t>
        </is>
      </c>
      <c r="D234" s="75">
        <f>IF($C234="","",IFERROR(INDEX(CAT_TIPO,MATCH($C234,CAT_NOME,0)),"Sem categoria"))</f>
        <v/>
      </c>
      <c r="E234" s="75">
        <f>IF($C234="","",IFERROR(INDEX(CAT_GRUPO,MATCH($C234,CAT_NOME,0)),"Sem categoria"))</f>
        <v/>
      </c>
      <c r="F234" s="76" t="n">
        <v>70.15000000000001</v>
      </c>
      <c r="G234" s="74" t="inlineStr">
        <is>
          <t>Corretora</t>
        </is>
      </c>
      <c r="H234" s="74" t="inlineStr">
        <is>
          <t>Transferência</t>
        </is>
      </c>
      <c r="I234" s="74" t="n"/>
      <c r="J234" s="77" t="n"/>
      <c r="K234" s="77" t="n"/>
      <c r="L234" s="74" t="n"/>
      <c r="M234" s="74" t="n"/>
      <c r="O234" s="78">
        <f>IF($A234="","",YEAR($A234)*100+MONTH($A234))</f>
        <v/>
      </c>
      <c r="P234" s="79">
        <f>IF(OR($F234="",$D234=""),"",IF($D234="Receita",$F234,IF($D234="Transferência",0,-$F234)))</f>
        <v/>
      </c>
    </row>
    <row r="235">
      <c r="A235" s="73" t="n">
        <v>45836</v>
      </c>
      <c r="B235" s="74" t="inlineStr">
        <is>
          <t>Reserva de emergência</t>
        </is>
      </c>
      <c r="C235" s="74" t="inlineStr">
        <is>
          <t>Reserva de emergência</t>
        </is>
      </c>
      <c r="D235" s="75">
        <f>IF($C235="","",IFERROR(INDEX(CAT_TIPO,MATCH($C235,CAT_NOME,0)),"Sem categoria"))</f>
        <v/>
      </c>
      <c r="E235" s="75">
        <f>IF($C235="","",IFERROR(INDEX(CAT_GRUPO,MATCH($C235,CAT_NOME,0)),"Sem categoria"))</f>
        <v/>
      </c>
      <c r="F235" s="76" t="n">
        <v>400</v>
      </c>
      <c r="G235" s="74" t="inlineStr">
        <is>
          <t>Conta Nubank</t>
        </is>
      </c>
      <c r="H235" s="74" t="inlineStr">
        <is>
          <t>Transferência</t>
        </is>
      </c>
      <c r="I235" s="74" t="n"/>
      <c r="J235" s="77" t="n"/>
      <c r="K235" s="77" t="n"/>
      <c r="L235" s="74" t="inlineStr">
        <is>
          <t>Poupança Caixa</t>
        </is>
      </c>
      <c r="M235" s="74" t="n"/>
      <c r="O235" s="78">
        <f>IF($A235="","",YEAR($A235)*100+MONTH($A235))</f>
        <v/>
      </c>
      <c r="P235" s="79">
        <f>IF(OR($F235="",$D235=""),"",IF($D235="Receita",$F235,IF($D235="Transferência",0,-$F235)))</f>
        <v/>
      </c>
    </row>
    <row r="236">
      <c r="A236" s="73" t="n">
        <v>45837</v>
      </c>
      <c r="B236" s="74" t="inlineStr">
        <is>
          <t>Feira e padaria</t>
        </is>
      </c>
      <c r="C236" s="74" t="inlineStr">
        <is>
          <t>Mercado</t>
        </is>
      </c>
      <c r="D236" s="75">
        <f>IF($C236="","",IFERROR(INDEX(CAT_TIPO,MATCH($C236,CAT_NOME,0)),"Sem categoria"))</f>
        <v/>
      </c>
      <c r="E236" s="75">
        <f>IF($C236="","",IFERROR(INDEX(CAT_GRUPO,MATCH($C236,CAT_NOME,0)),"Sem categoria"))</f>
        <v/>
      </c>
      <c r="F236" s="76" t="n">
        <v>93.15000000000001</v>
      </c>
      <c r="G236" s="74" t="inlineStr">
        <is>
          <t>Carteira</t>
        </is>
      </c>
      <c r="H236" s="74" t="inlineStr">
        <is>
          <t>Dinheiro</t>
        </is>
      </c>
      <c r="I236" s="74" t="n"/>
      <c r="J236" s="77" t="n"/>
      <c r="K236" s="77" t="n"/>
      <c r="L236" s="74" t="n"/>
      <c r="M236" s="74" t="n"/>
      <c r="O236" s="78">
        <f>IF($A236="","",YEAR($A236)*100+MONTH($A236))</f>
        <v/>
      </c>
      <c r="P236" s="79">
        <f>IF(OR($F236="",$D236=""),"",IF($D236="Receita",$F236,IF($D236="Transferência",0,-$F236)))</f>
        <v/>
      </c>
    </row>
    <row r="237">
      <c r="A237" s="73" t="n">
        <v>45841</v>
      </c>
      <c r="B237" s="74" t="inlineStr">
        <is>
          <t>Férias: terço constitucional</t>
        </is>
      </c>
      <c r="C237" s="74" t="inlineStr">
        <is>
          <t>Salário</t>
        </is>
      </c>
      <c r="D237" s="75">
        <f>IF($C237="","",IFERROR(INDEX(CAT_TIPO,MATCH($C237,CAT_NOME,0)),"Sem categoria"))</f>
        <v/>
      </c>
      <c r="E237" s="75">
        <f>IF($C237="","",IFERROR(INDEX(CAT_GRUPO,MATCH($C237,CAT_NOME,0)),"Sem categoria"))</f>
        <v/>
      </c>
      <c r="F237" s="76" t="n">
        <v>1900</v>
      </c>
      <c r="G237" s="74" t="inlineStr">
        <is>
          <t>Conta Nubank</t>
        </is>
      </c>
      <c r="H237" s="74" t="inlineStr">
        <is>
          <t>Transferência</t>
        </is>
      </c>
      <c r="I237" s="74" t="n"/>
      <c r="J237" s="77" t="n"/>
      <c r="K237" s="77" t="n"/>
      <c r="L237" s="74" t="n"/>
      <c r="M237" s="74" t="n"/>
      <c r="O237" s="78">
        <f>IF($A237="","",YEAR($A237)*100+MONTH($A237))</f>
        <v/>
      </c>
      <c r="P237" s="79">
        <f>IF(OR($F237="",$D237=""),"",IF($D237="Receita",$F237,IF($D237="Transferência",0,-$F237)))</f>
        <v/>
      </c>
    </row>
    <row r="238">
      <c r="A238" s="73" t="n">
        <v>45841</v>
      </c>
      <c r="B238" s="74" t="inlineStr">
        <is>
          <t>Netflix</t>
        </is>
      </c>
      <c r="C238" s="74" t="inlineStr">
        <is>
          <t>Assinaturas e streaming</t>
        </is>
      </c>
      <c r="D238" s="75">
        <f>IF($C238="","",IFERROR(INDEX(CAT_TIPO,MATCH($C238,CAT_NOME,0)),"Sem categoria"))</f>
        <v/>
      </c>
      <c r="E238" s="75">
        <f>IF($C238="","",IFERROR(INDEX(CAT_GRUPO,MATCH($C238,CAT_NOME,0)),"Sem categoria"))</f>
        <v/>
      </c>
      <c r="F238" s="76" t="n">
        <v>55.9</v>
      </c>
      <c r="G238" s="74" t="n"/>
      <c r="H238" s="74" t="inlineStr">
        <is>
          <t>Crédito</t>
        </is>
      </c>
      <c r="I238" s="74" t="inlineStr">
        <is>
          <t>Nubank Mastercard</t>
        </is>
      </c>
      <c r="J238" s="77" t="n"/>
      <c r="K238" s="77" t="n"/>
      <c r="L238" s="74" t="n"/>
      <c r="M238" s="74" t="n"/>
      <c r="O238" s="78">
        <f>IF($A238="","",YEAR($A238)*100+MONTH($A238))</f>
        <v/>
      </c>
      <c r="P238" s="79">
        <f>IF(OR($F238="",$D238=""),"",IF($D238="Receita",$F238,IF($D238="Transferência",0,-$F238)))</f>
        <v/>
      </c>
    </row>
    <row r="239">
      <c r="A239" s="73" t="n">
        <v>45841</v>
      </c>
      <c r="B239" s="74" t="inlineStr">
        <is>
          <t>Supermercado</t>
        </is>
      </c>
      <c r="C239" s="74" t="inlineStr">
        <is>
          <t>Mercado</t>
        </is>
      </c>
      <c r="D239" s="75">
        <f>IF($C239="","",IFERROR(INDEX(CAT_TIPO,MATCH($C239,CAT_NOME,0)),"Sem categoria"))</f>
        <v/>
      </c>
      <c r="E239" s="75">
        <f>IF($C239="","",IFERROR(INDEX(CAT_GRUPO,MATCH($C239,CAT_NOME,0)),"Sem categoria"))</f>
        <v/>
      </c>
      <c r="F239" s="76" t="n">
        <v>150.26</v>
      </c>
      <c r="G239" s="74" t="inlineStr">
        <is>
          <t>Conta Nubank</t>
        </is>
      </c>
      <c r="H239" s="74" t="inlineStr">
        <is>
          <t>Débito</t>
        </is>
      </c>
      <c r="I239" s="74" t="n"/>
      <c r="J239" s="77" t="n"/>
      <c r="K239" s="77" t="n"/>
      <c r="L239" s="74" t="n"/>
      <c r="M239" s="74" t="n"/>
      <c r="O239" s="78">
        <f>IF($A239="","",YEAR($A239)*100+MONTH($A239))</f>
        <v/>
      </c>
      <c r="P239" s="79">
        <f>IF(OR($F239="",$D239=""),"",IF($D239="Receita",$F239,IF($D239="Transferência",0,-$F239)))</f>
        <v/>
      </c>
    </row>
    <row r="240">
      <c r="A240" s="73" t="n">
        <v>45842</v>
      </c>
      <c r="B240" s="74" t="inlineStr">
        <is>
          <t>Spotify</t>
        </is>
      </c>
      <c r="C240" s="74" t="inlineStr">
        <is>
          <t>Assinaturas e streaming</t>
        </is>
      </c>
      <c r="D240" s="75">
        <f>IF($C240="","",IFERROR(INDEX(CAT_TIPO,MATCH($C240,CAT_NOME,0)),"Sem categoria"))</f>
        <v/>
      </c>
      <c r="E240" s="75">
        <f>IF($C240="","",IFERROR(INDEX(CAT_GRUPO,MATCH($C240,CAT_NOME,0)),"Sem categoria"))</f>
        <v/>
      </c>
      <c r="F240" s="76" t="n">
        <v>23.9</v>
      </c>
      <c r="G240" s="74" t="n"/>
      <c r="H240" s="74" t="inlineStr">
        <is>
          <t>Crédito</t>
        </is>
      </c>
      <c r="I240" s="74" t="inlineStr">
        <is>
          <t>Nubank Mastercard</t>
        </is>
      </c>
      <c r="J240" s="77" t="n"/>
      <c r="K240" s="77" t="n"/>
      <c r="L240" s="74" t="n"/>
      <c r="M240" s="74" t="n"/>
      <c r="O240" s="78">
        <f>IF($A240="","",YEAR($A240)*100+MONTH($A240))</f>
        <v/>
      </c>
      <c r="P240" s="79">
        <f>IF(OR($F240="",$D240=""),"",IF($D240="Receita",$F240,IF($D240="Transferência",0,-$F240)))</f>
        <v/>
      </c>
    </row>
    <row r="241">
      <c r="A241" s="73" t="n">
        <v>45843</v>
      </c>
      <c r="B241" s="74" t="inlineStr">
        <is>
          <t>Academia</t>
        </is>
      </c>
      <c r="C241" s="74" t="inlineStr">
        <is>
          <t>Assinaturas e streaming</t>
        </is>
      </c>
      <c r="D241" s="75">
        <f>IF($C241="","",IFERROR(INDEX(CAT_TIPO,MATCH($C241,CAT_NOME,0)),"Sem categoria"))</f>
        <v/>
      </c>
      <c r="E241" s="75">
        <f>IF($C241="","",IFERROR(INDEX(CAT_GRUPO,MATCH($C241,CAT_NOME,0)),"Sem categoria"))</f>
        <v/>
      </c>
      <c r="F241" s="76" t="n">
        <v>119.9</v>
      </c>
      <c r="G241" s="74" t="n"/>
      <c r="H241" s="74" t="inlineStr">
        <is>
          <t>Crédito</t>
        </is>
      </c>
      <c r="I241" s="74" t="inlineStr">
        <is>
          <t>Nubank Mastercard</t>
        </is>
      </c>
      <c r="J241" s="77" t="n"/>
      <c r="K241" s="77" t="n"/>
      <c r="L241" s="74" t="n"/>
      <c r="M241" s="74" t="n"/>
      <c r="O241" s="78">
        <f>IF($A241="","",YEAR($A241)*100+MONTH($A241))</f>
        <v/>
      </c>
      <c r="P241" s="79">
        <f>IF(OR($F241="",$D241=""),"",IF($D241="Receita",$F241,IF($D241="Transferência",0,-$F241)))</f>
        <v/>
      </c>
    </row>
    <row r="242">
      <c r="A242" s="73" t="n">
        <v>45843</v>
      </c>
      <c r="B242" s="74" t="inlineStr">
        <is>
          <t>Pagamento da fatura Nubank Mastercard</t>
        </is>
      </c>
      <c r="C242" s="74" t="inlineStr">
        <is>
          <t>Pagamento de fatura</t>
        </is>
      </c>
      <c r="D242" s="75">
        <f>IF($C242="","",IFERROR(INDEX(CAT_TIPO,MATCH($C242,CAT_NOME,0)),"Sem categoria"))</f>
        <v/>
      </c>
      <c r="E242" s="75">
        <f>IF($C242="","",IFERROR(INDEX(CAT_GRUPO,MATCH($C242,CAT_NOME,0)),"Sem categoria"))</f>
        <v/>
      </c>
      <c r="F242" s="76" t="n">
        <v>1007.25</v>
      </c>
      <c r="G242" s="74" t="inlineStr">
        <is>
          <t>Conta Nubank</t>
        </is>
      </c>
      <c r="H242" s="74" t="inlineStr">
        <is>
          <t>Boleto</t>
        </is>
      </c>
      <c r="I242" s="74" t="inlineStr">
        <is>
          <t>Nubank Mastercard</t>
        </is>
      </c>
      <c r="J242" s="77" t="n"/>
      <c r="K242" s="77" t="n"/>
      <c r="L242" s="74" t="n"/>
      <c r="M242" s="74" t="n"/>
      <c r="O242" s="78">
        <f>IF($A242="","",YEAR($A242)*100+MONTH($A242))</f>
        <v/>
      </c>
      <c r="P242" s="79">
        <f>IF(OR($F242="",$D242=""),"",IF($D242="Receita",$F242,IF($D242="Transferência",0,-$F242)))</f>
        <v/>
      </c>
    </row>
    <row r="243">
      <c r="A243" s="73" t="n">
        <v>45843</v>
      </c>
      <c r="B243" s="74" t="inlineStr">
        <is>
          <t>Salário</t>
        </is>
      </c>
      <c r="C243" s="74" t="inlineStr">
        <is>
          <t>Salário</t>
        </is>
      </c>
      <c r="D243" s="75">
        <f>IF($C243="","",IFERROR(INDEX(CAT_TIPO,MATCH($C243,CAT_NOME,0)),"Sem categoria"))</f>
        <v/>
      </c>
      <c r="E243" s="75">
        <f>IF($C243="","",IFERROR(INDEX(CAT_GRUPO,MATCH($C243,CAT_NOME,0)),"Sem categoria"))</f>
        <v/>
      </c>
      <c r="F243" s="76" t="n">
        <v>5600</v>
      </c>
      <c r="G243" s="74" t="inlineStr">
        <is>
          <t>Conta Nubank</t>
        </is>
      </c>
      <c r="H243" s="74" t="inlineStr">
        <is>
          <t>Transferência</t>
        </is>
      </c>
      <c r="I243" s="74" t="n"/>
      <c r="J243" s="77" t="n"/>
      <c r="K243" s="77" t="n"/>
      <c r="L243" s="74" t="n"/>
      <c r="M243" s="74" t="n"/>
      <c r="O243" s="78">
        <f>IF($A243="","",YEAR($A243)*100+MONTH($A243))</f>
        <v/>
      </c>
      <c r="P243" s="79">
        <f>IF(OR($F243="",$D243=""),"",IF($D243="Receita",$F243,IF($D243="Transferência",0,-$F243)))</f>
        <v/>
      </c>
    </row>
    <row r="244">
      <c r="A244" s="73" t="n">
        <v>45844</v>
      </c>
      <c r="B244" s="74" t="inlineStr">
        <is>
          <t>Plano de saúde</t>
        </is>
      </c>
      <c r="C244" s="74" t="inlineStr">
        <is>
          <t>Saúde e farmácia</t>
        </is>
      </c>
      <c r="D244" s="75">
        <f>IF($C244="","",IFERROR(INDEX(CAT_TIPO,MATCH($C244,CAT_NOME,0)),"Sem categoria"))</f>
        <v/>
      </c>
      <c r="E244" s="75">
        <f>IF($C244="","",IFERROR(INDEX(CAT_GRUPO,MATCH($C244,CAT_NOME,0)),"Sem categoria"))</f>
        <v/>
      </c>
      <c r="F244" s="76" t="n">
        <v>290</v>
      </c>
      <c r="G244" s="74" t="inlineStr">
        <is>
          <t>Conta Nubank</t>
        </is>
      </c>
      <c r="H244" s="74" t="inlineStr">
        <is>
          <t>Débito automático</t>
        </is>
      </c>
      <c r="I244" s="74" t="n"/>
      <c r="J244" s="77" t="n"/>
      <c r="K244" s="77" t="n"/>
      <c r="L244" s="74" t="n"/>
      <c r="M244" s="74" t="n"/>
      <c r="O244" s="78">
        <f>IF($A244="","",YEAR($A244)*100+MONTH($A244))</f>
        <v/>
      </c>
      <c r="P244" s="79">
        <f>IF(OR($F244="",$D244=""),"",IF($D244="Receita",$F244,IF($D244="Transferência",0,-$F244)))</f>
        <v/>
      </c>
    </row>
    <row r="245">
      <c r="A245" s="73" t="n">
        <v>45845</v>
      </c>
      <c r="B245" s="74" t="inlineStr">
        <is>
          <t>Combustível</t>
        </is>
      </c>
      <c r="C245" s="74" t="inlineStr">
        <is>
          <t>Transporte</t>
        </is>
      </c>
      <c r="D245" s="75">
        <f>IF($C245="","",IFERROR(INDEX(CAT_TIPO,MATCH($C245,CAT_NOME,0)),"Sem categoria"))</f>
        <v/>
      </c>
      <c r="E245" s="75">
        <f>IF($C245="","",IFERROR(INDEX(CAT_GRUPO,MATCH($C245,CAT_NOME,0)),"Sem categoria"))</f>
        <v/>
      </c>
      <c r="F245" s="76" t="n">
        <v>104.42</v>
      </c>
      <c r="G245" s="74" t="n"/>
      <c r="H245" s="74" t="inlineStr">
        <is>
          <t>Crédito</t>
        </is>
      </c>
      <c r="I245" s="74" t="inlineStr">
        <is>
          <t>Itaú Visa</t>
        </is>
      </c>
      <c r="J245" s="77" t="n"/>
      <c r="K245" s="77" t="n"/>
      <c r="L245" s="74" t="n"/>
      <c r="M245" s="74" t="n"/>
      <c r="O245" s="78">
        <f>IF($A245="","",YEAR($A245)*100+MONTH($A245))</f>
        <v/>
      </c>
      <c r="P245" s="79">
        <f>IF(OR($F245="",$D245=""),"",IF($D245="Receita",$F245,IF($D245="Transferência",0,-$F245)))</f>
        <v/>
      </c>
    </row>
    <row r="246">
      <c r="A246" s="73" t="n">
        <v>45846</v>
      </c>
      <c r="B246" s="74" t="inlineStr">
        <is>
          <t>Aluguel</t>
        </is>
      </c>
      <c r="C246" s="74" t="inlineStr">
        <is>
          <t>Moradia (aluguel ou financiamento)</t>
        </is>
      </c>
      <c r="D246" s="75">
        <f>IF($C246="","",IFERROR(INDEX(CAT_TIPO,MATCH($C246,CAT_NOME,0)),"Sem categoria"))</f>
        <v/>
      </c>
      <c r="E246" s="75">
        <f>IF($C246="","",IFERROR(INDEX(CAT_GRUPO,MATCH($C246,CAT_NOME,0)),"Sem categoria"))</f>
        <v/>
      </c>
      <c r="F246" s="76" t="n">
        <v>1200</v>
      </c>
      <c r="G246" s="74" t="inlineStr">
        <is>
          <t>Conta Nubank</t>
        </is>
      </c>
      <c r="H246" s="74" t="inlineStr">
        <is>
          <t>Boleto</t>
        </is>
      </c>
      <c r="I246" s="74" t="n"/>
      <c r="J246" s="77" t="n"/>
      <c r="K246" s="77" t="n"/>
      <c r="L246" s="74" t="n"/>
      <c r="M246" s="74" t="n"/>
      <c r="O246" s="78">
        <f>IF($A246="","",YEAR($A246)*100+MONTH($A246))</f>
        <v/>
      </c>
      <c r="P246" s="79">
        <f>IF(OR($F246="",$D246=""),"",IF($D246="Receita",$F246,IF($D246="Transferência",0,-$F246)))</f>
        <v/>
      </c>
    </row>
    <row r="247">
      <c r="A247" s="73" t="n">
        <v>45847</v>
      </c>
      <c r="B247" s="74" t="inlineStr">
        <is>
          <t>Farmácia</t>
        </is>
      </c>
      <c r="C247" s="74" t="inlineStr">
        <is>
          <t>Saúde e farmácia</t>
        </is>
      </c>
      <c r="D247" s="75">
        <f>IF($C247="","",IFERROR(INDEX(CAT_TIPO,MATCH($C247,CAT_NOME,0)),"Sem categoria"))</f>
        <v/>
      </c>
      <c r="E247" s="75">
        <f>IF($C247="","",IFERROR(INDEX(CAT_GRUPO,MATCH($C247,CAT_NOME,0)),"Sem categoria"))</f>
        <v/>
      </c>
      <c r="F247" s="76" t="n">
        <v>45.9</v>
      </c>
      <c r="G247" s="74" t="n"/>
      <c r="H247" s="74" t="inlineStr">
        <is>
          <t>Crédito</t>
        </is>
      </c>
      <c r="I247" s="74" t="inlineStr">
        <is>
          <t>Itaú Visa</t>
        </is>
      </c>
      <c r="J247" s="77" t="n"/>
      <c r="K247" s="77" t="n"/>
      <c r="L247" s="74" t="n"/>
      <c r="M247" s="74" t="n"/>
      <c r="O247" s="78">
        <f>IF($A247="","",YEAR($A247)*100+MONTH($A247))</f>
        <v/>
      </c>
      <c r="P247" s="79">
        <f>IF(OR($F247="",$D247=""),"",IF($D247="Receita",$F247,IF($D247="Transferência",0,-$F247)))</f>
        <v/>
      </c>
    </row>
    <row r="248">
      <c r="A248" s="73" t="n">
        <v>45848</v>
      </c>
      <c r="B248" s="74" t="inlineStr">
        <is>
          <t>Condomínio</t>
        </is>
      </c>
      <c r="C248" s="74" t="inlineStr">
        <is>
          <t>Condomínio e IPTU</t>
        </is>
      </c>
      <c r="D248" s="75">
        <f>IF($C248="","",IFERROR(INDEX(CAT_TIPO,MATCH($C248,CAT_NOME,0)),"Sem categoria"))</f>
        <v/>
      </c>
      <c r="E248" s="75">
        <f>IF($C248="","",IFERROR(INDEX(CAT_GRUPO,MATCH($C248,CAT_NOME,0)),"Sem categoria"))</f>
        <v/>
      </c>
      <c r="F248" s="76" t="n">
        <v>300</v>
      </c>
      <c r="G248" s="74" t="inlineStr">
        <is>
          <t>Conta Nubank</t>
        </is>
      </c>
      <c r="H248" s="74" t="inlineStr">
        <is>
          <t>Boleto</t>
        </is>
      </c>
      <c r="I248" s="74" t="n"/>
      <c r="J248" s="77" t="n"/>
      <c r="K248" s="77" t="n"/>
      <c r="L248" s="74" t="n"/>
      <c r="M248" s="74" t="n"/>
      <c r="O248" s="78">
        <f>IF($A248="","",YEAR($A248)*100+MONTH($A248))</f>
        <v/>
      </c>
      <c r="P248" s="79">
        <f>IF(OR($F248="",$D248=""),"",IF($D248="Receita",$F248,IF($D248="Transferência",0,-$F248)))</f>
        <v/>
      </c>
    </row>
    <row r="249">
      <c r="A249" s="73" t="n">
        <v>45848</v>
      </c>
      <c r="B249" s="74" t="inlineStr">
        <is>
          <t>Supermercado</t>
        </is>
      </c>
      <c r="C249" s="74" t="inlineStr">
        <is>
          <t>Mercado</t>
        </is>
      </c>
      <c r="D249" s="75">
        <f>IF($C249="","",IFERROR(INDEX(CAT_TIPO,MATCH($C249,CAT_NOME,0)),"Sem categoria"))</f>
        <v/>
      </c>
      <c r="E249" s="75">
        <f>IF($C249="","",IFERROR(INDEX(CAT_GRUPO,MATCH($C249,CAT_NOME,0)),"Sem categoria"))</f>
        <v/>
      </c>
      <c r="F249" s="76" t="n">
        <v>154.21</v>
      </c>
      <c r="G249" s="74" t="inlineStr">
        <is>
          <t>Conta Nubank</t>
        </is>
      </c>
      <c r="H249" s="74" t="inlineStr">
        <is>
          <t>Débito</t>
        </is>
      </c>
      <c r="I249" s="74" t="n"/>
      <c r="J249" s="77" t="n"/>
      <c r="K249" s="77" t="n"/>
      <c r="L249" s="74" t="n"/>
      <c r="M249" s="74" t="n"/>
      <c r="O249" s="78">
        <f>IF($A249="","",YEAR($A249)*100+MONTH($A249))</f>
        <v/>
      </c>
      <c r="P249" s="79">
        <f>IF(OR($F249="",$D249=""),"",IF($D249="Receita",$F249,IF($D249="Transferência",0,-$F249)))</f>
        <v/>
      </c>
    </row>
    <row r="250">
      <c r="A250" s="73" t="n">
        <v>45849</v>
      </c>
      <c r="B250" s="74" t="inlineStr">
        <is>
          <t>Uber</t>
        </is>
      </c>
      <c r="C250" s="74" t="inlineStr">
        <is>
          <t>Transporte</t>
        </is>
      </c>
      <c r="D250" s="75">
        <f>IF($C250="","",IFERROR(INDEX(CAT_TIPO,MATCH($C250,CAT_NOME,0)),"Sem categoria"))</f>
        <v/>
      </c>
      <c r="E250" s="75">
        <f>IF($C250="","",IFERROR(INDEX(CAT_GRUPO,MATCH($C250,CAT_NOME,0)),"Sem categoria"))</f>
        <v/>
      </c>
      <c r="F250" s="76" t="n">
        <v>46.83</v>
      </c>
      <c r="G250" s="74" t="n"/>
      <c r="H250" s="74" t="inlineStr">
        <is>
          <t>Crédito</t>
        </is>
      </c>
      <c r="I250" s="74" t="inlineStr">
        <is>
          <t>Nubank Mastercard</t>
        </is>
      </c>
      <c r="J250" s="77" t="n"/>
      <c r="K250" s="77" t="n"/>
      <c r="L250" s="74" t="n"/>
      <c r="M250" s="74" t="n"/>
      <c r="O250" s="78">
        <f>IF($A250="","",YEAR($A250)*100+MONTH($A250))</f>
        <v/>
      </c>
      <c r="P250" s="79">
        <f>IF(OR($F250="",$D250=""),"",IF($D250="Receita",$F250,IF($D250="Transferência",0,-$F250)))</f>
        <v/>
      </c>
    </row>
    <row r="251">
      <c r="A251" s="73" t="n">
        <v>45850</v>
      </c>
      <c r="B251" s="74" t="inlineStr">
        <is>
          <t>Hotel e passeios (viagem)</t>
        </is>
      </c>
      <c r="C251" s="74" t="inlineStr">
        <is>
          <t>Viagens</t>
        </is>
      </c>
      <c r="D251" s="75">
        <f>IF($C251="","",IFERROR(INDEX(CAT_TIPO,MATCH($C251,CAT_NOME,0)),"Sem categoria"))</f>
        <v/>
      </c>
      <c r="E251" s="75">
        <f>IF($C251="","",IFERROR(INDEX(CAT_GRUPO,MATCH($C251,CAT_NOME,0)),"Sem categoria"))</f>
        <v/>
      </c>
      <c r="F251" s="76" t="n">
        <v>1450</v>
      </c>
      <c r="G251" s="74" t="inlineStr">
        <is>
          <t>Conta Nubank</t>
        </is>
      </c>
      <c r="H251" s="74" t="inlineStr">
        <is>
          <t>Débito</t>
        </is>
      </c>
      <c r="I251" s="74" t="n"/>
      <c r="J251" s="77" t="n"/>
      <c r="K251" s="77" t="n"/>
      <c r="L251" s="74" t="n"/>
      <c r="M251" s="74" t="n"/>
      <c r="O251" s="78">
        <f>IF($A251="","",YEAR($A251)*100+MONTH($A251))</f>
        <v/>
      </c>
      <c r="P251" s="79">
        <f>IF(OR($F251="",$D251=""),"",IF($D251="Receita",$F251,IF($D251="Transferência",0,-$F251)))</f>
        <v/>
      </c>
    </row>
    <row r="252">
      <c r="A252" s="73" t="n">
        <v>45850</v>
      </c>
      <c r="B252" s="74" t="inlineStr">
        <is>
          <t>Parcela do financiamento do carro</t>
        </is>
      </c>
      <c r="C252" s="74" t="inlineStr">
        <is>
          <t>Dívidas e parcelas</t>
        </is>
      </c>
      <c r="D252" s="75">
        <f>IF($C252="","",IFERROR(INDEX(CAT_TIPO,MATCH($C252,CAT_NOME,0)),"Sem categoria"))</f>
        <v/>
      </c>
      <c r="E252" s="75">
        <f>IF($C252="","",IFERROR(INDEX(CAT_GRUPO,MATCH($C252,CAT_NOME,0)),"Sem categoria"))</f>
        <v/>
      </c>
      <c r="F252" s="76" t="n">
        <v>560</v>
      </c>
      <c r="G252" s="74" t="inlineStr">
        <is>
          <t>Conta Nubank</t>
        </is>
      </c>
      <c r="H252" s="74" t="inlineStr">
        <is>
          <t>Boleto</t>
        </is>
      </c>
      <c r="I252" s="74" t="n"/>
      <c r="J252" s="77" t="inlineStr">
        <is>
          <t>19/48</t>
        </is>
      </c>
      <c r="K252" s="77" t="n"/>
      <c r="L252" s="74" t="n"/>
      <c r="M252" s="74" t="n"/>
      <c r="O252" s="78">
        <f>IF($A252="","",YEAR($A252)*100+MONTH($A252))</f>
        <v/>
      </c>
      <c r="P252" s="79">
        <f>IF(OR($F252="",$D252=""),"",IF($D252="Receita",$F252,IF($D252="Transferência",0,-$F252)))</f>
        <v/>
      </c>
    </row>
    <row r="253">
      <c r="A253" s="73" t="n">
        <v>45850</v>
      </c>
      <c r="B253" s="74" t="inlineStr">
        <is>
          <t>Seguro do carro</t>
        </is>
      </c>
      <c r="C253" s="74" t="inlineStr">
        <is>
          <t>Seguros</t>
        </is>
      </c>
      <c r="D253" s="75">
        <f>IF($C253="","",IFERROR(INDEX(CAT_TIPO,MATCH($C253,CAT_NOME,0)),"Sem categoria"))</f>
        <v/>
      </c>
      <c r="E253" s="75">
        <f>IF($C253="","",IFERROR(INDEX(CAT_GRUPO,MATCH($C253,CAT_NOME,0)),"Sem categoria"))</f>
        <v/>
      </c>
      <c r="F253" s="76" t="n">
        <v>140</v>
      </c>
      <c r="G253" s="74" t="inlineStr">
        <is>
          <t>Conta Nubank</t>
        </is>
      </c>
      <c r="H253" s="74" t="inlineStr">
        <is>
          <t>Débito automático</t>
        </is>
      </c>
      <c r="I253" s="74" t="n"/>
      <c r="J253" s="77" t="n"/>
      <c r="K253" s="77" t="n"/>
      <c r="L253" s="74" t="n"/>
      <c r="M253" s="74" t="n"/>
      <c r="O253" s="78">
        <f>IF($A253="","",YEAR($A253)*100+MONTH($A253))</f>
        <v/>
      </c>
      <c r="P253" s="79">
        <f>IF(OR($F253="",$D253=""),"",IF($D253="Receita",$F253,IF($D253="Transferência",0,-$F253)))</f>
        <v/>
      </c>
    </row>
    <row r="254">
      <c r="A254" s="73" t="n">
        <v>45851</v>
      </c>
      <c r="B254" s="74" t="inlineStr">
        <is>
          <t>Jantar fora</t>
        </is>
      </c>
      <c r="C254" s="74" t="inlineStr">
        <is>
          <t>Restaurantes e delivery</t>
        </is>
      </c>
      <c r="D254" s="75">
        <f>IF($C254="","",IFERROR(INDEX(CAT_TIPO,MATCH($C254,CAT_NOME,0)),"Sem categoria"))</f>
        <v/>
      </c>
      <c r="E254" s="75">
        <f>IF($C254="","",IFERROR(INDEX(CAT_GRUPO,MATCH($C254,CAT_NOME,0)),"Sem categoria"))</f>
        <v/>
      </c>
      <c r="F254" s="76" t="n">
        <v>109.54</v>
      </c>
      <c r="G254" s="74" t="n"/>
      <c r="H254" s="74" t="inlineStr">
        <is>
          <t>Crédito</t>
        </is>
      </c>
      <c r="I254" s="74" t="inlineStr">
        <is>
          <t>Nubank Mastercard</t>
        </is>
      </c>
      <c r="J254" s="77" t="n"/>
      <c r="K254" s="77" t="n"/>
      <c r="L254" s="74" t="n"/>
      <c r="M254" s="74" t="n"/>
      <c r="O254" s="78">
        <f>IF($A254="","",YEAR($A254)*100+MONTH($A254))</f>
        <v/>
      </c>
      <c r="P254" s="79">
        <f>IF(OR($F254="",$D254=""),"",IF($D254="Receita",$F254,IF($D254="Transferência",0,-$F254)))</f>
        <v/>
      </c>
    </row>
    <row r="255">
      <c r="A255" s="73" t="n">
        <v>45852</v>
      </c>
      <c r="B255" s="74" t="inlineStr">
        <is>
          <t>Conta de luz</t>
        </is>
      </c>
      <c r="C255" s="74" t="inlineStr">
        <is>
          <t>Contas da casa (luz, água, gás)</t>
        </is>
      </c>
      <c r="D255" s="75">
        <f>IF($C255="","",IFERROR(INDEX(CAT_TIPO,MATCH($C255,CAT_NOME,0)),"Sem categoria"))</f>
        <v/>
      </c>
      <c r="E255" s="75">
        <f>IF($C255="","",IFERROR(INDEX(CAT_GRUPO,MATCH($C255,CAT_NOME,0)),"Sem categoria"))</f>
        <v/>
      </c>
      <c r="F255" s="76" t="n">
        <v>188.83</v>
      </c>
      <c r="G255" s="74" t="inlineStr">
        <is>
          <t>Conta Nubank</t>
        </is>
      </c>
      <c r="H255" s="74" t="inlineStr">
        <is>
          <t>Débito automático</t>
        </is>
      </c>
      <c r="I255" s="74" t="n"/>
      <c r="J255" s="77" t="n"/>
      <c r="K255" s="77" t="n"/>
      <c r="L255" s="74" t="n"/>
      <c r="M255" s="74" t="n"/>
      <c r="O255" s="78">
        <f>IF($A255="","",YEAR($A255)*100+MONTH($A255))</f>
        <v/>
      </c>
      <c r="P255" s="79">
        <f>IF(OR($F255="",$D255=""),"",IF($D255="Receita",$F255,IF($D255="Transferência",0,-$F255)))</f>
        <v/>
      </c>
    </row>
    <row r="256">
      <c r="A256" s="73" t="n">
        <v>45853</v>
      </c>
      <c r="B256" s="74" t="inlineStr">
        <is>
          <t>Roupas e acessórios</t>
        </is>
      </c>
      <c r="C256" s="74" t="inlineStr">
        <is>
          <t>Compras pessoais</t>
        </is>
      </c>
      <c r="D256" s="75">
        <f>IF($C256="","",IFERROR(INDEX(CAT_TIPO,MATCH($C256,CAT_NOME,0)),"Sem categoria"))</f>
        <v/>
      </c>
      <c r="E256" s="75">
        <f>IF($C256="","",IFERROR(INDEX(CAT_GRUPO,MATCH($C256,CAT_NOME,0)),"Sem categoria"))</f>
        <v/>
      </c>
      <c r="F256" s="76" t="n">
        <v>80.52</v>
      </c>
      <c r="G256" s="74" t="n"/>
      <c r="H256" s="74" t="inlineStr">
        <is>
          <t>Crédito</t>
        </is>
      </c>
      <c r="I256" s="74" t="inlineStr">
        <is>
          <t>Nubank Mastercard</t>
        </is>
      </c>
      <c r="J256" s="77" t="n"/>
      <c r="K256" s="77" t="n"/>
      <c r="L256" s="74" t="n"/>
      <c r="M256" s="74" t="n"/>
      <c r="O256" s="78">
        <f>IF($A256="","",YEAR($A256)*100+MONTH($A256))</f>
        <v/>
      </c>
      <c r="P256" s="79">
        <f>IF(OR($F256="",$D256=""),"",IF($D256="Receita",$F256,IF($D256="Transferência",0,-$F256)))</f>
        <v/>
      </c>
    </row>
    <row r="257">
      <c r="A257" s="73" t="n">
        <v>45854</v>
      </c>
      <c r="B257" s="74" t="inlineStr">
        <is>
          <t>Combustível</t>
        </is>
      </c>
      <c r="C257" s="74" t="inlineStr">
        <is>
          <t>Transporte</t>
        </is>
      </c>
      <c r="D257" s="75">
        <f>IF($C257="","",IFERROR(INDEX(CAT_TIPO,MATCH($C257,CAT_NOME,0)),"Sem categoria"))</f>
        <v/>
      </c>
      <c r="E257" s="75">
        <f>IF($C257="","",IFERROR(INDEX(CAT_GRUPO,MATCH($C257,CAT_NOME,0)),"Sem categoria"))</f>
        <v/>
      </c>
      <c r="F257" s="76" t="n">
        <v>119.21</v>
      </c>
      <c r="G257" s="74" t="n"/>
      <c r="H257" s="74" t="inlineStr">
        <is>
          <t>Crédito</t>
        </is>
      </c>
      <c r="I257" s="74" t="inlineStr">
        <is>
          <t>Itaú Visa</t>
        </is>
      </c>
      <c r="J257" s="77" t="n"/>
      <c r="K257" s="77" t="n"/>
      <c r="L257" s="74" t="n"/>
      <c r="M257" s="74" t="n"/>
      <c r="O257" s="78">
        <f>IF($A257="","",YEAR($A257)*100+MONTH($A257))</f>
        <v/>
      </c>
      <c r="P257" s="79">
        <f>IF(OR($F257="",$D257=""),"",IF($D257="Receita",$F257,IF($D257="Transferência",0,-$F257)))</f>
        <v/>
      </c>
    </row>
    <row r="258">
      <c r="A258" s="73" t="n">
        <v>45855</v>
      </c>
      <c r="B258" s="74" t="inlineStr">
        <is>
          <t>Pagamento da fatura Itaú Visa</t>
        </is>
      </c>
      <c r="C258" s="74" t="inlineStr">
        <is>
          <t>Pagamento de fatura</t>
        </is>
      </c>
      <c r="D258" s="75">
        <f>IF($C258="","",IFERROR(INDEX(CAT_TIPO,MATCH($C258,CAT_NOME,0)),"Sem categoria"))</f>
        <v/>
      </c>
      <c r="E258" s="75">
        <f>IF($C258="","",IFERROR(INDEX(CAT_GRUPO,MATCH($C258,CAT_NOME,0)),"Sem categoria"))</f>
        <v/>
      </c>
      <c r="F258" s="76" t="n">
        <v>916.7</v>
      </c>
      <c r="G258" s="74" t="inlineStr">
        <is>
          <t>Conta Nubank</t>
        </is>
      </c>
      <c r="H258" s="74" t="inlineStr">
        <is>
          <t>Boleto</t>
        </is>
      </c>
      <c r="I258" s="74" t="inlineStr">
        <is>
          <t>Itaú Visa</t>
        </is>
      </c>
      <c r="J258" s="77" t="n"/>
      <c r="K258" s="77" t="n"/>
      <c r="L258" s="74" t="n"/>
      <c r="M258" s="74" t="n"/>
      <c r="O258" s="78">
        <f>IF($A258="","",YEAR($A258)*100+MONTH($A258))</f>
        <v/>
      </c>
      <c r="P258" s="79">
        <f>IF(OR($F258="",$D258=""),"",IF($D258="Receita",$F258,IF($D258="Transferência",0,-$F258)))</f>
        <v/>
      </c>
    </row>
    <row r="259">
      <c r="A259" s="73" t="n">
        <v>45855</v>
      </c>
      <c r="B259" s="74" t="inlineStr">
        <is>
          <t>Supermercado</t>
        </is>
      </c>
      <c r="C259" s="74" t="inlineStr">
        <is>
          <t>Mercado</t>
        </is>
      </c>
      <c r="D259" s="75">
        <f>IF($C259="","",IFERROR(INDEX(CAT_TIPO,MATCH($C259,CAT_NOME,0)),"Sem categoria"))</f>
        <v/>
      </c>
      <c r="E259" s="75">
        <f>IF($C259="","",IFERROR(INDEX(CAT_GRUPO,MATCH($C259,CAT_NOME,0)),"Sem categoria"))</f>
        <v/>
      </c>
      <c r="F259" s="76" t="n">
        <v>154.33</v>
      </c>
      <c r="G259" s="74" t="inlineStr">
        <is>
          <t>Conta Nubank</t>
        </is>
      </c>
      <c r="H259" s="74" t="inlineStr">
        <is>
          <t>Débito</t>
        </is>
      </c>
      <c r="I259" s="74" t="n"/>
      <c r="J259" s="77" t="n"/>
      <c r="K259" s="77" t="n"/>
      <c r="L259" s="74" t="n"/>
      <c r="M259" s="74" t="n"/>
      <c r="O259" s="78">
        <f>IF($A259="","",YEAR($A259)*100+MONTH($A259))</f>
        <v/>
      </c>
      <c r="P259" s="79">
        <f>IF(OR($F259="",$D259=""),"",IF($D259="Receita",$F259,IF($D259="Transferência",0,-$F259)))</f>
        <v/>
      </c>
    </row>
    <row r="260">
      <c r="A260" s="73" t="n">
        <v>45855</v>
      </c>
      <c r="B260" s="74" t="inlineStr">
        <is>
          <t>iCloud</t>
        </is>
      </c>
      <c r="C260" s="74" t="inlineStr">
        <is>
          <t>Assinaturas e streaming</t>
        </is>
      </c>
      <c r="D260" s="75">
        <f>IF($C260="","",IFERROR(INDEX(CAT_TIPO,MATCH($C260,CAT_NOME,0)),"Sem categoria"))</f>
        <v/>
      </c>
      <c r="E260" s="75">
        <f>IF($C260="","",IFERROR(INDEX(CAT_GRUPO,MATCH($C260,CAT_NOME,0)),"Sem categoria"))</f>
        <v/>
      </c>
      <c r="F260" s="76" t="n">
        <v>14.9</v>
      </c>
      <c r="G260" s="74" t="n"/>
      <c r="H260" s="74" t="inlineStr">
        <is>
          <t>Crédito</t>
        </is>
      </c>
      <c r="I260" s="74" t="inlineStr">
        <is>
          <t>Nubank Mastercard</t>
        </is>
      </c>
      <c r="J260" s="77" t="n"/>
      <c r="K260" s="77" t="n"/>
      <c r="L260" s="74" t="n"/>
      <c r="M260" s="74" t="n"/>
      <c r="O260" s="78">
        <f>IF($A260="","",YEAR($A260)*100+MONTH($A260))</f>
        <v/>
      </c>
      <c r="P260" s="79">
        <f>IF(OR($F260="",$D260=""),"",IF($D260="Receita",$F260,IF($D260="Transferência",0,-$F260)))</f>
        <v/>
      </c>
    </row>
    <row r="261">
      <c r="A261" s="73" t="n">
        <v>45856</v>
      </c>
      <c r="B261" s="74" t="inlineStr">
        <is>
          <t>Barbearia / salão</t>
        </is>
      </c>
      <c r="C261" s="74" t="inlineStr">
        <is>
          <t>Beleza e cuidados</t>
        </is>
      </c>
      <c r="D261" s="75">
        <f>IF($C261="","",IFERROR(INDEX(CAT_TIPO,MATCH($C261,CAT_NOME,0)),"Sem categoria"))</f>
        <v/>
      </c>
      <c r="E261" s="75">
        <f>IF($C261="","",IFERROR(INDEX(CAT_GRUPO,MATCH($C261,CAT_NOME,0)),"Sem categoria"))</f>
        <v/>
      </c>
      <c r="F261" s="76" t="n">
        <v>95.53</v>
      </c>
      <c r="G261" s="74" t="inlineStr">
        <is>
          <t>Conta Nubank</t>
        </is>
      </c>
      <c r="H261" s="74" t="inlineStr">
        <is>
          <t>Pix</t>
        </is>
      </c>
      <c r="I261" s="74" t="n"/>
      <c r="J261" s="77" t="n"/>
      <c r="K261" s="77" t="n"/>
      <c r="L261" s="74" t="n"/>
      <c r="M261" s="74" t="n"/>
      <c r="O261" s="78">
        <f>IF($A261="","",YEAR($A261)*100+MONTH($A261))</f>
        <v/>
      </c>
      <c r="P261" s="79">
        <f>IF(OR($F261="",$D261=""),"",IF($D261="Receita",$F261,IF($D261="Transferência",0,-$F261)))</f>
        <v/>
      </c>
    </row>
    <row r="262">
      <c r="A262" s="73" t="n">
        <v>45856</v>
      </c>
      <c r="B262" s="74" t="inlineStr">
        <is>
          <t>Conta de água</t>
        </is>
      </c>
      <c r="C262" s="74" t="inlineStr">
        <is>
          <t>Contas da casa (luz, água, gás)</t>
        </is>
      </c>
      <c r="D262" s="75">
        <f>IF($C262="","",IFERROR(INDEX(CAT_TIPO,MATCH($C262,CAT_NOME,0)),"Sem categoria"))</f>
        <v/>
      </c>
      <c r="E262" s="75">
        <f>IF($C262="","",IFERROR(INDEX(CAT_GRUPO,MATCH($C262,CAT_NOME,0)),"Sem categoria"))</f>
        <v/>
      </c>
      <c r="F262" s="76" t="n">
        <v>74.40000000000001</v>
      </c>
      <c r="G262" s="74" t="inlineStr">
        <is>
          <t>Conta Nubank</t>
        </is>
      </c>
      <c r="H262" s="74" t="inlineStr">
        <is>
          <t>Débito automático</t>
        </is>
      </c>
      <c r="I262" s="74" t="n"/>
      <c r="J262" s="77" t="n"/>
      <c r="K262" s="77" t="n"/>
      <c r="L262" s="74" t="n"/>
      <c r="M262" s="74" t="n"/>
      <c r="O262" s="78">
        <f>IF($A262="","",YEAR($A262)*100+MONTH($A262))</f>
        <v/>
      </c>
      <c r="P262" s="79">
        <f>IF(OR($F262="",$D262=""),"",IF($D262="Receita",$F262,IF($D262="Transferência",0,-$F262)))</f>
        <v/>
      </c>
    </row>
    <row r="263">
      <c r="A263" s="73" t="n">
        <v>45857</v>
      </c>
      <c r="B263" s="74" t="inlineStr">
        <is>
          <t>iFood</t>
        </is>
      </c>
      <c r="C263" s="74" t="inlineStr">
        <is>
          <t>Restaurantes e delivery</t>
        </is>
      </c>
      <c r="D263" s="75">
        <f>IF($C263="","",IFERROR(INDEX(CAT_TIPO,MATCH($C263,CAT_NOME,0)),"Sem categoria"))</f>
        <v/>
      </c>
      <c r="E263" s="75">
        <f>IF($C263="","",IFERROR(INDEX(CAT_GRUPO,MATCH($C263,CAT_NOME,0)),"Sem categoria"))</f>
        <v/>
      </c>
      <c r="F263" s="76" t="n">
        <v>49.53</v>
      </c>
      <c r="G263" s="74" t="n"/>
      <c r="H263" s="74" t="inlineStr">
        <is>
          <t>Crédito</t>
        </is>
      </c>
      <c r="I263" s="74" t="inlineStr">
        <is>
          <t>Nubank Mastercard</t>
        </is>
      </c>
      <c r="J263" s="77" t="n"/>
      <c r="K263" s="77" t="n"/>
      <c r="L263" s="74" t="n"/>
      <c r="M263" s="74" t="n"/>
      <c r="O263" s="78">
        <f>IF($A263="","",YEAR($A263)*100+MONTH($A263))</f>
        <v/>
      </c>
      <c r="P263" s="79">
        <f>IF(OR($F263="",$D263=""),"",IF($D263="Receita",$F263,IF($D263="Transferência",0,-$F263)))</f>
        <v/>
      </c>
    </row>
    <row r="264">
      <c r="A264" s="73" t="n">
        <v>45858</v>
      </c>
      <c r="B264" s="74" t="inlineStr">
        <is>
          <t>Internet fibra</t>
        </is>
      </c>
      <c r="C264" s="74" t="inlineStr">
        <is>
          <t>Internet e celular</t>
        </is>
      </c>
      <c r="D264" s="75">
        <f>IF($C264="","",IFERROR(INDEX(CAT_TIPO,MATCH($C264,CAT_NOME,0)),"Sem categoria"))</f>
        <v/>
      </c>
      <c r="E264" s="75">
        <f>IF($C264="","",IFERROR(INDEX(CAT_GRUPO,MATCH($C264,CAT_NOME,0)),"Sem categoria"))</f>
        <v/>
      </c>
      <c r="F264" s="76" t="n">
        <v>119.9</v>
      </c>
      <c r="G264" s="74" t="inlineStr">
        <is>
          <t>Conta Nubank</t>
        </is>
      </c>
      <c r="H264" s="74" t="inlineStr">
        <is>
          <t>Débito automático</t>
        </is>
      </c>
      <c r="I264" s="74" t="n"/>
      <c r="J264" s="77" t="n"/>
      <c r="K264" s="77" t="n"/>
      <c r="L264" s="74" t="n"/>
      <c r="M264" s="74" t="n"/>
      <c r="O264" s="78">
        <f>IF($A264="","",YEAR($A264)*100+MONTH($A264))</f>
        <v/>
      </c>
      <c r="P264" s="79">
        <f>IF(OR($F264="",$D264=""),"",IF($D264="Receita",$F264,IF($D264="Transferência",0,-$F264)))</f>
        <v/>
      </c>
    </row>
    <row r="265">
      <c r="A265" s="73" t="n">
        <v>45858</v>
      </c>
      <c r="B265" s="74" t="inlineStr">
        <is>
          <t>Projeto freelance</t>
        </is>
      </c>
      <c r="C265" s="74" t="inlineStr">
        <is>
          <t>Renda extra e freelance</t>
        </is>
      </c>
      <c r="D265" s="75">
        <f>IF($C265="","",IFERROR(INDEX(CAT_TIPO,MATCH($C265,CAT_NOME,0)),"Sem categoria"))</f>
        <v/>
      </c>
      <c r="E265" s="75">
        <f>IF($C265="","",IFERROR(INDEX(CAT_GRUPO,MATCH($C265,CAT_NOME,0)),"Sem categoria"))</f>
        <v/>
      </c>
      <c r="F265" s="76" t="n">
        <v>1900</v>
      </c>
      <c r="G265" s="74" t="inlineStr">
        <is>
          <t>Conta Nubank</t>
        </is>
      </c>
      <c r="H265" s="74" t="inlineStr">
        <is>
          <t>Pix</t>
        </is>
      </c>
      <c r="I265" s="74" t="n"/>
      <c r="J265" s="77" t="n"/>
      <c r="K265" s="77" t="n"/>
      <c r="L265" s="74" t="n"/>
      <c r="M265" s="74" t="n"/>
      <c r="O265" s="78">
        <f>IF($A265="","",YEAR($A265)*100+MONTH($A265))</f>
        <v/>
      </c>
      <c r="P265" s="79">
        <f>IF(OR($F265="",$D265=""),"",IF($D265="Receita",$F265,IF($D265="Transferência",0,-$F265)))</f>
        <v/>
      </c>
    </row>
    <row r="266">
      <c r="A266" s="73" t="n">
        <v>45859</v>
      </c>
      <c r="B266" s="74" t="inlineStr">
        <is>
          <t>Uber</t>
        </is>
      </c>
      <c r="C266" s="74" t="inlineStr">
        <is>
          <t>Transporte</t>
        </is>
      </c>
      <c r="D266" s="75">
        <f>IF($C266="","",IFERROR(INDEX(CAT_TIPO,MATCH($C266,CAT_NOME,0)),"Sem categoria"))</f>
        <v/>
      </c>
      <c r="E266" s="75">
        <f>IF($C266="","",IFERROR(INDEX(CAT_GRUPO,MATCH($C266,CAT_NOME,0)),"Sem categoria"))</f>
        <v/>
      </c>
      <c r="F266" s="76" t="n">
        <v>39.36</v>
      </c>
      <c r="G266" s="74" t="n"/>
      <c r="H266" s="74" t="inlineStr">
        <is>
          <t>Crédito</t>
        </is>
      </c>
      <c r="I266" s="74" t="inlineStr">
        <is>
          <t>Nubank Mastercard</t>
        </is>
      </c>
      <c r="J266" s="77" t="n"/>
      <c r="K266" s="77" t="n"/>
      <c r="L266" s="74" t="n"/>
      <c r="M266" s="74" t="n"/>
      <c r="O266" s="78">
        <f>IF($A266="","",YEAR($A266)*100+MONTH($A266))</f>
        <v/>
      </c>
      <c r="P266" s="79">
        <f>IF(OR($F266="",$D266=""),"",IF($D266="Receita",$F266,IF($D266="Transferência",0,-$F266)))</f>
        <v/>
      </c>
    </row>
    <row r="267">
      <c r="A267" s="73" t="n">
        <v>45860</v>
      </c>
      <c r="B267" s="74" t="inlineStr">
        <is>
          <t>Plano de celular</t>
        </is>
      </c>
      <c r="C267" s="74" t="inlineStr">
        <is>
          <t>Internet e celular</t>
        </is>
      </c>
      <c r="D267" s="75">
        <f>IF($C267="","",IFERROR(INDEX(CAT_TIPO,MATCH($C267,CAT_NOME,0)),"Sem categoria"))</f>
        <v/>
      </c>
      <c r="E267" s="75">
        <f>IF($C267="","",IFERROR(INDEX(CAT_GRUPO,MATCH($C267,CAT_NOME,0)),"Sem categoria"))</f>
        <v/>
      </c>
      <c r="F267" s="76" t="n">
        <v>59.9</v>
      </c>
      <c r="G267" s="74" t="inlineStr">
        <is>
          <t>Conta Nubank</t>
        </is>
      </c>
      <c r="H267" s="74" t="inlineStr">
        <is>
          <t>Débito automático</t>
        </is>
      </c>
      <c r="I267" s="74" t="n"/>
      <c r="J267" s="77" t="n"/>
      <c r="K267" s="77" t="n"/>
      <c r="L267" s="74" t="n"/>
      <c r="M267" s="74" t="n"/>
      <c r="O267" s="78">
        <f>IF($A267="","",YEAR($A267)*100+MONTH($A267))</f>
        <v/>
      </c>
      <c r="P267" s="79">
        <f>IF(OR($F267="",$D267=""),"",IF($D267="Receita",$F267,IF($D267="Transferência",0,-$F267)))</f>
        <v/>
      </c>
    </row>
    <row r="268">
      <c r="A268" s="73" t="n">
        <v>45861</v>
      </c>
      <c r="B268" s="74" t="inlineStr">
        <is>
          <t>Cinema e passeios</t>
        </is>
      </c>
      <c r="C268" s="74" t="inlineStr">
        <is>
          <t>Lazer e entretenimento</t>
        </is>
      </c>
      <c r="D268" s="75">
        <f>IF($C268="","",IFERROR(INDEX(CAT_TIPO,MATCH($C268,CAT_NOME,0)),"Sem categoria"))</f>
        <v/>
      </c>
      <c r="E268" s="75">
        <f>IF($C268="","",IFERROR(INDEX(CAT_GRUPO,MATCH($C268,CAT_NOME,0)),"Sem categoria"))</f>
        <v/>
      </c>
      <c r="F268" s="76" t="n">
        <v>79.63</v>
      </c>
      <c r="G268" s="74" t="n"/>
      <c r="H268" s="74" t="inlineStr">
        <is>
          <t>Crédito</t>
        </is>
      </c>
      <c r="I268" s="74" t="inlineStr">
        <is>
          <t>Itaú Visa</t>
        </is>
      </c>
      <c r="J268" s="77" t="n"/>
      <c r="K268" s="77" t="n"/>
      <c r="L268" s="74" t="n"/>
      <c r="M268" s="74" t="n"/>
      <c r="O268" s="78">
        <f>IF($A268="","",YEAR($A268)*100+MONTH($A268))</f>
        <v/>
      </c>
      <c r="P268" s="79">
        <f>IF(OR($F268="",$D268=""),"",IF($D268="Receita",$F268,IF($D268="Transferência",0,-$F268)))</f>
        <v/>
      </c>
    </row>
    <row r="269">
      <c r="A269" s="73" t="n">
        <v>45862</v>
      </c>
      <c r="B269" s="74" t="inlineStr">
        <is>
          <t>Supermercado</t>
        </is>
      </c>
      <c r="C269" s="74" t="inlineStr">
        <is>
          <t>Mercado</t>
        </is>
      </c>
      <c r="D269" s="75">
        <f>IF($C269="","",IFERROR(INDEX(CAT_TIPO,MATCH($C269,CAT_NOME,0)),"Sem categoria"))</f>
        <v/>
      </c>
      <c r="E269" s="75">
        <f>IF($C269="","",IFERROR(INDEX(CAT_GRUPO,MATCH($C269,CAT_NOME,0)),"Sem categoria"))</f>
        <v/>
      </c>
      <c r="F269" s="76" t="n">
        <v>147.02</v>
      </c>
      <c r="G269" s="74" t="inlineStr">
        <is>
          <t>Conta Nubank</t>
        </is>
      </c>
      <c r="H269" s="74" t="inlineStr">
        <is>
          <t>Débito</t>
        </is>
      </c>
      <c r="I269" s="74" t="n"/>
      <c r="J269" s="77" t="n"/>
      <c r="K269" s="77" t="n"/>
      <c r="L269" s="74" t="n"/>
      <c r="M269" s="74" t="n"/>
      <c r="O269" s="78">
        <f>IF($A269="","",YEAR($A269)*100+MONTH($A269))</f>
        <v/>
      </c>
      <c r="P269" s="79">
        <f>IF(OR($F269="",$D269=""),"",IF($D269="Receita",$F269,IF($D269="Transferência",0,-$F269)))</f>
        <v/>
      </c>
    </row>
    <row r="270">
      <c r="A270" s="73" t="n">
        <v>45864</v>
      </c>
      <c r="B270" s="74" t="inlineStr">
        <is>
          <t>Combustível</t>
        </is>
      </c>
      <c r="C270" s="74" t="inlineStr">
        <is>
          <t>Transporte</t>
        </is>
      </c>
      <c r="D270" s="75">
        <f>IF($C270="","",IFERROR(INDEX(CAT_TIPO,MATCH($C270,CAT_NOME,0)),"Sem categoria"))</f>
        <v/>
      </c>
      <c r="E270" s="75">
        <f>IF($C270="","",IFERROR(INDEX(CAT_GRUPO,MATCH($C270,CAT_NOME,0)),"Sem categoria"))</f>
        <v/>
      </c>
      <c r="F270" s="76" t="n">
        <v>125.2</v>
      </c>
      <c r="G270" s="74" t="n"/>
      <c r="H270" s="74" t="inlineStr">
        <is>
          <t>Crédito</t>
        </is>
      </c>
      <c r="I270" s="74" t="inlineStr">
        <is>
          <t>Itaú Visa</t>
        </is>
      </c>
      <c r="J270" s="77" t="n"/>
      <c r="K270" s="77" t="n"/>
      <c r="L270" s="74" t="n"/>
      <c r="M270" s="74" t="n"/>
      <c r="O270" s="78">
        <f>IF($A270="","",YEAR($A270)*100+MONTH($A270))</f>
        <v/>
      </c>
      <c r="P270" s="79">
        <f>IF(OR($F270="",$D270=""),"",IF($D270="Receita",$F270,IF($D270="Transferência",0,-$F270)))</f>
        <v/>
      </c>
    </row>
    <row r="271">
      <c r="A271" s="73" t="n">
        <v>45865</v>
      </c>
      <c r="B271" s="74" t="inlineStr">
        <is>
          <t>Almoço de domingo</t>
        </is>
      </c>
      <c r="C271" s="74" t="inlineStr">
        <is>
          <t>Restaurantes e delivery</t>
        </is>
      </c>
      <c r="D271" s="75">
        <f>IF($C271="","",IFERROR(INDEX(CAT_TIPO,MATCH($C271,CAT_NOME,0)),"Sem categoria"))</f>
        <v/>
      </c>
      <c r="E271" s="75">
        <f>IF($C271="","",IFERROR(INDEX(CAT_GRUPO,MATCH($C271,CAT_NOME,0)),"Sem categoria"))</f>
        <v/>
      </c>
      <c r="F271" s="76" t="n">
        <v>80.03</v>
      </c>
      <c r="G271" s="74" t="n"/>
      <c r="H271" s="74" t="inlineStr">
        <is>
          <t>Crédito</t>
        </is>
      </c>
      <c r="I271" s="74" t="inlineStr">
        <is>
          <t>Nubank Mastercard</t>
        </is>
      </c>
      <c r="J271" s="77" t="n"/>
      <c r="K271" s="77" t="n"/>
      <c r="L271" s="74" t="n"/>
      <c r="M271" s="74" t="n"/>
      <c r="O271" s="78">
        <f>IF($A271="","",YEAR($A271)*100+MONTH($A271))</f>
        <v/>
      </c>
      <c r="P271" s="79">
        <f>IF(OR($F271="",$D271=""),"",IF($D271="Receita",$F271,IF($D271="Transferência",0,-$F271)))</f>
        <v/>
      </c>
    </row>
    <row r="272">
      <c r="A272" s="73" t="n">
        <v>45866</v>
      </c>
      <c r="B272" s="74" t="inlineStr">
        <is>
          <t>Aporte em renda fixa</t>
        </is>
      </c>
      <c r="C272" s="74" t="inlineStr">
        <is>
          <t>Investimentos</t>
        </is>
      </c>
      <c r="D272" s="75">
        <f>IF($C272="","",IFERROR(INDEX(CAT_TIPO,MATCH($C272,CAT_NOME,0)),"Sem categoria"))</f>
        <v/>
      </c>
      <c r="E272" s="75">
        <f>IF($C272="","",IFERROR(INDEX(CAT_GRUPO,MATCH($C272,CAT_NOME,0)),"Sem categoria"))</f>
        <v/>
      </c>
      <c r="F272" s="76" t="n">
        <v>250</v>
      </c>
      <c r="G272" s="74" t="inlineStr">
        <is>
          <t>Conta Nubank</t>
        </is>
      </c>
      <c r="H272" s="74" t="inlineStr">
        <is>
          <t>Transferência</t>
        </is>
      </c>
      <c r="I272" s="74" t="n"/>
      <c r="J272" s="77" t="n"/>
      <c r="K272" s="77" t="n"/>
      <c r="L272" s="74" t="inlineStr">
        <is>
          <t>Corretora</t>
        </is>
      </c>
      <c r="M272" s="74" t="n"/>
      <c r="O272" s="78">
        <f>IF($A272="","",YEAR($A272)*100+MONTH($A272))</f>
        <v/>
      </c>
      <c r="P272" s="79">
        <f>IF(OR($F272="",$D272=""),"",IF($D272="Receita",$F272,IF($D272="Transferência",0,-$F272)))</f>
        <v/>
      </c>
    </row>
    <row r="273">
      <c r="A273" s="73" t="n">
        <v>45866</v>
      </c>
      <c r="B273" s="74" t="inlineStr">
        <is>
          <t>Cofrinho da viagem</t>
        </is>
      </c>
      <c r="C273" s="74" t="inlineStr">
        <is>
          <t>Metas e sonhos</t>
        </is>
      </c>
      <c r="D273" s="75">
        <f>IF($C273="","",IFERROR(INDEX(CAT_TIPO,MATCH($C273,CAT_NOME,0)),"Sem categoria"))</f>
        <v/>
      </c>
      <c r="E273" s="75">
        <f>IF($C273="","",IFERROR(INDEX(CAT_GRUPO,MATCH($C273,CAT_NOME,0)),"Sem categoria"))</f>
        <v/>
      </c>
      <c r="F273" s="76" t="n">
        <v>150</v>
      </c>
      <c r="G273" s="74" t="inlineStr">
        <is>
          <t>Conta Nubank</t>
        </is>
      </c>
      <c r="H273" s="74" t="inlineStr">
        <is>
          <t>Transferência</t>
        </is>
      </c>
      <c r="I273" s="74" t="n"/>
      <c r="J273" s="77" t="n"/>
      <c r="K273" s="77" t="n"/>
      <c r="L273" s="74" t="inlineStr">
        <is>
          <t>Cofrinho viagem</t>
        </is>
      </c>
      <c r="M273" s="74" t="n"/>
      <c r="O273" s="78">
        <f>IF($A273="","",YEAR($A273)*100+MONTH($A273))</f>
        <v/>
      </c>
      <c r="P273" s="79">
        <f>IF(OR($F273="",$D273=""),"",IF($D273="Receita",$F273,IF($D273="Transferência",0,-$F273)))</f>
        <v/>
      </c>
    </row>
    <row r="274">
      <c r="A274" s="73" t="n">
        <v>45866</v>
      </c>
      <c r="B274" s="74" t="inlineStr">
        <is>
          <t>Rendimento da renda fixa</t>
        </is>
      </c>
      <c r="C274" s="74" t="inlineStr">
        <is>
          <t>Rendimentos de investimentos</t>
        </is>
      </c>
      <c r="D274" s="75">
        <f>IF($C274="","",IFERROR(INDEX(CAT_TIPO,MATCH($C274,CAT_NOME,0)),"Sem categoria"))</f>
        <v/>
      </c>
      <c r="E274" s="75">
        <f>IF($C274="","",IFERROR(INDEX(CAT_GRUPO,MATCH($C274,CAT_NOME,0)),"Sem categoria"))</f>
        <v/>
      </c>
      <c r="F274" s="76" t="n">
        <v>66.58</v>
      </c>
      <c r="G274" s="74" t="inlineStr">
        <is>
          <t>Corretora</t>
        </is>
      </c>
      <c r="H274" s="74" t="inlineStr">
        <is>
          <t>Transferência</t>
        </is>
      </c>
      <c r="I274" s="74" t="n"/>
      <c r="J274" s="77" t="n"/>
      <c r="K274" s="77" t="n"/>
      <c r="L274" s="74" t="n"/>
      <c r="M274" s="74" t="n"/>
      <c r="O274" s="78">
        <f>IF($A274="","",YEAR($A274)*100+MONTH($A274))</f>
        <v/>
      </c>
      <c r="P274" s="79">
        <f>IF(OR($F274="",$D274=""),"",IF($D274="Receita",$F274,IF($D274="Transferência",0,-$F274)))</f>
        <v/>
      </c>
    </row>
    <row r="275">
      <c r="A275" s="73" t="n">
        <v>45866</v>
      </c>
      <c r="B275" s="74" t="inlineStr">
        <is>
          <t>Reserva de emergência</t>
        </is>
      </c>
      <c r="C275" s="74" t="inlineStr">
        <is>
          <t>Reserva de emergência</t>
        </is>
      </c>
      <c r="D275" s="75">
        <f>IF($C275="","",IFERROR(INDEX(CAT_TIPO,MATCH($C275,CAT_NOME,0)),"Sem categoria"))</f>
        <v/>
      </c>
      <c r="E275" s="75">
        <f>IF($C275="","",IFERROR(INDEX(CAT_GRUPO,MATCH($C275,CAT_NOME,0)),"Sem categoria"))</f>
        <v/>
      </c>
      <c r="F275" s="76" t="n">
        <v>400</v>
      </c>
      <c r="G275" s="74" t="inlineStr">
        <is>
          <t>Conta Nubank</t>
        </is>
      </c>
      <c r="H275" s="74" t="inlineStr">
        <is>
          <t>Transferência</t>
        </is>
      </c>
      <c r="I275" s="74" t="n"/>
      <c r="J275" s="77" t="n"/>
      <c r="K275" s="77" t="n"/>
      <c r="L275" s="74" t="inlineStr">
        <is>
          <t>Poupança Caixa</t>
        </is>
      </c>
      <c r="M275" s="74" t="n"/>
      <c r="O275" s="78">
        <f>IF($A275="","",YEAR($A275)*100+MONTH($A275))</f>
        <v/>
      </c>
      <c r="P275" s="79">
        <f>IF(OR($F275="",$D275=""),"",IF($D275="Receita",$F275,IF($D275="Transferência",0,-$F275)))</f>
        <v/>
      </c>
    </row>
    <row r="276">
      <c r="A276" s="73" t="n">
        <v>45872</v>
      </c>
      <c r="B276" s="74" t="inlineStr">
        <is>
          <t>Netflix</t>
        </is>
      </c>
      <c r="C276" s="74" t="inlineStr">
        <is>
          <t>Assinaturas e streaming</t>
        </is>
      </c>
      <c r="D276" s="75">
        <f>IF($C276="","",IFERROR(INDEX(CAT_TIPO,MATCH($C276,CAT_NOME,0)),"Sem categoria"))</f>
        <v/>
      </c>
      <c r="E276" s="75">
        <f>IF($C276="","",IFERROR(INDEX(CAT_GRUPO,MATCH($C276,CAT_NOME,0)),"Sem categoria"))</f>
        <v/>
      </c>
      <c r="F276" s="76" t="n">
        <v>55.9</v>
      </c>
      <c r="G276" s="74" t="n"/>
      <c r="H276" s="74" t="inlineStr">
        <is>
          <t>Crédito</t>
        </is>
      </c>
      <c r="I276" s="74" t="inlineStr">
        <is>
          <t>Nubank Mastercard</t>
        </is>
      </c>
      <c r="J276" s="77" t="n"/>
      <c r="K276" s="77" t="n"/>
      <c r="L276" s="74" t="n"/>
      <c r="M276" s="74" t="n"/>
      <c r="O276" s="78">
        <f>IF($A276="","",YEAR($A276)*100+MONTH($A276))</f>
        <v/>
      </c>
      <c r="P276" s="79">
        <f>IF(OR($F276="",$D276=""),"",IF($D276="Receita",$F276,IF($D276="Transferência",0,-$F276)))</f>
        <v/>
      </c>
    </row>
    <row r="277">
      <c r="A277" s="73" t="n">
        <v>45872</v>
      </c>
      <c r="B277" s="74" t="inlineStr">
        <is>
          <t>Supermercado</t>
        </is>
      </c>
      <c r="C277" s="74" t="inlineStr">
        <is>
          <t>Mercado</t>
        </is>
      </c>
      <c r="D277" s="75">
        <f>IF($C277="","",IFERROR(INDEX(CAT_TIPO,MATCH($C277,CAT_NOME,0)),"Sem categoria"))</f>
        <v/>
      </c>
      <c r="E277" s="75">
        <f>IF($C277="","",IFERROR(INDEX(CAT_GRUPO,MATCH($C277,CAT_NOME,0)),"Sem categoria"))</f>
        <v/>
      </c>
      <c r="F277" s="76" t="n">
        <v>134.16</v>
      </c>
      <c r="G277" s="74" t="inlineStr">
        <is>
          <t>Conta Nubank</t>
        </is>
      </c>
      <c r="H277" s="74" t="inlineStr">
        <is>
          <t>Débito</t>
        </is>
      </c>
      <c r="I277" s="74" t="n"/>
      <c r="J277" s="77" t="n"/>
      <c r="K277" s="77" t="n"/>
      <c r="L277" s="74" t="n"/>
      <c r="M277" s="74" t="n"/>
      <c r="O277" s="78">
        <f>IF($A277="","",YEAR($A277)*100+MONTH($A277))</f>
        <v/>
      </c>
      <c r="P277" s="79">
        <f>IF(OR($F277="",$D277=""),"",IF($D277="Receita",$F277,IF($D277="Transferência",0,-$F277)))</f>
        <v/>
      </c>
    </row>
    <row r="278">
      <c r="A278" s="73" t="n">
        <v>45873</v>
      </c>
      <c r="B278" s="74" t="inlineStr">
        <is>
          <t>Spotify</t>
        </is>
      </c>
      <c r="C278" s="74" t="inlineStr">
        <is>
          <t>Assinaturas e streaming</t>
        </is>
      </c>
      <c r="D278" s="75">
        <f>IF($C278="","",IFERROR(INDEX(CAT_TIPO,MATCH($C278,CAT_NOME,0)),"Sem categoria"))</f>
        <v/>
      </c>
      <c r="E278" s="75">
        <f>IF($C278="","",IFERROR(INDEX(CAT_GRUPO,MATCH($C278,CAT_NOME,0)),"Sem categoria"))</f>
        <v/>
      </c>
      <c r="F278" s="76" t="n">
        <v>23.9</v>
      </c>
      <c r="G278" s="74" t="n"/>
      <c r="H278" s="74" t="inlineStr">
        <is>
          <t>Crédito</t>
        </is>
      </c>
      <c r="I278" s="74" t="inlineStr">
        <is>
          <t>Nubank Mastercard</t>
        </is>
      </c>
      <c r="J278" s="77" t="n"/>
      <c r="K278" s="77" t="n"/>
      <c r="L278" s="74" t="n"/>
      <c r="M278" s="74" t="n"/>
      <c r="O278" s="78">
        <f>IF($A278="","",YEAR($A278)*100+MONTH($A278))</f>
        <v/>
      </c>
      <c r="P278" s="79">
        <f>IF(OR($F278="",$D278=""),"",IF($D278="Receita",$F278,IF($D278="Transferência",0,-$F278)))</f>
        <v/>
      </c>
    </row>
    <row r="279">
      <c r="A279" s="73" t="n">
        <v>45874</v>
      </c>
      <c r="B279" s="74" t="inlineStr">
        <is>
          <t>Academia</t>
        </is>
      </c>
      <c r="C279" s="74" t="inlineStr">
        <is>
          <t>Assinaturas e streaming</t>
        </is>
      </c>
      <c r="D279" s="75">
        <f>IF($C279="","",IFERROR(INDEX(CAT_TIPO,MATCH($C279,CAT_NOME,0)),"Sem categoria"))</f>
        <v/>
      </c>
      <c r="E279" s="75">
        <f>IF($C279="","",IFERROR(INDEX(CAT_GRUPO,MATCH($C279,CAT_NOME,0)),"Sem categoria"))</f>
        <v/>
      </c>
      <c r="F279" s="76" t="n">
        <v>119.9</v>
      </c>
      <c r="G279" s="74" t="n"/>
      <c r="H279" s="74" t="inlineStr">
        <is>
          <t>Crédito</t>
        </is>
      </c>
      <c r="I279" s="74" t="inlineStr">
        <is>
          <t>Nubank Mastercard</t>
        </is>
      </c>
      <c r="J279" s="77" t="n"/>
      <c r="K279" s="77" t="n"/>
      <c r="L279" s="74" t="n"/>
      <c r="M279" s="74" t="n"/>
      <c r="O279" s="78">
        <f>IF($A279="","",YEAR($A279)*100+MONTH($A279))</f>
        <v/>
      </c>
      <c r="P279" s="79">
        <f>IF(OR($F279="",$D279=""),"",IF($D279="Receita",$F279,IF($D279="Transferência",0,-$F279)))</f>
        <v/>
      </c>
    </row>
    <row r="280">
      <c r="A280" s="73" t="n">
        <v>45874</v>
      </c>
      <c r="B280" s="74" t="inlineStr">
        <is>
          <t>Pagamento da fatura Nubank Mastercard</t>
        </is>
      </c>
      <c r="C280" s="74" t="inlineStr">
        <is>
          <t>Pagamento de fatura</t>
        </is>
      </c>
      <c r="D280" s="75">
        <f>IF($C280="","",IFERROR(INDEX(CAT_TIPO,MATCH($C280,CAT_NOME,0)),"Sem categoria"))</f>
        <v/>
      </c>
      <c r="E280" s="75">
        <f>IF($C280="","",IFERROR(INDEX(CAT_GRUPO,MATCH($C280,CAT_NOME,0)),"Sem categoria"))</f>
        <v/>
      </c>
      <c r="F280" s="76" t="n">
        <v>991.0700000000001</v>
      </c>
      <c r="G280" s="74" t="inlineStr">
        <is>
          <t>Conta Nubank</t>
        </is>
      </c>
      <c r="H280" s="74" t="inlineStr">
        <is>
          <t>Boleto</t>
        </is>
      </c>
      <c r="I280" s="74" t="inlineStr">
        <is>
          <t>Nubank Mastercard</t>
        </is>
      </c>
      <c r="J280" s="77" t="n"/>
      <c r="K280" s="77" t="n"/>
      <c r="L280" s="74" t="n"/>
      <c r="M280" s="74" t="n"/>
      <c r="O280" s="78">
        <f>IF($A280="","",YEAR($A280)*100+MONTH($A280))</f>
        <v/>
      </c>
      <c r="P280" s="79">
        <f>IF(OR($F280="",$D280=""),"",IF($D280="Receita",$F280,IF($D280="Transferência",0,-$F280)))</f>
        <v/>
      </c>
    </row>
    <row r="281">
      <c r="A281" s="73" t="n">
        <v>45874</v>
      </c>
      <c r="B281" s="74" t="inlineStr">
        <is>
          <t>Salário</t>
        </is>
      </c>
      <c r="C281" s="74" t="inlineStr">
        <is>
          <t>Salário</t>
        </is>
      </c>
      <c r="D281" s="75">
        <f>IF($C281="","",IFERROR(INDEX(CAT_TIPO,MATCH($C281,CAT_NOME,0)),"Sem categoria"))</f>
        <v/>
      </c>
      <c r="E281" s="75">
        <f>IF($C281="","",IFERROR(INDEX(CAT_GRUPO,MATCH($C281,CAT_NOME,0)),"Sem categoria"))</f>
        <v/>
      </c>
      <c r="F281" s="76" t="n">
        <v>5600</v>
      </c>
      <c r="G281" s="74" t="inlineStr">
        <is>
          <t>Conta Nubank</t>
        </is>
      </c>
      <c r="H281" s="74" t="inlineStr">
        <is>
          <t>Transferência</t>
        </is>
      </c>
      <c r="I281" s="74" t="n"/>
      <c r="J281" s="77" t="n"/>
      <c r="K281" s="77" t="n"/>
      <c r="L281" s="74" t="n"/>
      <c r="M281" s="74" t="n"/>
      <c r="O281" s="78">
        <f>IF($A281="","",YEAR($A281)*100+MONTH($A281))</f>
        <v/>
      </c>
      <c r="P281" s="79">
        <f>IF(OR($F281="",$D281=""),"",IF($D281="Receita",$F281,IF($D281="Transferência",0,-$F281)))</f>
        <v/>
      </c>
    </row>
    <row r="282">
      <c r="A282" s="73" t="n">
        <v>45875</v>
      </c>
      <c r="B282" s="74" t="inlineStr">
        <is>
          <t>Plano de saúde</t>
        </is>
      </c>
      <c r="C282" s="74" t="inlineStr">
        <is>
          <t>Saúde e farmácia</t>
        </is>
      </c>
      <c r="D282" s="75">
        <f>IF($C282="","",IFERROR(INDEX(CAT_TIPO,MATCH($C282,CAT_NOME,0)),"Sem categoria"))</f>
        <v/>
      </c>
      <c r="E282" s="75">
        <f>IF($C282="","",IFERROR(INDEX(CAT_GRUPO,MATCH($C282,CAT_NOME,0)),"Sem categoria"))</f>
        <v/>
      </c>
      <c r="F282" s="76" t="n">
        <v>290</v>
      </c>
      <c r="G282" s="74" t="inlineStr">
        <is>
          <t>Conta Nubank</t>
        </is>
      </c>
      <c r="H282" s="74" t="inlineStr">
        <is>
          <t>Débito automático</t>
        </is>
      </c>
      <c r="I282" s="74" t="n"/>
      <c r="J282" s="77" t="n"/>
      <c r="K282" s="77" t="n"/>
      <c r="L282" s="74" t="n"/>
      <c r="M282" s="74" t="n"/>
      <c r="O282" s="78">
        <f>IF($A282="","",YEAR($A282)*100+MONTH($A282))</f>
        <v/>
      </c>
      <c r="P282" s="79">
        <f>IF(OR($F282="",$D282=""),"",IF($D282="Receita",$F282,IF($D282="Transferência",0,-$F282)))</f>
        <v/>
      </c>
    </row>
    <row r="283">
      <c r="A283" s="73" t="n">
        <v>45876</v>
      </c>
      <c r="B283" s="74" t="inlineStr">
        <is>
          <t>Combustível</t>
        </is>
      </c>
      <c r="C283" s="74" t="inlineStr">
        <is>
          <t>Transporte</t>
        </is>
      </c>
      <c r="D283" s="75">
        <f>IF($C283="","",IFERROR(INDEX(CAT_TIPO,MATCH($C283,CAT_NOME,0)),"Sem categoria"))</f>
        <v/>
      </c>
      <c r="E283" s="75">
        <f>IF($C283="","",IFERROR(INDEX(CAT_GRUPO,MATCH($C283,CAT_NOME,0)),"Sem categoria"))</f>
        <v/>
      </c>
      <c r="F283" s="76" t="n">
        <v>116.16</v>
      </c>
      <c r="G283" s="74" t="n"/>
      <c r="H283" s="74" t="inlineStr">
        <is>
          <t>Crédito</t>
        </is>
      </c>
      <c r="I283" s="74" t="inlineStr">
        <is>
          <t>Itaú Visa</t>
        </is>
      </c>
      <c r="J283" s="77" t="n"/>
      <c r="K283" s="77" t="n"/>
      <c r="L283" s="74" t="n"/>
      <c r="M283" s="74" t="n"/>
      <c r="O283" s="78">
        <f>IF($A283="","",YEAR($A283)*100+MONTH($A283))</f>
        <v/>
      </c>
      <c r="P283" s="79">
        <f>IF(OR($F283="",$D283=""),"",IF($D283="Receita",$F283,IF($D283="Transferência",0,-$F283)))</f>
        <v/>
      </c>
    </row>
    <row r="284">
      <c r="A284" s="73" t="n">
        <v>45877</v>
      </c>
      <c r="B284" s="74" t="inlineStr">
        <is>
          <t>Aluguel</t>
        </is>
      </c>
      <c r="C284" s="74" t="inlineStr">
        <is>
          <t>Moradia (aluguel ou financiamento)</t>
        </is>
      </c>
      <c r="D284" s="75">
        <f>IF($C284="","",IFERROR(INDEX(CAT_TIPO,MATCH($C284,CAT_NOME,0)),"Sem categoria"))</f>
        <v/>
      </c>
      <c r="E284" s="75">
        <f>IF($C284="","",IFERROR(INDEX(CAT_GRUPO,MATCH($C284,CAT_NOME,0)),"Sem categoria"))</f>
        <v/>
      </c>
      <c r="F284" s="76" t="n">
        <v>1200</v>
      </c>
      <c r="G284" s="74" t="inlineStr">
        <is>
          <t>Conta Nubank</t>
        </is>
      </c>
      <c r="H284" s="74" t="inlineStr">
        <is>
          <t>Boleto</t>
        </is>
      </c>
      <c r="I284" s="74" t="n"/>
      <c r="J284" s="77" t="n"/>
      <c r="K284" s="77" t="n"/>
      <c r="L284" s="74" t="n"/>
      <c r="M284" s="74" t="n"/>
      <c r="O284" s="78">
        <f>IF($A284="","",YEAR($A284)*100+MONTH($A284))</f>
        <v/>
      </c>
      <c r="P284" s="79">
        <f>IF(OR($F284="",$D284=""),"",IF($D284="Receita",$F284,IF($D284="Transferência",0,-$F284)))</f>
        <v/>
      </c>
    </row>
    <row r="285">
      <c r="A285" s="73" t="n">
        <v>45878</v>
      </c>
      <c r="B285" s="74" t="inlineStr">
        <is>
          <t>Farmácia</t>
        </is>
      </c>
      <c r="C285" s="74" t="inlineStr">
        <is>
          <t>Saúde e farmácia</t>
        </is>
      </c>
      <c r="D285" s="75">
        <f>IF($C285="","",IFERROR(INDEX(CAT_TIPO,MATCH($C285,CAT_NOME,0)),"Sem categoria"))</f>
        <v/>
      </c>
      <c r="E285" s="75">
        <f>IF($C285="","",IFERROR(INDEX(CAT_GRUPO,MATCH($C285,CAT_NOME,0)),"Sem categoria"))</f>
        <v/>
      </c>
      <c r="F285" s="76" t="n">
        <v>77.52</v>
      </c>
      <c r="G285" s="74" t="n"/>
      <c r="H285" s="74" t="inlineStr">
        <is>
          <t>Crédito</t>
        </is>
      </c>
      <c r="I285" s="74" t="inlineStr">
        <is>
          <t>Itaú Visa</t>
        </is>
      </c>
      <c r="J285" s="77" t="n"/>
      <c r="K285" s="77" t="n"/>
      <c r="L285" s="74" t="n"/>
      <c r="M285" s="74" t="n"/>
      <c r="O285" s="78">
        <f>IF($A285="","",YEAR($A285)*100+MONTH($A285))</f>
        <v/>
      </c>
      <c r="P285" s="79">
        <f>IF(OR($F285="",$D285=""),"",IF($D285="Receita",$F285,IF($D285="Transferência",0,-$F285)))</f>
        <v/>
      </c>
    </row>
    <row r="286">
      <c r="A286" s="73" t="n">
        <v>45878</v>
      </c>
      <c r="B286" s="74" t="inlineStr">
        <is>
          <t>Presente Dia dos Pais</t>
        </is>
      </c>
      <c r="C286" s="74" t="inlineStr">
        <is>
          <t>Presentes e doações</t>
        </is>
      </c>
      <c r="D286" s="75">
        <f>IF($C286="","",IFERROR(INDEX(CAT_TIPO,MATCH($C286,CAT_NOME,0)),"Sem categoria"))</f>
        <v/>
      </c>
      <c r="E286" s="75">
        <f>IF($C286="","",IFERROR(INDEX(CAT_GRUPO,MATCH($C286,CAT_NOME,0)),"Sem categoria"))</f>
        <v/>
      </c>
      <c r="F286" s="76" t="n">
        <v>160</v>
      </c>
      <c r="G286" s="74" t="inlineStr">
        <is>
          <t>Conta Nubank</t>
        </is>
      </c>
      <c r="H286" s="74" t="inlineStr">
        <is>
          <t>Pix</t>
        </is>
      </c>
      <c r="I286" s="74" t="n"/>
      <c r="J286" s="77" t="n"/>
      <c r="K286" s="77" t="n"/>
      <c r="L286" s="74" t="n"/>
      <c r="M286" s="74" t="n"/>
      <c r="O286" s="78">
        <f>IF($A286="","",YEAR($A286)*100+MONTH($A286))</f>
        <v/>
      </c>
      <c r="P286" s="79">
        <f>IF(OR($F286="",$D286=""),"",IF($D286="Receita",$F286,IF($D286="Transferência",0,-$F286)))</f>
        <v/>
      </c>
    </row>
    <row r="287">
      <c r="A287" s="73" t="n">
        <v>45879</v>
      </c>
      <c r="B287" s="74" t="inlineStr">
        <is>
          <t>Condomínio</t>
        </is>
      </c>
      <c r="C287" s="74" t="inlineStr">
        <is>
          <t>Condomínio e IPTU</t>
        </is>
      </c>
      <c r="D287" s="75">
        <f>IF($C287="","",IFERROR(INDEX(CAT_TIPO,MATCH($C287,CAT_NOME,0)),"Sem categoria"))</f>
        <v/>
      </c>
      <c r="E287" s="75">
        <f>IF($C287="","",IFERROR(INDEX(CAT_GRUPO,MATCH($C287,CAT_NOME,0)),"Sem categoria"))</f>
        <v/>
      </c>
      <c r="F287" s="76" t="n">
        <v>300</v>
      </c>
      <c r="G287" s="74" t="inlineStr">
        <is>
          <t>Conta Nubank</t>
        </is>
      </c>
      <c r="H287" s="74" t="inlineStr">
        <is>
          <t>Boleto</t>
        </is>
      </c>
      <c r="I287" s="74" t="n"/>
      <c r="J287" s="77" t="n"/>
      <c r="K287" s="77" t="n"/>
      <c r="L287" s="74" t="n"/>
      <c r="M287" s="74" t="n"/>
      <c r="O287" s="78">
        <f>IF($A287="","",YEAR($A287)*100+MONTH($A287))</f>
        <v/>
      </c>
      <c r="P287" s="79">
        <f>IF(OR($F287="",$D287=""),"",IF($D287="Receita",$F287,IF($D287="Transferência",0,-$F287)))</f>
        <v/>
      </c>
    </row>
    <row r="288">
      <c r="A288" s="73" t="n">
        <v>45879</v>
      </c>
      <c r="B288" s="74" t="inlineStr">
        <is>
          <t>Supermercado</t>
        </is>
      </c>
      <c r="C288" s="74" t="inlineStr">
        <is>
          <t>Mercado</t>
        </is>
      </c>
      <c r="D288" s="75">
        <f>IF($C288="","",IFERROR(INDEX(CAT_TIPO,MATCH($C288,CAT_NOME,0)),"Sem categoria"))</f>
        <v/>
      </c>
      <c r="E288" s="75">
        <f>IF($C288="","",IFERROR(INDEX(CAT_GRUPO,MATCH($C288,CAT_NOME,0)),"Sem categoria"))</f>
        <v/>
      </c>
      <c r="F288" s="76" t="n">
        <v>161.74</v>
      </c>
      <c r="G288" s="74" t="inlineStr">
        <is>
          <t>Conta Nubank</t>
        </is>
      </c>
      <c r="H288" s="74" t="inlineStr">
        <is>
          <t>Débito</t>
        </is>
      </c>
      <c r="I288" s="74" t="n"/>
      <c r="J288" s="77" t="n"/>
      <c r="K288" s="77" t="n"/>
      <c r="L288" s="74" t="n"/>
      <c r="M288" s="74" t="n"/>
      <c r="O288" s="78">
        <f>IF($A288="","",YEAR($A288)*100+MONTH($A288))</f>
        <v/>
      </c>
      <c r="P288" s="79">
        <f>IF(OR($F288="",$D288=""),"",IF($D288="Receita",$F288,IF($D288="Transferência",0,-$F288)))</f>
        <v/>
      </c>
    </row>
    <row r="289">
      <c r="A289" s="73" t="n">
        <v>45880</v>
      </c>
      <c r="B289" s="74" t="inlineStr">
        <is>
          <t>Uber</t>
        </is>
      </c>
      <c r="C289" s="74" t="inlineStr">
        <is>
          <t>Transporte</t>
        </is>
      </c>
      <c r="D289" s="75">
        <f>IF($C289="","",IFERROR(INDEX(CAT_TIPO,MATCH($C289,CAT_NOME,0)),"Sem categoria"))</f>
        <v/>
      </c>
      <c r="E289" s="75">
        <f>IF($C289="","",IFERROR(INDEX(CAT_GRUPO,MATCH($C289,CAT_NOME,0)),"Sem categoria"))</f>
        <v/>
      </c>
      <c r="F289" s="76" t="n">
        <v>25.51</v>
      </c>
      <c r="G289" s="74" t="n"/>
      <c r="H289" s="74" t="inlineStr">
        <is>
          <t>Crédito</t>
        </is>
      </c>
      <c r="I289" s="74" t="inlineStr">
        <is>
          <t>Nubank Mastercard</t>
        </is>
      </c>
      <c r="J289" s="77" t="n"/>
      <c r="K289" s="77" t="n"/>
      <c r="L289" s="74" t="n"/>
      <c r="M289" s="74" t="n"/>
      <c r="O289" s="78">
        <f>IF($A289="","",YEAR($A289)*100+MONTH($A289))</f>
        <v/>
      </c>
      <c r="P289" s="79">
        <f>IF(OR($F289="",$D289=""),"",IF($D289="Receita",$F289,IF($D289="Transferência",0,-$F289)))</f>
        <v/>
      </c>
    </row>
    <row r="290">
      <c r="A290" s="73" t="n">
        <v>45881</v>
      </c>
      <c r="B290" s="74" t="inlineStr">
        <is>
          <t>Parcela do financiamento do carro</t>
        </is>
      </c>
      <c r="C290" s="74" t="inlineStr">
        <is>
          <t>Dívidas e parcelas</t>
        </is>
      </c>
      <c r="D290" s="75">
        <f>IF($C290="","",IFERROR(INDEX(CAT_TIPO,MATCH($C290,CAT_NOME,0)),"Sem categoria"))</f>
        <v/>
      </c>
      <c r="E290" s="75">
        <f>IF($C290="","",IFERROR(INDEX(CAT_GRUPO,MATCH($C290,CAT_NOME,0)),"Sem categoria"))</f>
        <v/>
      </c>
      <c r="F290" s="76" t="n">
        <v>560</v>
      </c>
      <c r="G290" s="74" t="inlineStr">
        <is>
          <t>Conta Nubank</t>
        </is>
      </c>
      <c r="H290" s="74" t="inlineStr">
        <is>
          <t>Boleto</t>
        </is>
      </c>
      <c r="I290" s="74" t="n"/>
      <c r="J290" s="77" t="inlineStr">
        <is>
          <t>20/48</t>
        </is>
      </c>
      <c r="K290" s="77" t="n"/>
      <c r="L290" s="74" t="n"/>
      <c r="M290" s="74" t="n"/>
      <c r="O290" s="78">
        <f>IF($A290="","",YEAR($A290)*100+MONTH($A290))</f>
        <v/>
      </c>
      <c r="P290" s="79">
        <f>IF(OR($F290="",$D290=""),"",IF($D290="Receita",$F290,IF($D290="Transferência",0,-$F290)))</f>
        <v/>
      </c>
    </row>
    <row r="291">
      <c r="A291" s="73" t="n">
        <v>45881</v>
      </c>
      <c r="B291" s="74" t="inlineStr">
        <is>
          <t>Seguro do carro</t>
        </is>
      </c>
      <c r="C291" s="74" t="inlineStr">
        <is>
          <t>Seguros</t>
        </is>
      </c>
      <c r="D291" s="75">
        <f>IF($C291="","",IFERROR(INDEX(CAT_TIPO,MATCH($C291,CAT_NOME,0)),"Sem categoria"))</f>
        <v/>
      </c>
      <c r="E291" s="75">
        <f>IF($C291="","",IFERROR(INDEX(CAT_GRUPO,MATCH($C291,CAT_NOME,0)),"Sem categoria"))</f>
        <v/>
      </c>
      <c r="F291" s="76" t="n">
        <v>140</v>
      </c>
      <c r="G291" s="74" t="inlineStr">
        <is>
          <t>Conta Nubank</t>
        </is>
      </c>
      <c r="H291" s="74" t="inlineStr">
        <is>
          <t>Débito automático</t>
        </is>
      </c>
      <c r="I291" s="74" t="n"/>
      <c r="J291" s="77" t="n"/>
      <c r="K291" s="77" t="n"/>
      <c r="L291" s="74" t="n"/>
      <c r="M291" s="74" t="n"/>
      <c r="O291" s="78">
        <f>IF($A291="","",YEAR($A291)*100+MONTH($A291))</f>
        <v/>
      </c>
      <c r="P291" s="79">
        <f>IF(OR($F291="",$D291=""),"",IF($D291="Receita",$F291,IF($D291="Transferência",0,-$F291)))</f>
        <v/>
      </c>
    </row>
    <row r="292">
      <c r="A292" s="73" t="n">
        <v>45882</v>
      </c>
      <c r="B292" s="74" t="inlineStr">
        <is>
          <t>Jantar fora</t>
        </is>
      </c>
      <c r="C292" s="74" t="inlineStr">
        <is>
          <t>Restaurantes e delivery</t>
        </is>
      </c>
      <c r="D292" s="75">
        <f>IF($C292="","",IFERROR(INDEX(CAT_TIPO,MATCH($C292,CAT_NOME,0)),"Sem categoria"))</f>
        <v/>
      </c>
      <c r="E292" s="75">
        <f>IF($C292="","",IFERROR(INDEX(CAT_GRUPO,MATCH($C292,CAT_NOME,0)),"Sem categoria"))</f>
        <v/>
      </c>
      <c r="F292" s="76" t="n">
        <v>73.41</v>
      </c>
      <c r="G292" s="74" t="n"/>
      <c r="H292" s="74" t="inlineStr">
        <is>
          <t>Crédito</t>
        </is>
      </c>
      <c r="I292" s="74" t="inlineStr">
        <is>
          <t>Nubank Mastercard</t>
        </is>
      </c>
      <c r="J292" s="77" t="n"/>
      <c r="K292" s="77" t="n"/>
      <c r="L292" s="74" t="n"/>
      <c r="M292" s="74" t="n"/>
      <c r="O292" s="78">
        <f>IF($A292="","",YEAR($A292)*100+MONTH($A292))</f>
        <v/>
      </c>
      <c r="P292" s="79">
        <f>IF(OR($F292="",$D292=""),"",IF($D292="Receita",$F292,IF($D292="Transferência",0,-$F292)))</f>
        <v/>
      </c>
    </row>
    <row r="293">
      <c r="A293" s="73" t="n">
        <v>45883</v>
      </c>
      <c r="B293" s="74" t="inlineStr">
        <is>
          <t>Conta de luz</t>
        </is>
      </c>
      <c r="C293" s="74" t="inlineStr">
        <is>
          <t>Contas da casa (luz, água, gás)</t>
        </is>
      </c>
      <c r="D293" s="75">
        <f>IF($C293="","",IFERROR(INDEX(CAT_TIPO,MATCH($C293,CAT_NOME,0)),"Sem categoria"))</f>
        <v/>
      </c>
      <c r="E293" s="75">
        <f>IF($C293="","",IFERROR(INDEX(CAT_GRUPO,MATCH($C293,CAT_NOME,0)),"Sem categoria"))</f>
        <v/>
      </c>
      <c r="F293" s="76" t="n">
        <v>121.51</v>
      </c>
      <c r="G293" s="74" t="inlineStr">
        <is>
          <t>Conta Nubank</t>
        </is>
      </c>
      <c r="H293" s="74" t="inlineStr">
        <is>
          <t>Débito automático</t>
        </is>
      </c>
      <c r="I293" s="74" t="n"/>
      <c r="J293" s="77" t="n"/>
      <c r="K293" s="77" t="n"/>
      <c r="L293" s="74" t="n"/>
      <c r="M293" s="74" t="n"/>
      <c r="O293" s="78">
        <f>IF($A293="","",YEAR($A293)*100+MONTH($A293))</f>
        <v/>
      </c>
      <c r="P293" s="79">
        <f>IF(OR($F293="",$D293=""),"",IF($D293="Receita",$F293,IF($D293="Transferência",0,-$F293)))</f>
        <v/>
      </c>
    </row>
    <row r="294">
      <c r="A294" s="73" t="n">
        <v>45884</v>
      </c>
      <c r="B294" s="74" t="inlineStr">
        <is>
          <t>Projeto freelance</t>
        </is>
      </c>
      <c r="C294" s="74" t="inlineStr">
        <is>
          <t>Renda extra e freelance</t>
        </is>
      </c>
      <c r="D294" s="75">
        <f>IF($C294="","",IFERROR(INDEX(CAT_TIPO,MATCH($C294,CAT_NOME,0)),"Sem categoria"))</f>
        <v/>
      </c>
      <c r="E294" s="75">
        <f>IF($C294="","",IFERROR(INDEX(CAT_GRUPO,MATCH($C294,CAT_NOME,0)),"Sem categoria"))</f>
        <v/>
      </c>
      <c r="F294" s="76" t="n">
        <v>720</v>
      </c>
      <c r="G294" s="74" t="inlineStr">
        <is>
          <t>Conta Nubank</t>
        </is>
      </c>
      <c r="H294" s="74" t="inlineStr">
        <is>
          <t>Pix</t>
        </is>
      </c>
      <c r="I294" s="74" t="n"/>
      <c r="J294" s="77" t="n"/>
      <c r="K294" s="77" t="n"/>
      <c r="L294" s="74" t="n"/>
      <c r="M294" s="74" t="n"/>
      <c r="O294" s="78">
        <f>IF($A294="","",YEAR($A294)*100+MONTH($A294))</f>
        <v/>
      </c>
      <c r="P294" s="79">
        <f>IF(OR($F294="",$D294=""),"",IF($D294="Receita",$F294,IF($D294="Transferência",0,-$F294)))</f>
        <v/>
      </c>
    </row>
    <row r="295">
      <c r="A295" s="73" t="n">
        <v>45884</v>
      </c>
      <c r="B295" s="74" t="inlineStr">
        <is>
          <t>Roupas e acessórios</t>
        </is>
      </c>
      <c r="C295" s="74" t="inlineStr">
        <is>
          <t>Compras pessoais</t>
        </is>
      </c>
      <c r="D295" s="75">
        <f>IF($C295="","",IFERROR(INDEX(CAT_TIPO,MATCH($C295,CAT_NOME,0)),"Sem categoria"))</f>
        <v/>
      </c>
      <c r="E295" s="75">
        <f>IF($C295="","",IFERROR(INDEX(CAT_GRUPO,MATCH($C295,CAT_NOME,0)),"Sem categoria"))</f>
        <v/>
      </c>
      <c r="F295" s="76" t="n">
        <v>163.54</v>
      </c>
      <c r="G295" s="74" t="n"/>
      <c r="H295" s="74" t="inlineStr">
        <is>
          <t>Crédito</t>
        </is>
      </c>
      <c r="I295" s="74" t="inlineStr">
        <is>
          <t>Nubank Mastercard</t>
        </is>
      </c>
      <c r="J295" s="77" t="n"/>
      <c r="K295" s="77" t="n"/>
      <c r="L295" s="74" t="n"/>
      <c r="M295" s="74" t="n"/>
      <c r="O295" s="78">
        <f>IF($A295="","",YEAR($A295)*100+MONTH($A295))</f>
        <v/>
      </c>
      <c r="P295" s="79">
        <f>IF(OR($F295="",$D295=""),"",IF($D295="Receita",$F295,IF($D295="Transferência",0,-$F295)))</f>
        <v/>
      </c>
    </row>
    <row r="296">
      <c r="A296" s="73" t="n">
        <v>45885</v>
      </c>
      <c r="B296" s="74" t="inlineStr">
        <is>
          <t>Combustível</t>
        </is>
      </c>
      <c r="C296" s="74" t="inlineStr">
        <is>
          <t>Transporte</t>
        </is>
      </c>
      <c r="D296" s="75">
        <f>IF($C296="","",IFERROR(INDEX(CAT_TIPO,MATCH($C296,CAT_NOME,0)),"Sem categoria"))</f>
        <v/>
      </c>
      <c r="E296" s="75">
        <f>IF($C296="","",IFERROR(INDEX(CAT_GRUPO,MATCH($C296,CAT_NOME,0)),"Sem categoria"))</f>
        <v/>
      </c>
      <c r="F296" s="76" t="n">
        <v>113.16</v>
      </c>
      <c r="G296" s="74" t="n"/>
      <c r="H296" s="74" t="inlineStr">
        <is>
          <t>Crédito</t>
        </is>
      </c>
      <c r="I296" s="74" t="inlineStr">
        <is>
          <t>Itaú Visa</t>
        </is>
      </c>
      <c r="J296" s="77" t="n"/>
      <c r="K296" s="77" t="n"/>
      <c r="L296" s="74" t="n"/>
      <c r="M296" s="74" t="n"/>
      <c r="O296" s="78">
        <f>IF($A296="","",YEAR($A296)*100+MONTH($A296))</f>
        <v/>
      </c>
      <c r="P296" s="79">
        <f>IF(OR($F296="",$D296=""),"",IF($D296="Receita",$F296,IF($D296="Transferência",0,-$F296)))</f>
        <v/>
      </c>
    </row>
    <row r="297">
      <c r="A297" s="73" t="n">
        <v>45886</v>
      </c>
      <c r="B297" s="74" t="inlineStr">
        <is>
          <t>Pagamento da fatura Itaú Visa</t>
        </is>
      </c>
      <c r="C297" s="74" t="inlineStr">
        <is>
          <t>Pagamento de fatura</t>
        </is>
      </c>
      <c r="D297" s="75">
        <f>IF($C297="","",IFERROR(INDEX(CAT_TIPO,MATCH($C297,CAT_NOME,0)),"Sem categoria"))</f>
        <v/>
      </c>
      <c r="E297" s="75">
        <f>IF($C297="","",IFERROR(INDEX(CAT_GRUPO,MATCH($C297,CAT_NOME,0)),"Sem categoria"))</f>
        <v/>
      </c>
      <c r="F297" s="76" t="n">
        <v>978.83</v>
      </c>
      <c r="G297" s="74" t="inlineStr">
        <is>
          <t>Conta Nubank</t>
        </is>
      </c>
      <c r="H297" s="74" t="inlineStr">
        <is>
          <t>Boleto</t>
        </is>
      </c>
      <c r="I297" s="74" t="inlineStr">
        <is>
          <t>Itaú Visa</t>
        </is>
      </c>
      <c r="J297" s="77" t="n"/>
      <c r="K297" s="77" t="n"/>
      <c r="L297" s="74" t="n"/>
      <c r="M297" s="74" t="n"/>
      <c r="O297" s="78">
        <f>IF($A297="","",YEAR($A297)*100+MONTH($A297))</f>
        <v/>
      </c>
      <c r="P297" s="79">
        <f>IF(OR($F297="",$D297=""),"",IF($D297="Receita",$F297,IF($D297="Transferência",0,-$F297)))</f>
        <v/>
      </c>
    </row>
    <row r="298">
      <c r="A298" s="73" t="n">
        <v>45886</v>
      </c>
      <c r="B298" s="74" t="inlineStr">
        <is>
          <t>Supermercado</t>
        </is>
      </c>
      <c r="C298" s="74" t="inlineStr">
        <is>
          <t>Mercado</t>
        </is>
      </c>
      <c r="D298" s="75">
        <f>IF($C298="","",IFERROR(INDEX(CAT_TIPO,MATCH($C298,CAT_NOME,0)),"Sem categoria"))</f>
        <v/>
      </c>
      <c r="E298" s="75">
        <f>IF($C298="","",IFERROR(INDEX(CAT_GRUPO,MATCH($C298,CAT_NOME,0)),"Sem categoria"))</f>
        <v/>
      </c>
      <c r="F298" s="76" t="n">
        <v>165.46</v>
      </c>
      <c r="G298" s="74" t="inlineStr">
        <is>
          <t>Conta Nubank</t>
        </is>
      </c>
      <c r="H298" s="74" t="inlineStr">
        <is>
          <t>Débito</t>
        </is>
      </c>
      <c r="I298" s="74" t="n"/>
      <c r="J298" s="77" t="n"/>
      <c r="K298" s="77" t="n"/>
      <c r="L298" s="74" t="n"/>
      <c r="M298" s="74" t="n"/>
      <c r="O298" s="78">
        <f>IF($A298="","",YEAR($A298)*100+MONTH($A298))</f>
        <v/>
      </c>
      <c r="P298" s="79">
        <f>IF(OR($F298="",$D298=""),"",IF($D298="Receita",$F298,IF($D298="Transferência",0,-$F298)))</f>
        <v/>
      </c>
    </row>
    <row r="299">
      <c r="A299" s="73" t="n">
        <v>45886</v>
      </c>
      <c r="B299" s="74" t="inlineStr">
        <is>
          <t>iCloud</t>
        </is>
      </c>
      <c r="C299" s="74" t="inlineStr">
        <is>
          <t>Assinaturas e streaming</t>
        </is>
      </c>
      <c r="D299" s="75">
        <f>IF($C299="","",IFERROR(INDEX(CAT_TIPO,MATCH($C299,CAT_NOME,0)),"Sem categoria"))</f>
        <v/>
      </c>
      <c r="E299" s="75">
        <f>IF($C299="","",IFERROR(INDEX(CAT_GRUPO,MATCH($C299,CAT_NOME,0)),"Sem categoria"))</f>
        <v/>
      </c>
      <c r="F299" s="76" t="n">
        <v>14.9</v>
      </c>
      <c r="G299" s="74" t="n"/>
      <c r="H299" s="74" t="inlineStr">
        <is>
          <t>Crédito</t>
        </is>
      </c>
      <c r="I299" s="74" t="inlineStr">
        <is>
          <t>Nubank Mastercard</t>
        </is>
      </c>
      <c r="J299" s="77" t="n"/>
      <c r="K299" s="77" t="n"/>
      <c r="L299" s="74" t="n"/>
      <c r="M299" s="74" t="n"/>
      <c r="O299" s="78">
        <f>IF($A299="","",YEAR($A299)*100+MONTH($A299))</f>
        <v/>
      </c>
      <c r="P299" s="79">
        <f>IF(OR($F299="",$D299=""),"",IF($D299="Receita",$F299,IF($D299="Transferência",0,-$F299)))</f>
        <v/>
      </c>
    </row>
    <row r="300">
      <c r="A300" s="73" t="n">
        <v>45887</v>
      </c>
      <c r="B300" s="74" t="inlineStr">
        <is>
          <t>Barbearia / salão</t>
        </is>
      </c>
      <c r="C300" s="74" t="inlineStr">
        <is>
          <t>Beleza e cuidados</t>
        </is>
      </c>
      <c r="D300" s="75">
        <f>IF($C300="","",IFERROR(INDEX(CAT_TIPO,MATCH($C300,CAT_NOME,0)),"Sem categoria"))</f>
        <v/>
      </c>
      <c r="E300" s="75">
        <f>IF($C300="","",IFERROR(INDEX(CAT_GRUPO,MATCH($C300,CAT_NOME,0)),"Sem categoria"))</f>
        <v/>
      </c>
      <c r="F300" s="76" t="n">
        <v>86.79000000000001</v>
      </c>
      <c r="G300" s="74" t="inlineStr">
        <is>
          <t>Conta Nubank</t>
        </is>
      </c>
      <c r="H300" s="74" t="inlineStr">
        <is>
          <t>Pix</t>
        </is>
      </c>
      <c r="I300" s="74" t="n"/>
      <c r="J300" s="77" t="n"/>
      <c r="K300" s="77" t="n"/>
      <c r="L300" s="74" t="n"/>
      <c r="M300" s="74" t="n"/>
      <c r="O300" s="78">
        <f>IF($A300="","",YEAR($A300)*100+MONTH($A300))</f>
        <v/>
      </c>
      <c r="P300" s="79">
        <f>IF(OR($F300="",$D300=""),"",IF($D300="Receita",$F300,IF($D300="Transferência",0,-$F300)))</f>
        <v/>
      </c>
    </row>
    <row r="301">
      <c r="A301" s="73" t="n">
        <v>45887</v>
      </c>
      <c r="B301" s="74" t="inlineStr">
        <is>
          <t>Conta de água</t>
        </is>
      </c>
      <c r="C301" s="74" t="inlineStr">
        <is>
          <t>Contas da casa (luz, água, gás)</t>
        </is>
      </c>
      <c r="D301" s="75">
        <f>IF($C301="","",IFERROR(INDEX(CAT_TIPO,MATCH($C301,CAT_NOME,0)),"Sem categoria"))</f>
        <v/>
      </c>
      <c r="E301" s="75">
        <f>IF($C301="","",IFERROR(INDEX(CAT_GRUPO,MATCH($C301,CAT_NOME,0)),"Sem categoria"))</f>
        <v/>
      </c>
      <c r="F301" s="76" t="n">
        <v>75.2</v>
      </c>
      <c r="G301" s="74" t="inlineStr">
        <is>
          <t>Conta Nubank</t>
        </is>
      </c>
      <c r="H301" s="74" t="inlineStr">
        <is>
          <t>Débito automático</t>
        </is>
      </c>
      <c r="I301" s="74" t="n"/>
      <c r="J301" s="77" t="n"/>
      <c r="K301" s="77" t="n"/>
      <c r="L301" s="74" t="n"/>
      <c r="M301" s="74" t="n"/>
      <c r="O301" s="78">
        <f>IF($A301="","",YEAR($A301)*100+MONTH($A301))</f>
        <v/>
      </c>
      <c r="P301" s="79">
        <f>IF(OR($F301="",$D301=""),"",IF($D301="Receita",$F301,IF($D301="Transferência",0,-$F301)))</f>
        <v/>
      </c>
    </row>
    <row r="302">
      <c r="A302" s="73" t="n">
        <v>45888</v>
      </c>
      <c r="B302" s="74" t="inlineStr">
        <is>
          <t>iFood</t>
        </is>
      </c>
      <c r="C302" s="74" t="inlineStr">
        <is>
          <t>Restaurantes e delivery</t>
        </is>
      </c>
      <c r="D302" s="75">
        <f>IF($C302="","",IFERROR(INDEX(CAT_TIPO,MATCH($C302,CAT_NOME,0)),"Sem categoria"))</f>
        <v/>
      </c>
      <c r="E302" s="75">
        <f>IF($C302="","",IFERROR(INDEX(CAT_GRUPO,MATCH($C302,CAT_NOME,0)),"Sem categoria"))</f>
        <v/>
      </c>
      <c r="F302" s="76" t="n">
        <v>40.29</v>
      </c>
      <c r="G302" s="74" t="n"/>
      <c r="H302" s="74" t="inlineStr">
        <is>
          <t>Crédito</t>
        </is>
      </c>
      <c r="I302" s="74" t="inlineStr">
        <is>
          <t>Nubank Mastercard</t>
        </is>
      </c>
      <c r="J302" s="77" t="n"/>
      <c r="K302" s="77" t="n"/>
      <c r="L302" s="74" t="n"/>
      <c r="M302" s="74" t="n"/>
      <c r="O302" s="78">
        <f>IF($A302="","",YEAR($A302)*100+MONTH($A302))</f>
        <v/>
      </c>
      <c r="P302" s="79">
        <f>IF(OR($F302="",$D302=""),"",IF($D302="Receita",$F302,IF($D302="Transferência",0,-$F302)))</f>
        <v/>
      </c>
    </row>
    <row r="303">
      <c r="A303" s="73" t="n">
        <v>45889</v>
      </c>
      <c r="B303" s="74" t="inlineStr">
        <is>
          <t>Internet fibra</t>
        </is>
      </c>
      <c r="C303" s="74" t="inlineStr">
        <is>
          <t>Internet e celular</t>
        </is>
      </c>
      <c r="D303" s="75">
        <f>IF($C303="","",IFERROR(INDEX(CAT_TIPO,MATCH($C303,CAT_NOME,0)),"Sem categoria"))</f>
        <v/>
      </c>
      <c r="E303" s="75">
        <f>IF($C303="","",IFERROR(INDEX(CAT_GRUPO,MATCH($C303,CAT_NOME,0)),"Sem categoria"))</f>
        <v/>
      </c>
      <c r="F303" s="76" t="n">
        <v>119.9</v>
      </c>
      <c r="G303" s="74" t="inlineStr">
        <is>
          <t>Conta Nubank</t>
        </is>
      </c>
      <c r="H303" s="74" t="inlineStr">
        <is>
          <t>Débito automático</t>
        </is>
      </c>
      <c r="I303" s="74" t="n"/>
      <c r="J303" s="77" t="n"/>
      <c r="K303" s="77" t="n"/>
      <c r="L303" s="74" t="n"/>
      <c r="M303" s="74" t="n"/>
      <c r="O303" s="78">
        <f>IF($A303="","",YEAR($A303)*100+MONTH($A303))</f>
        <v/>
      </c>
      <c r="P303" s="79">
        <f>IF(OR($F303="",$D303=""),"",IF($D303="Receita",$F303,IF($D303="Transferência",0,-$F303)))</f>
        <v/>
      </c>
    </row>
    <row r="304">
      <c r="A304" s="73" t="n">
        <v>45890</v>
      </c>
      <c r="B304" s="74" t="inlineStr">
        <is>
          <t>Uber</t>
        </is>
      </c>
      <c r="C304" s="74" t="inlineStr">
        <is>
          <t>Transporte</t>
        </is>
      </c>
      <c r="D304" s="75">
        <f>IF($C304="","",IFERROR(INDEX(CAT_TIPO,MATCH($C304,CAT_NOME,0)),"Sem categoria"))</f>
        <v/>
      </c>
      <c r="E304" s="75">
        <f>IF($C304="","",IFERROR(INDEX(CAT_GRUPO,MATCH($C304,CAT_NOME,0)),"Sem categoria"))</f>
        <v/>
      </c>
      <c r="F304" s="76" t="n">
        <v>33</v>
      </c>
      <c r="G304" s="74" t="n"/>
      <c r="H304" s="74" t="inlineStr">
        <is>
          <t>Crédito</t>
        </is>
      </c>
      <c r="I304" s="74" t="inlineStr">
        <is>
          <t>Nubank Mastercard</t>
        </is>
      </c>
      <c r="J304" s="77" t="n"/>
      <c r="K304" s="77" t="n"/>
      <c r="L304" s="74" t="n"/>
      <c r="M304" s="74" t="n"/>
      <c r="O304" s="78">
        <f>IF($A304="","",YEAR($A304)*100+MONTH($A304))</f>
        <v/>
      </c>
      <c r="P304" s="79">
        <f>IF(OR($F304="",$D304=""),"",IF($D304="Receita",$F304,IF($D304="Transferência",0,-$F304)))</f>
        <v/>
      </c>
    </row>
    <row r="305">
      <c r="A305" s="73" t="n">
        <v>45891</v>
      </c>
      <c r="B305" s="74" t="inlineStr">
        <is>
          <t>Plano de celular</t>
        </is>
      </c>
      <c r="C305" s="74" t="inlineStr">
        <is>
          <t>Internet e celular</t>
        </is>
      </c>
      <c r="D305" s="75">
        <f>IF($C305="","",IFERROR(INDEX(CAT_TIPO,MATCH($C305,CAT_NOME,0)),"Sem categoria"))</f>
        <v/>
      </c>
      <c r="E305" s="75">
        <f>IF($C305="","",IFERROR(INDEX(CAT_GRUPO,MATCH($C305,CAT_NOME,0)),"Sem categoria"))</f>
        <v/>
      </c>
      <c r="F305" s="76" t="n">
        <v>59.9</v>
      </c>
      <c r="G305" s="74" t="inlineStr">
        <is>
          <t>Conta Nubank</t>
        </is>
      </c>
      <c r="H305" s="74" t="inlineStr">
        <is>
          <t>Débito automático</t>
        </is>
      </c>
      <c r="I305" s="74" t="n"/>
      <c r="J305" s="77" t="n"/>
      <c r="K305" s="77" t="n"/>
      <c r="L305" s="74" t="n"/>
      <c r="M305" s="74" t="n"/>
      <c r="O305" s="78">
        <f>IF($A305="","",YEAR($A305)*100+MONTH($A305))</f>
        <v/>
      </c>
      <c r="P305" s="79">
        <f>IF(OR($F305="",$D305=""),"",IF($D305="Receita",$F305,IF($D305="Transferência",0,-$F305)))</f>
        <v/>
      </c>
    </row>
    <row r="306">
      <c r="A306" s="73" t="n">
        <v>45892</v>
      </c>
      <c r="B306" s="74" t="inlineStr">
        <is>
          <t>Cinema e passeios</t>
        </is>
      </c>
      <c r="C306" s="74" t="inlineStr">
        <is>
          <t>Lazer e entretenimento</t>
        </is>
      </c>
      <c r="D306" s="75">
        <f>IF($C306="","",IFERROR(INDEX(CAT_TIPO,MATCH($C306,CAT_NOME,0)),"Sem categoria"))</f>
        <v/>
      </c>
      <c r="E306" s="75">
        <f>IF($C306="","",IFERROR(INDEX(CAT_GRUPO,MATCH($C306,CAT_NOME,0)),"Sem categoria"))</f>
        <v/>
      </c>
      <c r="F306" s="76" t="n">
        <v>86.77</v>
      </c>
      <c r="G306" s="74" t="n"/>
      <c r="H306" s="74" t="inlineStr">
        <is>
          <t>Crédito</t>
        </is>
      </c>
      <c r="I306" s="74" t="inlineStr">
        <is>
          <t>Itaú Visa</t>
        </is>
      </c>
      <c r="J306" s="77" t="n"/>
      <c r="K306" s="77" t="n"/>
      <c r="L306" s="74" t="n"/>
      <c r="M306" s="74" t="n"/>
      <c r="O306" s="78">
        <f>IF($A306="","",YEAR($A306)*100+MONTH($A306))</f>
        <v/>
      </c>
      <c r="P306" s="79">
        <f>IF(OR($F306="",$D306=""),"",IF($D306="Receita",$F306,IF($D306="Transferência",0,-$F306)))</f>
        <v/>
      </c>
    </row>
    <row r="307">
      <c r="A307" s="73" t="n">
        <v>45893</v>
      </c>
      <c r="B307" s="74" t="inlineStr">
        <is>
          <t>Supermercado</t>
        </is>
      </c>
      <c r="C307" s="74" t="inlineStr">
        <is>
          <t>Mercado</t>
        </is>
      </c>
      <c r="D307" s="75">
        <f>IF($C307="","",IFERROR(INDEX(CAT_TIPO,MATCH($C307,CAT_NOME,0)),"Sem categoria"))</f>
        <v/>
      </c>
      <c r="E307" s="75">
        <f>IF($C307="","",IFERROR(INDEX(CAT_GRUPO,MATCH($C307,CAT_NOME,0)),"Sem categoria"))</f>
        <v/>
      </c>
      <c r="F307" s="76" t="n">
        <v>136.37</v>
      </c>
      <c r="G307" s="74" t="inlineStr">
        <is>
          <t>Conta Nubank</t>
        </is>
      </c>
      <c r="H307" s="74" t="inlineStr">
        <is>
          <t>Débito</t>
        </is>
      </c>
      <c r="I307" s="74" t="n"/>
      <c r="J307" s="77" t="n"/>
      <c r="K307" s="77" t="n"/>
      <c r="L307" s="74" t="n"/>
      <c r="M307" s="74" t="n"/>
      <c r="O307" s="78">
        <f>IF($A307="","",YEAR($A307)*100+MONTH($A307))</f>
        <v/>
      </c>
      <c r="P307" s="79">
        <f>IF(OR($F307="",$D307=""),"",IF($D307="Receita",$F307,IF($D307="Transferência",0,-$F307)))</f>
        <v/>
      </c>
    </row>
    <row r="308">
      <c r="A308" s="73" t="n">
        <v>45894</v>
      </c>
      <c r="B308" s="74" t="inlineStr">
        <is>
          <t>Gás encanado</t>
        </is>
      </c>
      <c r="C308" s="74" t="inlineStr">
        <is>
          <t>Contas da casa (luz, água, gás)</t>
        </is>
      </c>
      <c r="D308" s="75">
        <f>IF($C308="","",IFERROR(INDEX(CAT_TIPO,MATCH($C308,CAT_NOME,0)),"Sem categoria"))</f>
        <v/>
      </c>
      <c r="E308" s="75">
        <f>IF($C308="","",IFERROR(INDEX(CAT_GRUPO,MATCH($C308,CAT_NOME,0)),"Sem categoria"))</f>
        <v/>
      </c>
      <c r="F308" s="76" t="n">
        <v>89.98</v>
      </c>
      <c r="G308" s="74" t="inlineStr">
        <is>
          <t>Conta Nubank</t>
        </is>
      </c>
      <c r="H308" s="74" t="inlineStr">
        <is>
          <t>Boleto</t>
        </is>
      </c>
      <c r="I308" s="74" t="n"/>
      <c r="J308" s="77" t="n"/>
      <c r="K308" s="77" t="n"/>
      <c r="L308" s="74" t="n"/>
      <c r="M308" s="74" t="n"/>
      <c r="O308" s="78">
        <f>IF($A308="","",YEAR($A308)*100+MONTH($A308))</f>
        <v/>
      </c>
      <c r="P308" s="79">
        <f>IF(OR($F308="",$D308=""),"",IF($D308="Receita",$F308,IF($D308="Transferência",0,-$F308)))</f>
        <v/>
      </c>
    </row>
    <row r="309">
      <c r="A309" s="73" t="n">
        <v>45895</v>
      </c>
      <c r="B309" s="74" t="inlineStr">
        <is>
          <t>Combustível</t>
        </is>
      </c>
      <c r="C309" s="74" t="inlineStr">
        <is>
          <t>Transporte</t>
        </is>
      </c>
      <c r="D309" s="75">
        <f>IF($C309="","",IFERROR(INDEX(CAT_TIPO,MATCH($C309,CAT_NOME,0)),"Sem categoria"))</f>
        <v/>
      </c>
      <c r="E309" s="75">
        <f>IF($C309="","",IFERROR(INDEX(CAT_GRUPO,MATCH($C309,CAT_NOME,0)),"Sem categoria"))</f>
        <v/>
      </c>
      <c r="F309" s="76" t="n">
        <v>104.6</v>
      </c>
      <c r="G309" s="74" t="n"/>
      <c r="H309" s="74" t="inlineStr">
        <is>
          <t>Crédito</t>
        </is>
      </c>
      <c r="I309" s="74" t="inlineStr">
        <is>
          <t>Itaú Visa</t>
        </is>
      </c>
      <c r="J309" s="77" t="n"/>
      <c r="K309" s="77" t="n"/>
      <c r="L309" s="74" t="n"/>
      <c r="M309" s="74" t="n"/>
      <c r="O309" s="78">
        <f>IF($A309="","",YEAR($A309)*100+MONTH($A309))</f>
        <v/>
      </c>
      <c r="P309" s="79">
        <f>IF(OR($F309="",$D309=""),"",IF($D309="Receita",$F309,IF($D309="Transferência",0,-$F309)))</f>
        <v/>
      </c>
    </row>
    <row r="310">
      <c r="A310" s="73" t="n">
        <v>45896</v>
      </c>
      <c r="B310" s="74" t="inlineStr">
        <is>
          <t>Almoço de domingo</t>
        </is>
      </c>
      <c r="C310" s="74" t="inlineStr">
        <is>
          <t>Restaurantes e delivery</t>
        </is>
      </c>
      <c r="D310" s="75">
        <f>IF($C310="","",IFERROR(INDEX(CAT_TIPO,MATCH($C310,CAT_NOME,0)),"Sem categoria"))</f>
        <v/>
      </c>
      <c r="E310" s="75">
        <f>IF($C310="","",IFERROR(INDEX(CAT_GRUPO,MATCH($C310,CAT_NOME,0)),"Sem categoria"))</f>
        <v/>
      </c>
      <c r="F310" s="76" t="n">
        <v>65.76000000000001</v>
      </c>
      <c r="G310" s="74" t="n"/>
      <c r="H310" s="74" t="inlineStr">
        <is>
          <t>Crédito</t>
        </is>
      </c>
      <c r="I310" s="74" t="inlineStr">
        <is>
          <t>Nubank Mastercard</t>
        </is>
      </c>
      <c r="J310" s="77" t="n"/>
      <c r="K310" s="77" t="n"/>
      <c r="L310" s="74" t="n"/>
      <c r="M310" s="74" t="n"/>
      <c r="O310" s="78">
        <f>IF($A310="","",YEAR($A310)*100+MONTH($A310))</f>
        <v/>
      </c>
      <c r="P310" s="79">
        <f>IF(OR($F310="",$D310=""),"",IF($D310="Receita",$F310,IF($D310="Transferência",0,-$F310)))</f>
        <v/>
      </c>
    </row>
    <row r="311">
      <c r="A311" s="73" t="n">
        <v>45897</v>
      </c>
      <c r="B311" s="74" t="inlineStr">
        <is>
          <t>Aporte em renda fixa</t>
        </is>
      </c>
      <c r="C311" s="74" t="inlineStr">
        <is>
          <t>Investimentos</t>
        </is>
      </c>
      <c r="D311" s="75">
        <f>IF($C311="","",IFERROR(INDEX(CAT_TIPO,MATCH($C311,CAT_NOME,0)),"Sem categoria"))</f>
        <v/>
      </c>
      <c r="E311" s="75">
        <f>IF($C311="","",IFERROR(INDEX(CAT_GRUPO,MATCH($C311,CAT_NOME,0)),"Sem categoria"))</f>
        <v/>
      </c>
      <c r="F311" s="76" t="n">
        <v>250</v>
      </c>
      <c r="G311" s="74" t="inlineStr">
        <is>
          <t>Conta Nubank</t>
        </is>
      </c>
      <c r="H311" s="74" t="inlineStr">
        <is>
          <t>Transferência</t>
        </is>
      </c>
      <c r="I311" s="74" t="n"/>
      <c r="J311" s="77" t="n"/>
      <c r="K311" s="77" t="n"/>
      <c r="L311" s="74" t="inlineStr">
        <is>
          <t>Corretora</t>
        </is>
      </c>
      <c r="M311" s="74" t="n"/>
      <c r="O311" s="78">
        <f>IF($A311="","",YEAR($A311)*100+MONTH($A311))</f>
        <v/>
      </c>
      <c r="P311" s="79">
        <f>IF(OR($F311="",$D311=""),"",IF($D311="Receita",$F311,IF($D311="Transferência",0,-$F311)))</f>
        <v/>
      </c>
    </row>
    <row r="312">
      <c r="A312" s="73" t="n">
        <v>45897</v>
      </c>
      <c r="B312" s="74" t="inlineStr">
        <is>
          <t>Cofrinho da viagem</t>
        </is>
      </c>
      <c r="C312" s="74" t="inlineStr">
        <is>
          <t>Metas e sonhos</t>
        </is>
      </c>
      <c r="D312" s="75">
        <f>IF($C312="","",IFERROR(INDEX(CAT_TIPO,MATCH($C312,CAT_NOME,0)),"Sem categoria"))</f>
        <v/>
      </c>
      <c r="E312" s="75">
        <f>IF($C312="","",IFERROR(INDEX(CAT_GRUPO,MATCH($C312,CAT_NOME,0)),"Sem categoria"))</f>
        <v/>
      </c>
      <c r="F312" s="76" t="n">
        <v>150</v>
      </c>
      <c r="G312" s="74" t="inlineStr">
        <is>
          <t>Conta Nubank</t>
        </is>
      </c>
      <c r="H312" s="74" t="inlineStr">
        <is>
          <t>Transferência</t>
        </is>
      </c>
      <c r="I312" s="74" t="n"/>
      <c r="J312" s="77" t="n"/>
      <c r="K312" s="77" t="n"/>
      <c r="L312" s="74" t="inlineStr">
        <is>
          <t>Cofrinho viagem</t>
        </is>
      </c>
      <c r="M312" s="74" t="n"/>
      <c r="O312" s="78">
        <f>IF($A312="","",YEAR($A312)*100+MONTH($A312))</f>
        <v/>
      </c>
      <c r="P312" s="79">
        <f>IF(OR($F312="",$D312=""),"",IF($D312="Receita",$F312,IF($D312="Transferência",0,-$F312)))</f>
        <v/>
      </c>
    </row>
    <row r="313">
      <c r="A313" s="73" t="n">
        <v>45897</v>
      </c>
      <c r="B313" s="74" t="inlineStr">
        <is>
          <t>Rendimento da renda fixa</t>
        </is>
      </c>
      <c r="C313" s="74" t="inlineStr">
        <is>
          <t>Rendimentos de investimentos</t>
        </is>
      </c>
      <c r="D313" s="75">
        <f>IF($C313="","",IFERROR(INDEX(CAT_TIPO,MATCH($C313,CAT_NOME,0)),"Sem categoria"))</f>
        <v/>
      </c>
      <c r="E313" s="75">
        <f>IF($C313="","",IFERROR(INDEX(CAT_GRUPO,MATCH($C313,CAT_NOME,0)),"Sem categoria"))</f>
        <v/>
      </c>
      <c r="F313" s="76" t="n">
        <v>66.84999999999999</v>
      </c>
      <c r="G313" s="74" t="inlineStr">
        <is>
          <t>Corretora</t>
        </is>
      </c>
      <c r="H313" s="74" t="inlineStr">
        <is>
          <t>Transferência</t>
        </is>
      </c>
      <c r="I313" s="74" t="n"/>
      <c r="J313" s="77" t="n"/>
      <c r="K313" s="77" t="n"/>
      <c r="L313" s="74" t="n"/>
      <c r="M313" s="74" t="n"/>
      <c r="O313" s="78">
        <f>IF($A313="","",YEAR($A313)*100+MONTH($A313))</f>
        <v/>
      </c>
      <c r="P313" s="79">
        <f>IF(OR($F313="",$D313=""),"",IF($D313="Receita",$F313,IF($D313="Transferência",0,-$F313)))</f>
        <v/>
      </c>
    </row>
    <row r="314">
      <c r="A314" s="73" t="n">
        <v>45897</v>
      </c>
      <c r="B314" s="74" t="inlineStr">
        <is>
          <t>Reserva de emergência</t>
        </is>
      </c>
      <c r="C314" s="74" t="inlineStr">
        <is>
          <t>Reserva de emergência</t>
        </is>
      </c>
      <c r="D314" s="75">
        <f>IF($C314="","",IFERROR(INDEX(CAT_TIPO,MATCH($C314,CAT_NOME,0)),"Sem categoria"))</f>
        <v/>
      </c>
      <c r="E314" s="75">
        <f>IF($C314="","",IFERROR(INDEX(CAT_GRUPO,MATCH($C314,CAT_NOME,0)),"Sem categoria"))</f>
        <v/>
      </c>
      <c r="F314" s="76" t="n">
        <v>400</v>
      </c>
      <c r="G314" s="74" t="inlineStr">
        <is>
          <t>Conta Nubank</t>
        </is>
      </c>
      <c r="H314" s="74" t="inlineStr">
        <is>
          <t>Transferência</t>
        </is>
      </c>
      <c r="I314" s="74" t="n"/>
      <c r="J314" s="77" t="n"/>
      <c r="K314" s="77" t="n"/>
      <c r="L314" s="74" t="inlineStr">
        <is>
          <t>Poupança Caixa</t>
        </is>
      </c>
      <c r="M314" s="74" t="n"/>
      <c r="O314" s="78">
        <f>IF($A314="","",YEAR($A314)*100+MONTH($A314))</f>
        <v/>
      </c>
      <c r="P314" s="79">
        <f>IF(OR($F314="",$D314=""),"",IF($D314="Receita",$F314,IF($D314="Transferência",0,-$F314)))</f>
        <v/>
      </c>
    </row>
    <row r="315">
      <c r="A315" s="73" t="n">
        <v>45903</v>
      </c>
      <c r="B315" s="74" t="inlineStr">
        <is>
          <t>Netflix</t>
        </is>
      </c>
      <c r="C315" s="74" t="inlineStr">
        <is>
          <t>Assinaturas e streaming</t>
        </is>
      </c>
      <c r="D315" s="75">
        <f>IF($C315="","",IFERROR(INDEX(CAT_TIPO,MATCH($C315,CAT_NOME,0)),"Sem categoria"))</f>
        <v/>
      </c>
      <c r="E315" s="75">
        <f>IF($C315="","",IFERROR(INDEX(CAT_GRUPO,MATCH($C315,CAT_NOME,0)),"Sem categoria"))</f>
        <v/>
      </c>
      <c r="F315" s="76" t="n">
        <v>55.9</v>
      </c>
      <c r="G315" s="74" t="n"/>
      <c r="H315" s="74" t="inlineStr">
        <is>
          <t>Crédito</t>
        </is>
      </c>
      <c r="I315" s="74" t="inlineStr">
        <is>
          <t>Nubank Mastercard</t>
        </is>
      </c>
      <c r="J315" s="77" t="n"/>
      <c r="K315" s="77" t="n"/>
      <c r="L315" s="74" t="n"/>
      <c r="M315" s="74" t="n"/>
      <c r="O315" s="78">
        <f>IF($A315="","",YEAR($A315)*100+MONTH($A315))</f>
        <v/>
      </c>
      <c r="P315" s="79">
        <f>IF(OR($F315="",$D315=""),"",IF($D315="Receita",$F315,IF($D315="Transferência",0,-$F315)))</f>
        <v/>
      </c>
    </row>
    <row r="316">
      <c r="A316" s="73" t="n">
        <v>45903</v>
      </c>
      <c r="B316" s="74" t="inlineStr">
        <is>
          <t>Supermercado</t>
        </is>
      </c>
      <c r="C316" s="74" t="inlineStr">
        <is>
          <t>Mercado</t>
        </is>
      </c>
      <c r="D316" s="75">
        <f>IF($C316="","",IFERROR(INDEX(CAT_TIPO,MATCH($C316,CAT_NOME,0)),"Sem categoria"))</f>
        <v/>
      </c>
      <c r="E316" s="75">
        <f>IF($C316="","",IFERROR(INDEX(CAT_GRUPO,MATCH($C316,CAT_NOME,0)),"Sem categoria"))</f>
        <v/>
      </c>
      <c r="F316" s="76" t="n">
        <v>148.52</v>
      </c>
      <c r="G316" s="74" t="inlineStr">
        <is>
          <t>Conta Nubank</t>
        </is>
      </c>
      <c r="H316" s="74" t="inlineStr">
        <is>
          <t>Débito</t>
        </is>
      </c>
      <c r="I316" s="74" t="n"/>
      <c r="J316" s="77" t="n"/>
      <c r="K316" s="77" t="n"/>
      <c r="L316" s="74" t="n"/>
      <c r="M316" s="74" t="n"/>
      <c r="O316" s="78">
        <f>IF($A316="","",YEAR($A316)*100+MONTH($A316))</f>
        <v/>
      </c>
      <c r="P316" s="79">
        <f>IF(OR($F316="",$D316=""),"",IF($D316="Receita",$F316,IF($D316="Transferência",0,-$F316)))</f>
        <v/>
      </c>
    </row>
    <row r="317">
      <c r="A317" s="73" t="n">
        <v>45904</v>
      </c>
      <c r="B317" s="74" t="inlineStr">
        <is>
          <t>Spotify</t>
        </is>
      </c>
      <c r="C317" s="74" t="inlineStr">
        <is>
          <t>Assinaturas e streaming</t>
        </is>
      </c>
      <c r="D317" s="75">
        <f>IF($C317="","",IFERROR(INDEX(CAT_TIPO,MATCH($C317,CAT_NOME,0)),"Sem categoria"))</f>
        <v/>
      </c>
      <c r="E317" s="75">
        <f>IF($C317="","",IFERROR(INDEX(CAT_GRUPO,MATCH($C317,CAT_NOME,0)),"Sem categoria"))</f>
        <v/>
      </c>
      <c r="F317" s="76" t="n">
        <v>23.9</v>
      </c>
      <c r="G317" s="74" t="n"/>
      <c r="H317" s="74" t="inlineStr">
        <is>
          <t>Crédito</t>
        </is>
      </c>
      <c r="I317" s="74" t="inlineStr">
        <is>
          <t>Nubank Mastercard</t>
        </is>
      </c>
      <c r="J317" s="77" t="n"/>
      <c r="K317" s="77" t="n"/>
      <c r="L317" s="74" t="n"/>
      <c r="M317" s="74" t="n"/>
      <c r="O317" s="78">
        <f>IF($A317="","",YEAR($A317)*100+MONTH($A317))</f>
        <v/>
      </c>
      <c r="P317" s="79">
        <f>IF(OR($F317="",$D317=""),"",IF($D317="Receita",$F317,IF($D317="Transferência",0,-$F317)))</f>
        <v/>
      </c>
    </row>
    <row r="318">
      <c r="A318" s="73" t="n">
        <v>45905</v>
      </c>
      <c r="B318" s="74" t="inlineStr">
        <is>
          <t>Academia</t>
        </is>
      </c>
      <c r="C318" s="74" t="inlineStr">
        <is>
          <t>Assinaturas e streaming</t>
        </is>
      </c>
      <c r="D318" s="75">
        <f>IF($C318="","",IFERROR(INDEX(CAT_TIPO,MATCH($C318,CAT_NOME,0)),"Sem categoria"))</f>
        <v/>
      </c>
      <c r="E318" s="75">
        <f>IF($C318="","",IFERROR(INDEX(CAT_GRUPO,MATCH($C318,CAT_NOME,0)),"Sem categoria"))</f>
        <v/>
      </c>
      <c r="F318" s="76" t="n">
        <v>119.9</v>
      </c>
      <c r="G318" s="74" t="n"/>
      <c r="H318" s="74" t="inlineStr">
        <is>
          <t>Crédito</t>
        </is>
      </c>
      <c r="I318" s="74" t="inlineStr">
        <is>
          <t>Nubank Mastercard</t>
        </is>
      </c>
      <c r="J318" s="77" t="n"/>
      <c r="K318" s="77" t="n"/>
      <c r="L318" s="74" t="n"/>
      <c r="M318" s="74" t="n"/>
      <c r="O318" s="78">
        <f>IF($A318="","",YEAR($A318)*100+MONTH($A318))</f>
        <v/>
      </c>
      <c r="P318" s="79">
        <f>IF(OR($F318="",$D318=""),"",IF($D318="Receita",$F318,IF($D318="Transferência",0,-$F318)))</f>
        <v/>
      </c>
    </row>
    <row r="319">
      <c r="A319" s="73" t="n">
        <v>45905</v>
      </c>
      <c r="B319" s="74" t="inlineStr">
        <is>
          <t>Pagamento da fatura Nubank Mastercard</t>
        </is>
      </c>
      <c r="C319" s="74" t="inlineStr">
        <is>
          <t>Pagamento de fatura</t>
        </is>
      </c>
      <c r="D319" s="75">
        <f>IF($C319="","",IFERROR(INDEX(CAT_TIPO,MATCH($C319,CAT_NOME,0)),"Sem categoria"))</f>
        <v/>
      </c>
      <c r="E319" s="75">
        <f>IF($C319="","",IFERROR(INDEX(CAT_GRUPO,MATCH($C319,CAT_NOME,0)),"Sem categoria"))</f>
        <v/>
      </c>
      <c r="F319" s="76" t="n">
        <v>1010.38</v>
      </c>
      <c r="G319" s="74" t="inlineStr">
        <is>
          <t>Conta Nubank</t>
        </is>
      </c>
      <c r="H319" s="74" t="inlineStr">
        <is>
          <t>Boleto</t>
        </is>
      </c>
      <c r="I319" s="74" t="inlineStr">
        <is>
          <t>Nubank Mastercard</t>
        </is>
      </c>
      <c r="J319" s="77" t="n"/>
      <c r="K319" s="77" t="n"/>
      <c r="L319" s="74" t="n"/>
      <c r="M319" s="74" t="n"/>
      <c r="O319" s="78">
        <f>IF($A319="","",YEAR($A319)*100+MONTH($A319))</f>
        <v/>
      </c>
      <c r="P319" s="79">
        <f>IF(OR($F319="",$D319=""),"",IF($D319="Receita",$F319,IF($D319="Transferência",0,-$F319)))</f>
        <v/>
      </c>
    </row>
    <row r="320">
      <c r="A320" s="73" t="n">
        <v>45905</v>
      </c>
      <c r="B320" s="74" t="inlineStr">
        <is>
          <t>Salário</t>
        </is>
      </c>
      <c r="C320" s="74" t="inlineStr">
        <is>
          <t>Salário</t>
        </is>
      </c>
      <c r="D320" s="75">
        <f>IF($C320="","",IFERROR(INDEX(CAT_TIPO,MATCH($C320,CAT_NOME,0)),"Sem categoria"))</f>
        <v/>
      </c>
      <c r="E320" s="75">
        <f>IF($C320="","",IFERROR(INDEX(CAT_GRUPO,MATCH($C320,CAT_NOME,0)),"Sem categoria"))</f>
        <v/>
      </c>
      <c r="F320" s="76" t="n">
        <v>5600</v>
      </c>
      <c r="G320" s="74" t="inlineStr">
        <is>
          <t>Conta Nubank</t>
        </is>
      </c>
      <c r="H320" s="74" t="inlineStr">
        <is>
          <t>Transferência</t>
        </is>
      </c>
      <c r="I320" s="74" t="n"/>
      <c r="J320" s="77" t="n"/>
      <c r="K320" s="77" t="n"/>
      <c r="L320" s="74" t="n"/>
      <c r="M320" s="74" t="n"/>
      <c r="O320" s="78">
        <f>IF($A320="","",YEAR($A320)*100+MONTH($A320))</f>
        <v/>
      </c>
      <c r="P320" s="79">
        <f>IF(OR($F320="",$D320=""),"",IF($D320="Receita",$F320,IF($D320="Transferência",0,-$F320)))</f>
        <v/>
      </c>
    </row>
    <row r="321">
      <c r="A321" s="73" t="n">
        <v>45906</v>
      </c>
      <c r="B321" s="74" t="inlineStr">
        <is>
          <t>Plano de saúde</t>
        </is>
      </c>
      <c r="C321" s="74" t="inlineStr">
        <is>
          <t>Saúde e farmácia</t>
        </is>
      </c>
      <c r="D321" s="75">
        <f>IF($C321="","",IFERROR(INDEX(CAT_TIPO,MATCH($C321,CAT_NOME,0)),"Sem categoria"))</f>
        <v/>
      </c>
      <c r="E321" s="75">
        <f>IF($C321="","",IFERROR(INDEX(CAT_GRUPO,MATCH($C321,CAT_NOME,0)),"Sem categoria"))</f>
        <v/>
      </c>
      <c r="F321" s="76" t="n">
        <v>290</v>
      </c>
      <c r="G321" s="74" t="inlineStr">
        <is>
          <t>Conta Nubank</t>
        </is>
      </c>
      <c r="H321" s="74" t="inlineStr">
        <is>
          <t>Débito automático</t>
        </is>
      </c>
      <c r="I321" s="74" t="n"/>
      <c r="J321" s="77" t="n"/>
      <c r="K321" s="77" t="n"/>
      <c r="L321" s="74" t="n"/>
      <c r="M321" s="74" t="n"/>
      <c r="O321" s="78">
        <f>IF($A321="","",YEAR($A321)*100+MONTH($A321))</f>
        <v/>
      </c>
      <c r="P321" s="79">
        <f>IF(OR($F321="",$D321=""),"",IF($D321="Receita",$F321,IF($D321="Transferência",0,-$F321)))</f>
        <v/>
      </c>
    </row>
    <row r="322">
      <c r="A322" s="73" t="n">
        <v>45907</v>
      </c>
      <c r="B322" s="74" t="inlineStr">
        <is>
          <t>Combustível</t>
        </is>
      </c>
      <c r="C322" s="74" t="inlineStr">
        <is>
          <t>Transporte</t>
        </is>
      </c>
      <c r="D322" s="75">
        <f>IF($C322="","",IFERROR(INDEX(CAT_TIPO,MATCH($C322,CAT_NOME,0)),"Sem categoria"))</f>
        <v/>
      </c>
      <c r="E322" s="75">
        <f>IF($C322="","",IFERROR(INDEX(CAT_GRUPO,MATCH($C322,CAT_NOME,0)),"Sem categoria"))</f>
        <v/>
      </c>
      <c r="F322" s="76" t="n">
        <v>111.04</v>
      </c>
      <c r="G322" s="74" t="n"/>
      <c r="H322" s="74" t="inlineStr">
        <is>
          <t>Crédito</t>
        </is>
      </c>
      <c r="I322" s="74" t="inlineStr">
        <is>
          <t>Itaú Visa</t>
        </is>
      </c>
      <c r="J322" s="77" t="n"/>
      <c r="K322" s="77" t="n"/>
      <c r="L322" s="74" t="n"/>
      <c r="M322" s="74" t="n"/>
      <c r="O322" s="78">
        <f>IF($A322="","",YEAR($A322)*100+MONTH($A322))</f>
        <v/>
      </c>
      <c r="P322" s="79">
        <f>IF(OR($F322="",$D322=""),"",IF($D322="Receita",$F322,IF($D322="Transferência",0,-$F322)))</f>
        <v/>
      </c>
    </row>
    <row r="323">
      <c r="A323" s="73" t="n">
        <v>45908</v>
      </c>
      <c r="B323" s="74" t="inlineStr">
        <is>
          <t>Aluguel</t>
        </is>
      </c>
      <c r="C323" s="74" t="inlineStr">
        <is>
          <t>Moradia (aluguel ou financiamento)</t>
        </is>
      </c>
      <c r="D323" s="75">
        <f>IF($C323="","",IFERROR(INDEX(CAT_TIPO,MATCH($C323,CAT_NOME,0)),"Sem categoria"))</f>
        <v/>
      </c>
      <c r="E323" s="75">
        <f>IF($C323="","",IFERROR(INDEX(CAT_GRUPO,MATCH($C323,CAT_NOME,0)),"Sem categoria"))</f>
        <v/>
      </c>
      <c r="F323" s="76" t="n">
        <v>1200</v>
      </c>
      <c r="G323" s="74" t="inlineStr">
        <is>
          <t>Conta Nubank</t>
        </is>
      </c>
      <c r="H323" s="74" t="inlineStr">
        <is>
          <t>Boleto</t>
        </is>
      </c>
      <c r="I323" s="74" t="n"/>
      <c r="J323" s="77" t="n"/>
      <c r="K323" s="77" t="n"/>
      <c r="L323" s="74" t="n"/>
      <c r="M323" s="74" t="n"/>
      <c r="O323" s="78">
        <f>IF($A323="","",YEAR($A323)*100+MONTH($A323))</f>
        <v/>
      </c>
      <c r="P323" s="79">
        <f>IF(OR($F323="",$D323=""),"",IF($D323="Receita",$F323,IF($D323="Transferência",0,-$F323)))</f>
        <v/>
      </c>
    </row>
    <row r="324">
      <c r="A324" s="73" t="n">
        <v>45909</v>
      </c>
      <c r="B324" s="74" t="inlineStr">
        <is>
          <t>Farmácia</t>
        </is>
      </c>
      <c r="C324" s="74" t="inlineStr">
        <is>
          <t>Saúde e farmácia</t>
        </is>
      </c>
      <c r="D324" s="75">
        <f>IF($C324="","",IFERROR(INDEX(CAT_TIPO,MATCH($C324,CAT_NOME,0)),"Sem categoria"))</f>
        <v/>
      </c>
      <c r="E324" s="75">
        <f>IF($C324="","",IFERROR(INDEX(CAT_GRUPO,MATCH($C324,CAT_NOME,0)),"Sem categoria"))</f>
        <v/>
      </c>
      <c r="F324" s="76" t="n">
        <v>96.90000000000001</v>
      </c>
      <c r="G324" s="74" t="n"/>
      <c r="H324" s="74" t="inlineStr">
        <is>
          <t>Crédito</t>
        </is>
      </c>
      <c r="I324" s="74" t="inlineStr">
        <is>
          <t>Itaú Visa</t>
        </is>
      </c>
      <c r="J324" s="77" t="n"/>
      <c r="K324" s="77" t="n"/>
      <c r="L324" s="74" t="n"/>
      <c r="M324" s="74" t="n"/>
      <c r="O324" s="78">
        <f>IF($A324="","",YEAR($A324)*100+MONTH($A324))</f>
        <v/>
      </c>
      <c r="P324" s="79">
        <f>IF(OR($F324="",$D324=""),"",IF($D324="Receita",$F324,IF($D324="Transferência",0,-$F324)))</f>
        <v/>
      </c>
    </row>
    <row r="325">
      <c r="A325" s="73" t="n">
        <v>45910</v>
      </c>
      <c r="B325" s="74" t="inlineStr">
        <is>
          <t>Condomínio</t>
        </is>
      </c>
      <c r="C325" s="74" t="inlineStr">
        <is>
          <t>Condomínio e IPTU</t>
        </is>
      </c>
      <c r="D325" s="75">
        <f>IF($C325="","",IFERROR(INDEX(CAT_TIPO,MATCH($C325,CAT_NOME,0)),"Sem categoria"))</f>
        <v/>
      </c>
      <c r="E325" s="75">
        <f>IF($C325="","",IFERROR(INDEX(CAT_GRUPO,MATCH($C325,CAT_NOME,0)),"Sem categoria"))</f>
        <v/>
      </c>
      <c r="F325" s="76" t="n">
        <v>300</v>
      </c>
      <c r="G325" s="74" t="inlineStr">
        <is>
          <t>Conta Nubank</t>
        </is>
      </c>
      <c r="H325" s="74" t="inlineStr">
        <is>
          <t>Boleto</t>
        </is>
      </c>
      <c r="I325" s="74" t="n"/>
      <c r="J325" s="77" t="n"/>
      <c r="K325" s="77" t="n"/>
      <c r="L325" s="74" t="n"/>
      <c r="M325" s="74" t="n"/>
      <c r="O325" s="78">
        <f>IF($A325="","",YEAR($A325)*100+MONTH($A325))</f>
        <v/>
      </c>
      <c r="P325" s="79">
        <f>IF(OR($F325="",$D325=""),"",IF($D325="Receita",$F325,IF($D325="Transferência",0,-$F325)))</f>
        <v/>
      </c>
    </row>
    <row r="326">
      <c r="A326" s="73" t="n">
        <v>45910</v>
      </c>
      <c r="B326" s="74" t="inlineStr">
        <is>
          <t>Supermercado</t>
        </is>
      </c>
      <c r="C326" s="74" t="inlineStr">
        <is>
          <t>Mercado</t>
        </is>
      </c>
      <c r="D326" s="75">
        <f>IF($C326="","",IFERROR(INDEX(CAT_TIPO,MATCH($C326,CAT_NOME,0)),"Sem categoria"))</f>
        <v/>
      </c>
      <c r="E326" s="75">
        <f>IF($C326="","",IFERROR(INDEX(CAT_GRUPO,MATCH($C326,CAT_NOME,0)),"Sem categoria"))</f>
        <v/>
      </c>
      <c r="F326" s="76" t="n">
        <v>164.48</v>
      </c>
      <c r="G326" s="74" t="inlineStr">
        <is>
          <t>Conta Nubank</t>
        </is>
      </c>
      <c r="H326" s="74" t="inlineStr">
        <is>
          <t>Débito</t>
        </is>
      </c>
      <c r="I326" s="74" t="n"/>
      <c r="J326" s="77" t="n"/>
      <c r="K326" s="77" t="n"/>
      <c r="L326" s="74" t="n"/>
      <c r="M326" s="74" t="n"/>
      <c r="O326" s="78">
        <f>IF($A326="","",YEAR($A326)*100+MONTH($A326))</f>
        <v/>
      </c>
      <c r="P326" s="79">
        <f>IF(OR($F326="",$D326=""),"",IF($D326="Receita",$F326,IF($D326="Transferência",0,-$F326)))</f>
        <v/>
      </c>
    </row>
    <row r="327">
      <c r="A327" s="73" t="n">
        <v>45911</v>
      </c>
      <c r="B327" s="74" t="inlineStr">
        <is>
          <t>Uber</t>
        </is>
      </c>
      <c r="C327" s="74" t="inlineStr">
        <is>
          <t>Transporte</t>
        </is>
      </c>
      <c r="D327" s="75">
        <f>IF($C327="","",IFERROR(INDEX(CAT_TIPO,MATCH($C327,CAT_NOME,0)),"Sem categoria"))</f>
        <v/>
      </c>
      <c r="E327" s="75">
        <f>IF($C327="","",IFERROR(INDEX(CAT_GRUPO,MATCH($C327,CAT_NOME,0)),"Sem categoria"))</f>
        <v/>
      </c>
      <c r="F327" s="76" t="n">
        <v>30.91</v>
      </c>
      <c r="G327" s="74" t="n"/>
      <c r="H327" s="74" t="inlineStr">
        <is>
          <t>Crédito</t>
        </is>
      </c>
      <c r="I327" s="74" t="inlineStr">
        <is>
          <t>Nubank Mastercard</t>
        </is>
      </c>
      <c r="J327" s="77" t="n"/>
      <c r="K327" s="77" t="n"/>
      <c r="L327" s="74" t="n"/>
      <c r="M327" s="74" t="n"/>
      <c r="O327" s="78">
        <f>IF($A327="","",YEAR($A327)*100+MONTH($A327))</f>
        <v/>
      </c>
      <c r="P327" s="79">
        <f>IF(OR($F327="",$D327=""),"",IF($D327="Receita",$F327,IF($D327="Transferência",0,-$F327)))</f>
        <v/>
      </c>
    </row>
    <row r="328">
      <c r="A328" s="73" t="n">
        <v>45912</v>
      </c>
      <c r="B328" s="74" t="inlineStr">
        <is>
          <t>Parcela do financiamento do carro</t>
        </is>
      </c>
      <c r="C328" s="74" t="inlineStr">
        <is>
          <t>Dívidas e parcelas</t>
        </is>
      </c>
      <c r="D328" s="75">
        <f>IF($C328="","",IFERROR(INDEX(CAT_TIPO,MATCH($C328,CAT_NOME,0)),"Sem categoria"))</f>
        <v/>
      </c>
      <c r="E328" s="75">
        <f>IF($C328="","",IFERROR(INDEX(CAT_GRUPO,MATCH($C328,CAT_NOME,0)),"Sem categoria"))</f>
        <v/>
      </c>
      <c r="F328" s="76" t="n">
        <v>560</v>
      </c>
      <c r="G328" s="74" t="inlineStr">
        <is>
          <t>Conta Nubank</t>
        </is>
      </c>
      <c r="H328" s="74" t="inlineStr">
        <is>
          <t>Boleto</t>
        </is>
      </c>
      <c r="I328" s="74" t="n"/>
      <c r="J328" s="77" t="inlineStr">
        <is>
          <t>21/48</t>
        </is>
      </c>
      <c r="K328" s="77" t="n"/>
      <c r="L328" s="74" t="n"/>
      <c r="M328" s="74" t="n"/>
      <c r="O328" s="78">
        <f>IF($A328="","",YEAR($A328)*100+MONTH($A328))</f>
        <v/>
      </c>
      <c r="P328" s="79">
        <f>IF(OR($F328="",$D328=""),"",IF($D328="Receita",$F328,IF($D328="Transferência",0,-$F328)))</f>
        <v/>
      </c>
    </row>
    <row r="329">
      <c r="A329" s="73" t="n">
        <v>45912</v>
      </c>
      <c r="B329" s="74" t="inlineStr">
        <is>
          <t>Seguro do carro</t>
        </is>
      </c>
      <c r="C329" s="74" t="inlineStr">
        <is>
          <t>Seguros</t>
        </is>
      </c>
      <c r="D329" s="75">
        <f>IF($C329="","",IFERROR(INDEX(CAT_TIPO,MATCH($C329,CAT_NOME,0)),"Sem categoria"))</f>
        <v/>
      </c>
      <c r="E329" s="75">
        <f>IF($C329="","",IFERROR(INDEX(CAT_GRUPO,MATCH($C329,CAT_NOME,0)),"Sem categoria"))</f>
        <v/>
      </c>
      <c r="F329" s="76" t="n">
        <v>140</v>
      </c>
      <c r="G329" s="74" t="inlineStr">
        <is>
          <t>Conta Nubank</t>
        </is>
      </c>
      <c r="H329" s="74" t="inlineStr">
        <is>
          <t>Débito automático</t>
        </is>
      </c>
      <c r="I329" s="74" t="n"/>
      <c r="J329" s="77" t="n"/>
      <c r="K329" s="77" t="n"/>
      <c r="L329" s="74" t="n"/>
      <c r="M329" s="74" t="n"/>
      <c r="O329" s="78">
        <f>IF($A329="","",YEAR($A329)*100+MONTH($A329))</f>
        <v/>
      </c>
      <c r="P329" s="79">
        <f>IF(OR($F329="",$D329=""),"",IF($D329="Receita",$F329,IF($D329="Transferência",0,-$F329)))</f>
        <v/>
      </c>
    </row>
    <row r="330">
      <c r="A330" s="73" t="n">
        <v>45913</v>
      </c>
      <c r="B330" s="74" t="inlineStr">
        <is>
          <t>Jantar fora</t>
        </is>
      </c>
      <c r="C330" s="74" t="inlineStr">
        <is>
          <t>Restaurantes e delivery</t>
        </is>
      </c>
      <c r="D330" s="75">
        <f>IF($C330="","",IFERROR(INDEX(CAT_TIPO,MATCH($C330,CAT_NOME,0)),"Sem categoria"))</f>
        <v/>
      </c>
      <c r="E330" s="75">
        <f>IF($C330="","",IFERROR(INDEX(CAT_GRUPO,MATCH($C330,CAT_NOME,0)),"Sem categoria"))</f>
        <v/>
      </c>
      <c r="F330" s="76" t="n">
        <v>97.01000000000001</v>
      </c>
      <c r="G330" s="74" t="n"/>
      <c r="H330" s="74" t="inlineStr">
        <is>
          <t>Crédito</t>
        </is>
      </c>
      <c r="I330" s="74" t="inlineStr">
        <is>
          <t>Nubank Mastercard</t>
        </is>
      </c>
      <c r="J330" s="77" t="n"/>
      <c r="K330" s="77" t="n"/>
      <c r="L330" s="74" t="n"/>
      <c r="M330" s="74" t="n"/>
      <c r="O330" s="78">
        <f>IF($A330="","",YEAR($A330)*100+MONTH($A330))</f>
        <v/>
      </c>
      <c r="P330" s="79">
        <f>IF(OR($F330="",$D330=""),"",IF($D330="Receita",$F330,IF($D330="Transferência",0,-$F330)))</f>
        <v/>
      </c>
    </row>
    <row r="331">
      <c r="A331" s="73" t="n">
        <v>45914</v>
      </c>
      <c r="B331" s="74" t="inlineStr">
        <is>
          <t>Conta de luz</t>
        </is>
      </c>
      <c r="C331" s="74" t="inlineStr">
        <is>
          <t>Contas da casa (luz, água, gás)</t>
        </is>
      </c>
      <c r="D331" s="75">
        <f>IF($C331="","",IFERROR(INDEX(CAT_TIPO,MATCH($C331,CAT_NOME,0)),"Sem categoria"))</f>
        <v/>
      </c>
      <c r="E331" s="75">
        <f>IF($C331="","",IFERROR(INDEX(CAT_GRUPO,MATCH($C331,CAT_NOME,0)),"Sem categoria"))</f>
        <v/>
      </c>
      <c r="F331" s="76" t="n">
        <v>133.61</v>
      </c>
      <c r="G331" s="74" t="inlineStr">
        <is>
          <t>Conta Nubank</t>
        </is>
      </c>
      <c r="H331" s="74" t="inlineStr">
        <is>
          <t>Débito automático</t>
        </is>
      </c>
      <c r="I331" s="74" t="n"/>
      <c r="J331" s="77" t="n"/>
      <c r="K331" s="77" t="n"/>
      <c r="L331" s="74" t="n"/>
      <c r="M331" s="74" t="n"/>
      <c r="O331" s="78">
        <f>IF($A331="","",YEAR($A331)*100+MONTH($A331))</f>
        <v/>
      </c>
      <c r="P331" s="79">
        <f>IF(OR($F331="",$D331=""),"",IF($D331="Receita",$F331,IF($D331="Transferência",0,-$F331)))</f>
        <v/>
      </c>
    </row>
    <row r="332">
      <c r="A332" s="73" t="n">
        <v>45915</v>
      </c>
      <c r="B332" s="74" t="inlineStr">
        <is>
          <t>Roupas e acessórios</t>
        </is>
      </c>
      <c r="C332" s="74" t="inlineStr">
        <is>
          <t>Compras pessoais</t>
        </is>
      </c>
      <c r="D332" s="75">
        <f>IF($C332="","",IFERROR(INDEX(CAT_TIPO,MATCH($C332,CAT_NOME,0)),"Sem categoria"))</f>
        <v/>
      </c>
      <c r="E332" s="75">
        <f>IF($C332="","",IFERROR(INDEX(CAT_GRUPO,MATCH($C332,CAT_NOME,0)),"Sem categoria"))</f>
        <v/>
      </c>
      <c r="F332" s="76" t="n">
        <v>106.57</v>
      </c>
      <c r="G332" s="74" t="n"/>
      <c r="H332" s="74" t="inlineStr">
        <is>
          <t>Crédito</t>
        </is>
      </c>
      <c r="I332" s="74" t="inlineStr">
        <is>
          <t>Nubank Mastercard</t>
        </is>
      </c>
      <c r="J332" s="77" t="n"/>
      <c r="K332" s="77" t="n"/>
      <c r="L332" s="74" t="n"/>
      <c r="M332" s="74" t="n"/>
      <c r="O332" s="78">
        <f>IF($A332="","",YEAR($A332)*100+MONTH($A332))</f>
        <v/>
      </c>
      <c r="P332" s="79">
        <f>IF(OR($F332="",$D332=""),"",IF($D332="Receita",$F332,IF($D332="Transferência",0,-$F332)))</f>
        <v/>
      </c>
    </row>
    <row r="333">
      <c r="A333" s="73" t="n">
        <v>45916</v>
      </c>
      <c r="B333" s="74" t="inlineStr">
        <is>
          <t>Combustível</t>
        </is>
      </c>
      <c r="C333" s="74" t="inlineStr">
        <is>
          <t>Transporte</t>
        </is>
      </c>
      <c r="D333" s="75">
        <f>IF($C333="","",IFERROR(INDEX(CAT_TIPO,MATCH($C333,CAT_NOME,0)),"Sem categoria"))</f>
        <v/>
      </c>
      <c r="E333" s="75">
        <f>IF($C333="","",IFERROR(INDEX(CAT_GRUPO,MATCH($C333,CAT_NOME,0)),"Sem categoria"))</f>
        <v/>
      </c>
      <c r="F333" s="76" t="n">
        <v>120.59</v>
      </c>
      <c r="G333" s="74" t="n"/>
      <c r="H333" s="74" t="inlineStr">
        <is>
          <t>Crédito</t>
        </is>
      </c>
      <c r="I333" s="74" t="inlineStr">
        <is>
          <t>Itaú Visa</t>
        </is>
      </c>
      <c r="J333" s="77" t="n"/>
      <c r="K333" s="77" t="n"/>
      <c r="L333" s="74" t="n"/>
      <c r="M333" s="74" t="n"/>
      <c r="O333" s="78">
        <f>IF($A333="","",YEAR($A333)*100+MONTH($A333))</f>
        <v/>
      </c>
      <c r="P333" s="79">
        <f>IF(OR($F333="",$D333=""),"",IF($D333="Receita",$F333,IF($D333="Transferência",0,-$F333)))</f>
        <v/>
      </c>
    </row>
    <row r="334">
      <c r="A334" s="73" t="n">
        <v>45917</v>
      </c>
      <c r="B334" s="74" t="inlineStr">
        <is>
          <t>Pagamento da fatura Itaú Visa</t>
        </is>
      </c>
      <c r="C334" s="74" t="inlineStr">
        <is>
          <t>Pagamento de fatura</t>
        </is>
      </c>
      <c r="D334" s="75">
        <f>IF($C334="","",IFERROR(INDEX(CAT_TIPO,MATCH($C334,CAT_NOME,0)),"Sem categoria"))</f>
        <v/>
      </c>
      <c r="E334" s="75">
        <f>IF($C334="","",IFERROR(INDEX(CAT_GRUPO,MATCH($C334,CAT_NOME,0)),"Sem categoria"))</f>
        <v/>
      </c>
      <c r="F334" s="76" t="n">
        <v>973.58</v>
      </c>
      <c r="G334" s="74" t="inlineStr">
        <is>
          <t>Conta Nubank</t>
        </is>
      </c>
      <c r="H334" s="74" t="inlineStr">
        <is>
          <t>Boleto</t>
        </is>
      </c>
      <c r="I334" s="74" t="inlineStr">
        <is>
          <t>Itaú Visa</t>
        </is>
      </c>
      <c r="J334" s="77" t="n"/>
      <c r="K334" s="77" t="n"/>
      <c r="L334" s="74" t="n"/>
      <c r="M334" s="74" t="n"/>
      <c r="O334" s="78">
        <f>IF($A334="","",YEAR($A334)*100+MONTH($A334))</f>
        <v/>
      </c>
      <c r="P334" s="79">
        <f>IF(OR($F334="",$D334=""),"",IF($D334="Receita",$F334,IF($D334="Transferência",0,-$F334)))</f>
        <v/>
      </c>
    </row>
    <row r="335">
      <c r="A335" s="73" t="n">
        <v>45917</v>
      </c>
      <c r="B335" s="74" t="inlineStr">
        <is>
          <t>Supermercado</t>
        </is>
      </c>
      <c r="C335" s="74" t="inlineStr">
        <is>
          <t>Mercado</t>
        </is>
      </c>
      <c r="D335" s="75">
        <f>IF($C335="","",IFERROR(INDEX(CAT_TIPO,MATCH($C335,CAT_NOME,0)),"Sem categoria"))</f>
        <v/>
      </c>
      <c r="E335" s="75">
        <f>IF($C335="","",IFERROR(INDEX(CAT_GRUPO,MATCH($C335,CAT_NOME,0)),"Sem categoria"))</f>
        <v/>
      </c>
      <c r="F335" s="76" t="n">
        <v>167.84</v>
      </c>
      <c r="G335" s="74" t="inlineStr">
        <is>
          <t>Conta Nubank</t>
        </is>
      </c>
      <c r="H335" s="74" t="inlineStr">
        <is>
          <t>Débito</t>
        </is>
      </c>
      <c r="I335" s="74" t="n"/>
      <c r="J335" s="77" t="n"/>
      <c r="K335" s="77" t="n"/>
      <c r="L335" s="74" t="n"/>
      <c r="M335" s="74" t="n"/>
      <c r="O335" s="78">
        <f>IF($A335="","",YEAR($A335)*100+MONTH($A335))</f>
        <v/>
      </c>
      <c r="P335" s="79">
        <f>IF(OR($F335="",$D335=""),"",IF($D335="Receita",$F335,IF($D335="Transferência",0,-$F335)))</f>
        <v/>
      </c>
    </row>
    <row r="336">
      <c r="A336" s="73" t="n">
        <v>45917</v>
      </c>
      <c r="B336" s="74" t="inlineStr">
        <is>
          <t>iCloud</t>
        </is>
      </c>
      <c r="C336" s="74" t="inlineStr">
        <is>
          <t>Assinaturas e streaming</t>
        </is>
      </c>
      <c r="D336" s="75">
        <f>IF($C336="","",IFERROR(INDEX(CAT_TIPO,MATCH($C336,CAT_NOME,0)),"Sem categoria"))</f>
        <v/>
      </c>
      <c r="E336" s="75">
        <f>IF($C336="","",IFERROR(INDEX(CAT_GRUPO,MATCH($C336,CAT_NOME,0)),"Sem categoria"))</f>
        <v/>
      </c>
      <c r="F336" s="76" t="n">
        <v>14.9</v>
      </c>
      <c r="G336" s="74" t="n"/>
      <c r="H336" s="74" t="inlineStr">
        <is>
          <t>Crédito</t>
        </is>
      </c>
      <c r="I336" s="74" t="inlineStr">
        <is>
          <t>Nubank Mastercard</t>
        </is>
      </c>
      <c r="J336" s="77" t="n"/>
      <c r="K336" s="77" t="n"/>
      <c r="L336" s="74" t="n"/>
      <c r="M336" s="74" t="n"/>
      <c r="O336" s="78">
        <f>IF($A336="","",YEAR($A336)*100+MONTH($A336))</f>
        <v/>
      </c>
      <c r="P336" s="79">
        <f>IF(OR($F336="",$D336=""),"",IF($D336="Receita",$F336,IF($D336="Transferência",0,-$F336)))</f>
        <v/>
      </c>
    </row>
    <row r="337">
      <c r="A337" s="73" t="n">
        <v>45918</v>
      </c>
      <c r="B337" s="74" t="inlineStr">
        <is>
          <t>Barbearia / salão</t>
        </is>
      </c>
      <c r="C337" s="74" t="inlineStr">
        <is>
          <t>Beleza e cuidados</t>
        </is>
      </c>
      <c r="D337" s="75">
        <f>IF($C337="","",IFERROR(INDEX(CAT_TIPO,MATCH($C337,CAT_NOME,0)),"Sem categoria"))</f>
        <v/>
      </c>
      <c r="E337" s="75">
        <f>IF($C337="","",IFERROR(INDEX(CAT_GRUPO,MATCH($C337,CAT_NOME,0)),"Sem categoria"))</f>
        <v/>
      </c>
      <c r="F337" s="76" t="n">
        <v>77.86</v>
      </c>
      <c r="G337" s="74" t="inlineStr">
        <is>
          <t>Conta Nubank</t>
        </is>
      </c>
      <c r="H337" s="74" t="inlineStr">
        <is>
          <t>Pix</t>
        </is>
      </c>
      <c r="I337" s="74" t="n"/>
      <c r="J337" s="77" t="n"/>
      <c r="K337" s="77" t="n"/>
      <c r="L337" s="74" t="n"/>
      <c r="M337" s="74" t="n"/>
      <c r="O337" s="78">
        <f>IF($A337="","",YEAR($A337)*100+MONTH($A337))</f>
        <v/>
      </c>
      <c r="P337" s="79">
        <f>IF(OR($F337="",$D337=""),"",IF($D337="Receita",$F337,IF($D337="Transferência",0,-$F337)))</f>
        <v/>
      </c>
    </row>
    <row r="338">
      <c r="A338" s="73" t="n">
        <v>45918</v>
      </c>
      <c r="B338" s="74" t="inlineStr">
        <is>
          <t>Conta de água</t>
        </is>
      </c>
      <c r="C338" s="74" t="inlineStr">
        <is>
          <t>Contas da casa (luz, água, gás)</t>
        </is>
      </c>
      <c r="D338" s="75">
        <f>IF($C338="","",IFERROR(INDEX(CAT_TIPO,MATCH($C338,CAT_NOME,0)),"Sem categoria"))</f>
        <v/>
      </c>
      <c r="E338" s="75">
        <f>IF($C338="","",IFERROR(INDEX(CAT_GRUPO,MATCH($C338,CAT_NOME,0)),"Sem categoria"))</f>
        <v/>
      </c>
      <c r="F338" s="76" t="n">
        <v>85.52</v>
      </c>
      <c r="G338" s="74" t="inlineStr">
        <is>
          <t>Conta Nubank</t>
        </is>
      </c>
      <c r="H338" s="74" t="inlineStr">
        <is>
          <t>Débito automático</t>
        </is>
      </c>
      <c r="I338" s="74" t="n"/>
      <c r="J338" s="77" t="n"/>
      <c r="K338" s="77" t="n"/>
      <c r="L338" s="74" t="n"/>
      <c r="M338" s="74" t="n"/>
      <c r="O338" s="78">
        <f>IF($A338="","",YEAR($A338)*100+MONTH($A338))</f>
        <v/>
      </c>
      <c r="P338" s="79">
        <f>IF(OR($F338="",$D338=""),"",IF($D338="Receita",$F338,IF($D338="Transferência",0,-$F338)))</f>
        <v/>
      </c>
    </row>
    <row r="339">
      <c r="A339" s="73" t="n">
        <v>45919</v>
      </c>
      <c r="B339" s="74" t="inlineStr">
        <is>
          <t>iFood</t>
        </is>
      </c>
      <c r="C339" s="74" t="inlineStr">
        <is>
          <t>Restaurantes e delivery</t>
        </is>
      </c>
      <c r="D339" s="75">
        <f>IF($C339="","",IFERROR(INDEX(CAT_TIPO,MATCH($C339,CAT_NOME,0)),"Sem categoria"))</f>
        <v/>
      </c>
      <c r="E339" s="75">
        <f>IF($C339="","",IFERROR(INDEX(CAT_GRUPO,MATCH($C339,CAT_NOME,0)),"Sem categoria"))</f>
        <v/>
      </c>
      <c r="F339" s="76" t="n">
        <v>65.84999999999999</v>
      </c>
      <c r="G339" s="74" t="n"/>
      <c r="H339" s="74" t="inlineStr">
        <is>
          <t>Crédito</t>
        </is>
      </c>
      <c r="I339" s="74" t="inlineStr">
        <is>
          <t>Nubank Mastercard</t>
        </is>
      </c>
      <c r="J339" s="77" t="n"/>
      <c r="K339" s="77" t="n"/>
      <c r="L339" s="74" t="n"/>
      <c r="M339" s="74" t="n"/>
      <c r="O339" s="78">
        <f>IF($A339="","",YEAR($A339)*100+MONTH($A339))</f>
        <v/>
      </c>
      <c r="P339" s="79">
        <f>IF(OR($F339="",$D339=""),"",IF($D339="Receita",$F339,IF($D339="Transferência",0,-$F339)))</f>
        <v/>
      </c>
    </row>
    <row r="340">
      <c r="A340" s="73" t="n">
        <v>45920</v>
      </c>
      <c r="B340" s="74" t="inlineStr">
        <is>
          <t>Internet fibra</t>
        </is>
      </c>
      <c r="C340" s="74" t="inlineStr">
        <is>
          <t>Internet e celular</t>
        </is>
      </c>
      <c r="D340" s="75">
        <f>IF($C340="","",IFERROR(INDEX(CAT_TIPO,MATCH($C340,CAT_NOME,0)),"Sem categoria"))</f>
        <v/>
      </c>
      <c r="E340" s="75">
        <f>IF($C340="","",IFERROR(INDEX(CAT_GRUPO,MATCH($C340,CAT_NOME,0)),"Sem categoria"))</f>
        <v/>
      </c>
      <c r="F340" s="76" t="n">
        <v>119.9</v>
      </c>
      <c r="G340" s="74" t="inlineStr">
        <is>
          <t>Conta Nubank</t>
        </is>
      </c>
      <c r="H340" s="74" t="inlineStr">
        <is>
          <t>Débito automático</t>
        </is>
      </c>
      <c r="I340" s="74" t="n"/>
      <c r="J340" s="77" t="n"/>
      <c r="K340" s="77" t="n"/>
      <c r="L340" s="74" t="n"/>
      <c r="M340" s="74" t="n"/>
      <c r="O340" s="78">
        <f>IF($A340="","",YEAR($A340)*100+MONTH($A340))</f>
        <v/>
      </c>
      <c r="P340" s="79">
        <f>IF(OR($F340="",$D340=""),"",IF($D340="Receita",$F340,IF($D340="Transferência",0,-$F340)))</f>
        <v/>
      </c>
    </row>
    <row r="341">
      <c r="A341" s="73" t="n">
        <v>45920</v>
      </c>
      <c r="B341" s="74" t="inlineStr">
        <is>
          <t>Projeto freelance</t>
        </is>
      </c>
      <c r="C341" s="74" t="inlineStr">
        <is>
          <t>Renda extra e freelance</t>
        </is>
      </c>
      <c r="D341" s="75">
        <f>IF($C341="","",IFERROR(INDEX(CAT_TIPO,MATCH($C341,CAT_NOME,0)),"Sem categoria"))</f>
        <v/>
      </c>
      <c r="E341" s="75">
        <f>IF($C341="","",IFERROR(INDEX(CAT_GRUPO,MATCH($C341,CAT_NOME,0)),"Sem categoria"))</f>
        <v/>
      </c>
      <c r="F341" s="76" t="n">
        <v>1300</v>
      </c>
      <c r="G341" s="74" t="inlineStr">
        <is>
          <t>Conta Nubank</t>
        </is>
      </c>
      <c r="H341" s="74" t="inlineStr">
        <is>
          <t>Pix</t>
        </is>
      </c>
      <c r="I341" s="74" t="n"/>
      <c r="J341" s="77" t="n"/>
      <c r="K341" s="77" t="n"/>
      <c r="L341" s="74" t="n"/>
      <c r="M341" s="74" t="n"/>
      <c r="O341" s="78">
        <f>IF($A341="","",YEAR($A341)*100+MONTH($A341))</f>
        <v/>
      </c>
      <c r="P341" s="79">
        <f>IF(OR($F341="",$D341=""),"",IF($D341="Receita",$F341,IF($D341="Transferência",0,-$F341)))</f>
        <v/>
      </c>
    </row>
    <row r="342">
      <c r="A342" s="73" t="n">
        <v>45921</v>
      </c>
      <c r="B342" s="74" t="inlineStr">
        <is>
          <t>Uber</t>
        </is>
      </c>
      <c r="C342" s="74" t="inlineStr">
        <is>
          <t>Transporte</t>
        </is>
      </c>
      <c r="D342" s="75">
        <f>IF($C342="","",IFERROR(INDEX(CAT_TIPO,MATCH($C342,CAT_NOME,0)),"Sem categoria"))</f>
        <v/>
      </c>
      <c r="E342" s="75">
        <f>IF($C342="","",IFERROR(INDEX(CAT_GRUPO,MATCH($C342,CAT_NOME,0)),"Sem categoria"))</f>
        <v/>
      </c>
      <c r="F342" s="76" t="n">
        <v>18.18</v>
      </c>
      <c r="G342" s="74" t="n"/>
      <c r="H342" s="74" t="inlineStr">
        <is>
          <t>Crédito</t>
        </is>
      </c>
      <c r="I342" s="74" t="inlineStr">
        <is>
          <t>Nubank Mastercard</t>
        </is>
      </c>
      <c r="J342" s="77" t="n"/>
      <c r="K342" s="77" t="n"/>
      <c r="L342" s="74" t="n"/>
      <c r="M342" s="74" t="n"/>
      <c r="O342" s="78">
        <f>IF($A342="","",YEAR($A342)*100+MONTH($A342))</f>
        <v/>
      </c>
      <c r="P342" s="79">
        <f>IF(OR($F342="",$D342=""),"",IF($D342="Receita",$F342,IF($D342="Transferência",0,-$F342)))</f>
        <v/>
      </c>
    </row>
    <row r="343">
      <c r="A343" s="73" t="n">
        <v>45922</v>
      </c>
      <c r="B343" s="74" t="inlineStr">
        <is>
          <t>Plano de celular</t>
        </is>
      </c>
      <c r="C343" s="74" t="inlineStr">
        <is>
          <t>Internet e celular</t>
        </is>
      </c>
      <c r="D343" s="75">
        <f>IF($C343="","",IFERROR(INDEX(CAT_TIPO,MATCH($C343,CAT_NOME,0)),"Sem categoria"))</f>
        <v/>
      </c>
      <c r="E343" s="75">
        <f>IF($C343="","",IFERROR(INDEX(CAT_GRUPO,MATCH($C343,CAT_NOME,0)),"Sem categoria"))</f>
        <v/>
      </c>
      <c r="F343" s="76" t="n">
        <v>59.9</v>
      </c>
      <c r="G343" s="74" t="inlineStr">
        <is>
          <t>Conta Nubank</t>
        </is>
      </c>
      <c r="H343" s="74" t="inlineStr">
        <is>
          <t>Débito automático</t>
        </is>
      </c>
      <c r="I343" s="74" t="n"/>
      <c r="J343" s="77" t="n"/>
      <c r="K343" s="77" t="n"/>
      <c r="L343" s="74" t="n"/>
      <c r="M343" s="74" t="n"/>
      <c r="O343" s="78">
        <f>IF($A343="","",YEAR($A343)*100+MONTH($A343))</f>
        <v/>
      </c>
      <c r="P343" s="79">
        <f>IF(OR($F343="",$D343=""),"",IF($D343="Receita",$F343,IF($D343="Transferência",0,-$F343)))</f>
        <v/>
      </c>
    </row>
    <row r="344">
      <c r="A344" s="73" t="n">
        <v>45923</v>
      </c>
      <c r="B344" s="74" t="inlineStr">
        <is>
          <t>Cinema e passeios</t>
        </is>
      </c>
      <c r="C344" s="74" t="inlineStr">
        <is>
          <t>Lazer e entretenimento</t>
        </is>
      </c>
      <c r="D344" s="75">
        <f>IF($C344="","",IFERROR(INDEX(CAT_TIPO,MATCH($C344,CAT_NOME,0)),"Sem categoria"))</f>
        <v/>
      </c>
      <c r="E344" s="75">
        <f>IF($C344="","",IFERROR(INDEX(CAT_GRUPO,MATCH($C344,CAT_NOME,0)),"Sem categoria"))</f>
        <v/>
      </c>
      <c r="F344" s="76" t="n">
        <v>71.98</v>
      </c>
      <c r="G344" s="74" t="n"/>
      <c r="H344" s="74" t="inlineStr">
        <is>
          <t>Crédito</t>
        </is>
      </c>
      <c r="I344" s="74" t="inlineStr">
        <is>
          <t>Itaú Visa</t>
        </is>
      </c>
      <c r="J344" s="77" t="n"/>
      <c r="K344" s="77" t="n"/>
      <c r="L344" s="74" t="n"/>
      <c r="M344" s="74" t="n"/>
      <c r="O344" s="78">
        <f>IF($A344="","",YEAR($A344)*100+MONTH($A344))</f>
        <v/>
      </c>
      <c r="P344" s="79">
        <f>IF(OR($F344="",$D344=""),"",IF($D344="Receita",$F344,IF($D344="Transferência",0,-$F344)))</f>
        <v/>
      </c>
    </row>
    <row r="345">
      <c r="A345" s="73" t="n">
        <v>45924</v>
      </c>
      <c r="B345" s="74" t="inlineStr">
        <is>
          <t>Supermercado</t>
        </is>
      </c>
      <c r="C345" s="74" t="inlineStr">
        <is>
          <t>Mercado</t>
        </is>
      </c>
      <c r="D345" s="75">
        <f>IF($C345="","",IFERROR(INDEX(CAT_TIPO,MATCH($C345,CAT_NOME,0)),"Sem categoria"))</f>
        <v/>
      </c>
      <c r="E345" s="75">
        <f>IF($C345="","",IFERROR(INDEX(CAT_GRUPO,MATCH($C345,CAT_NOME,0)),"Sem categoria"))</f>
        <v/>
      </c>
      <c r="F345" s="76" t="n">
        <v>133.96</v>
      </c>
      <c r="G345" s="74" t="inlineStr">
        <is>
          <t>Conta Nubank</t>
        </is>
      </c>
      <c r="H345" s="74" t="inlineStr">
        <is>
          <t>Débito</t>
        </is>
      </c>
      <c r="I345" s="74" t="n"/>
      <c r="J345" s="77" t="n"/>
      <c r="K345" s="77" t="n"/>
      <c r="L345" s="74" t="n"/>
      <c r="M345" s="74" t="n"/>
      <c r="O345" s="78">
        <f>IF($A345="","",YEAR($A345)*100+MONTH($A345))</f>
        <v/>
      </c>
      <c r="P345" s="79">
        <f>IF(OR($F345="",$D345=""),"",IF($D345="Receita",$F345,IF($D345="Transferência",0,-$F345)))</f>
        <v/>
      </c>
    </row>
    <row r="346">
      <c r="A346" s="73" t="n">
        <v>45926</v>
      </c>
      <c r="B346" s="74" t="inlineStr">
        <is>
          <t>Combustível</t>
        </is>
      </c>
      <c r="C346" s="74" t="inlineStr">
        <is>
          <t>Transporte</t>
        </is>
      </c>
      <c r="D346" s="75">
        <f>IF($C346="","",IFERROR(INDEX(CAT_TIPO,MATCH($C346,CAT_NOME,0)),"Sem categoria"))</f>
        <v/>
      </c>
      <c r="E346" s="75">
        <f>IF($C346="","",IFERROR(INDEX(CAT_GRUPO,MATCH($C346,CAT_NOME,0)),"Sem categoria"))</f>
        <v/>
      </c>
      <c r="F346" s="76" t="n">
        <v>116.95</v>
      </c>
      <c r="G346" s="74" t="n"/>
      <c r="H346" s="74" t="inlineStr">
        <is>
          <t>Crédito</t>
        </is>
      </c>
      <c r="I346" s="74" t="inlineStr">
        <is>
          <t>Itaú Visa</t>
        </is>
      </c>
      <c r="J346" s="77" t="n"/>
      <c r="K346" s="77" t="n"/>
      <c r="L346" s="74" t="n"/>
      <c r="M346" s="74" t="n"/>
      <c r="O346" s="78">
        <f>IF($A346="","",YEAR($A346)*100+MONTH($A346))</f>
        <v/>
      </c>
      <c r="P346" s="79">
        <f>IF(OR($F346="",$D346=""),"",IF($D346="Receita",$F346,IF($D346="Transferência",0,-$F346)))</f>
        <v/>
      </c>
    </row>
    <row r="347">
      <c r="A347" s="73" t="n">
        <v>45927</v>
      </c>
      <c r="B347" s="74" t="inlineStr">
        <is>
          <t>Almoço de domingo</t>
        </is>
      </c>
      <c r="C347" s="74" t="inlineStr">
        <is>
          <t>Restaurantes e delivery</t>
        </is>
      </c>
      <c r="D347" s="75">
        <f>IF($C347="","",IFERROR(INDEX(CAT_TIPO,MATCH($C347,CAT_NOME,0)),"Sem categoria"))</f>
        <v/>
      </c>
      <c r="E347" s="75">
        <f>IF($C347="","",IFERROR(INDEX(CAT_GRUPO,MATCH($C347,CAT_NOME,0)),"Sem categoria"))</f>
        <v/>
      </c>
      <c r="F347" s="76" t="n">
        <v>83.67</v>
      </c>
      <c r="G347" s="74" t="n"/>
      <c r="H347" s="74" t="inlineStr">
        <is>
          <t>Crédito</t>
        </is>
      </c>
      <c r="I347" s="74" t="inlineStr">
        <is>
          <t>Nubank Mastercard</t>
        </is>
      </c>
      <c r="J347" s="77" t="n"/>
      <c r="K347" s="77" t="n"/>
      <c r="L347" s="74" t="n"/>
      <c r="M347" s="74" t="n"/>
      <c r="O347" s="78">
        <f>IF($A347="","",YEAR($A347)*100+MONTH($A347))</f>
        <v/>
      </c>
      <c r="P347" s="79">
        <f>IF(OR($F347="",$D347=""),"",IF($D347="Receita",$F347,IF($D347="Transferência",0,-$F347)))</f>
        <v/>
      </c>
    </row>
    <row r="348">
      <c r="A348" s="73" t="n">
        <v>45928</v>
      </c>
      <c r="B348" s="74" t="inlineStr">
        <is>
          <t>Aporte em renda fixa</t>
        </is>
      </c>
      <c r="C348" s="74" t="inlineStr">
        <is>
          <t>Investimentos</t>
        </is>
      </c>
      <c r="D348" s="75">
        <f>IF($C348="","",IFERROR(INDEX(CAT_TIPO,MATCH($C348,CAT_NOME,0)),"Sem categoria"))</f>
        <v/>
      </c>
      <c r="E348" s="75">
        <f>IF($C348="","",IFERROR(INDEX(CAT_GRUPO,MATCH($C348,CAT_NOME,0)),"Sem categoria"))</f>
        <v/>
      </c>
      <c r="F348" s="76" t="n">
        <v>250</v>
      </c>
      <c r="G348" s="74" t="inlineStr">
        <is>
          <t>Conta Nubank</t>
        </is>
      </c>
      <c r="H348" s="74" t="inlineStr">
        <is>
          <t>Transferência</t>
        </is>
      </c>
      <c r="I348" s="74" t="n"/>
      <c r="J348" s="77" t="n"/>
      <c r="K348" s="77" t="n"/>
      <c r="L348" s="74" t="inlineStr">
        <is>
          <t>Corretora</t>
        </is>
      </c>
      <c r="M348" s="74" t="n"/>
      <c r="O348" s="78">
        <f>IF($A348="","",YEAR($A348)*100+MONTH($A348))</f>
        <v/>
      </c>
      <c r="P348" s="79">
        <f>IF(OR($F348="",$D348=""),"",IF($D348="Receita",$F348,IF($D348="Transferência",0,-$F348)))</f>
        <v/>
      </c>
    </row>
    <row r="349">
      <c r="A349" s="73" t="n">
        <v>45928</v>
      </c>
      <c r="B349" s="74" t="inlineStr">
        <is>
          <t>Cofrinho da viagem</t>
        </is>
      </c>
      <c r="C349" s="74" t="inlineStr">
        <is>
          <t>Metas e sonhos</t>
        </is>
      </c>
      <c r="D349" s="75">
        <f>IF($C349="","",IFERROR(INDEX(CAT_TIPO,MATCH($C349,CAT_NOME,0)),"Sem categoria"))</f>
        <v/>
      </c>
      <c r="E349" s="75">
        <f>IF($C349="","",IFERROR(INDEX(CAT_GRUPO,MATCH($C349,CAT_NOME,0)),"Sem categoria"))</f>
        <v/>
      </c>
      <c r="F349" s="76" t="n">
        <v>150</v>
      </c>
      <c r="G349" s="74" t="inlineStr">
        <is>
          <t>Conta Nubank</t>
        </is>
      </c>
      <c r="H349" s="74" t="inlineStr">
        <is>
          <t>Transferência</t>
        </is>
      </c>
      <c r="I349" s="74" t="n"/>
      <c r="J349" s="77" t="n"/>
      <c r="K349" s="77" t="n"/>
      <c r="L349" s="74" t="inlineStr">
        <is>
          <t>Cofrinho viagem</t>
        </is>
      </c>
      <c r="M349" s="74" t="n"/>
      <c r="O349" s="78">
        <f>IF($A349="","",YEAR($A349)*100+MONTH($A349))</f>
        <v/>
      </c>
      <c r="P349" s="79">
        <f>IF(OR($F349="",$D349=""),"",IF($D349="Receita",$F349,IF($D349="Transferência",0,-$F349)))</f>
        <v/>
      </c>
    </row>
    <row r="350">
      <c r="A350" s="73" t="n">
        <v>45928</v>
      </c>
      <c r="B350" s="74" t="inlineStr">
        <is>
          <t>Rendimento da renda fixa</t>
        </is>
      </c>
      <c r="C350" s="74" t="inlineStr">
        <is>
          <t>Rendimentos de investimentos</t>
        </is>
      </c>
      <c r="D350" s="75">
        <f>IF($C350="","",IFERROR(INDEX(CAT_TIPO,MATCH($C350,CAT_NOME,0)),"Sem categoria"))</f>
        <v/>
      </c>
      <c r="E350" s="75">
        <f>IF($C350="","",IFERROR(INDEX(CAT_GRUPO,MATCH($C350,CAT_NOME,0)),"Sem categoria"))</f>
        <v/>
      </c>
      <c r="F350" s="76" t="n">
        <v>75.05</v>
      </c>
      <c r="G350" s="74" t="inlineStr">
        <is>
          <t>Corretora</t>
        </is>
      </c>
      <c r="H350" s="74" t="inlineStr">
        <is>
          <t>Transferência</t>
        </is>
      </c>
      <c r="I350" s="74" t="n"/>
      <c r="J350" s="77" t="n"/>
      <c r="K350" s="77" t="n"/>
      <c r="L350" s="74" t="n"/>
      <c r="M350" s="74" t="n"/>
      <c r="O350" s="78">
        <f>IF($A350="","",YEAR($A350)*100+MONTH($A350))</f>
        <v/>
      </c>
      <c r="P350" s="79">
        <f>IF(OR($F350="",$D350=""),"",IF($D350="Receita",$F350,IF($D350="Transferência",0,-$F350)))</f>
        <v/>
      </c>
    </row>
    <row r="351">
      <c r="A351" s="73" t="n">
        <v>45928</v>
      </c>
      <c r="B351" s="74" t="inlineStr">
        <is>
          <t>Reserva de emergência</t>
        </is>
      </c>
      <c r="C351" s="74" t="inlineStr">
        <is>
          <t>Reserva de emergência</t>
        </is>
      </c>
      <c r="D351" s="75">
        <f>IF($C351="","",IFERROR(INDEX(CAT_TIPO,MATCH($C351,CAT_NOME,0)),"Sem categoria"))</f>
        <v/>
      </c>
      <c r="E351" s="75">
        <f>IF($C351="","",IFERROR(INDEX(CAT_GRUPO,MATCH($C351,CAT_NOME,0)),"Sem categoria"))</f>
        <v/>
      </c>
      <c r="F351" s="76" t="n">
        <v>400</v>
      </c>
      <c r="G351" s="74" t="inlineStr">
        <is>
          <t>Conta Nubank</t>
        </is>
      </c>
      <c r="H351" s="74" t="inlineStr">
        <is>
          <t>Transferência</t>
        </is>
      </c>
      <c r="I351" s="74" t="n"/>
      <c r="J351" s="77" t="n"/>
      <c r="K351" s="77" t="n"/>
      <c r="L351" s="74" t="inlineStr">
        <is>
          <t>Poupança Caixa</t>
        </is>
      </c>
      <c r="M351" s="74" t="n"/>
      <c r="O351" s="78">
        <f>IF($A351="","",YEAR($A351)*100+MONTH($A351))</f>
        <v/>
      </c>
      <c r="P351" s="79">
        <f>IF(OR($F351="",$D351=""),"",IF($D351="Receita",$F351,IF($D351="Transferência",0,-$F351)))</f>
        <v/>
      </c>
    </row>
    <row r="352">
      <c r="A352" s="73" t="n">
        <v>45929</v>
      </c>
      <c r="B352" s="74" t="inlineStr">
        <is>
          <t>Feira e padaria</t>
        </is>
      </c>
      <c r="C352" s="74" t="inlineStr">
        <is>
          <t>Mercado</t>
        </is>
      </c>
      <c r="D352" s="75">
        <f>IF($C352="","",IFERROR(INDEX(CAT_TIPO,MATCH($C352,CAT_NOME,0)),"Sem categoria"))</f>
        <v/>
      </c>
      <c r="E352" s="75">
        <f>IF($C352="","",IFERROR(INDEX(CAT_GRUPO,MATCH($C352,CAT_NOME,0)),"Sem categoria"))</f>
        <v/>
      </c>
      <c r="F352" s="76" t="n">
        <v>84.13</v>
      </c>
      <c r="G352" s="74" t="inlineStr">
        <is>
          <t>Carteira</t>
        </is>
      </c>
      <c r="H352" s="74" t="inlineStr">
        <is>
          <t>Dinheiro</t>
        </is>
      </c>
      <c r="I352" s="74" t="n"/>
      <c r="J352" s="77" t="n"/>
      <c r="K352" s="77" t="n"/>
      <c r="L352" s="74" t="n"/>
      <c r="M352" s="74" t="n"/>
      <c r="O352" s="78">
        <f>IF($A352="","",YEAR($A352)*100+MONTH($A352))</f>
        <v/>
      </c>
      <c r="P352" s="79">
        <f>IF(OR($F352="",$D352=""),"",IF($D352="Receita",$F352,IF($D352="Transferência",0,-$F352)))</f>
        <v/>
      </c>
    </row>
    <row r="353">
      <c r="A353" s="73" t="n">
        <v>45933</v>
      </c>
      <c r="B353" s="74" t="inlineStr">
        <is>
          <t>Netflix</t>
        </is>
      </c>
      <c r="C353" s="74" t="inlineStr">
        <is>
          <t>Assinaturas e streaming</t>
        </is>
      </c>
      <c r="D353" s="75">
        <f>IF($C353="","",IFERROR(INDEX(CAT_TIPO,MATCH($C353,CAT_NOME,0)),"Sem categoria"))</f>
        <v/>
      </c>
      <c r="E353" s="75">
        <f>IF($C353="","",IFERROR(INDEX(CAT_GRUPO,MATCH($C353,CAT_NOME,0)),"Sem categoria"))</f>
        <v/>
      </c>
      <c r="F353" s="76" t="n">
        <v>55.9</v>
      </c>
      <c r="G353" s="74" t="n"/>
      <c r="H353" s="74" t="inlineStr">
        <is>
          <t>Crédito</t>
        </is>
      </c>
      <c r="I353" s="74" t="inlineStr">
        <is>
          <t>Nubank Mastercard</t>
        </is>
      </c>
      <c r="J353" s="77" t="n"/>
      <c r="K353" s="77" t="n"/>
      <c r="L353" s="74" t="n"/>
      <c r="M353" s="74" t="n"/>
      <c r="O353" s="78">
        <f>IF($A353="","",YEAR($A353)*100+MONTH($A353))</f>
        <v/>
      </c>
      <c r="P353" s="79">
        <f>IF(OR($F353="",$D353=""),"",IF($D353="Receita",$F353,IF($D353="Transferência",0,-$F353)))</f>
        <v/>
      </c>
    </row>
    <row r="354">
      <c r="A354" s="73" t="n">
        <v>45933</v>
      </c>
      <c r="B354" s="74" t="inlineStr">
        <is>
          <t>Supermercado</t>
        </is>
      </c>
      <c r="C354" s="74" t="inlineStr">
        <is>
          <t>Mercado</t>
        </is>
      </c>
      <c r="D354" s="75">
        <f>IF($C354="","",IFERROR(INDEX(CAT_TIPO,MATCH($C354,CAT_NOME,0)),"Sem categoria"))</f>
        <v/>
      </c>
      <c r="E354" s="75">
        <f>IF($C354="","",IFERROR(INDEX(CAT_GRUPO,MATCH($C354,CAT_NOME,0)),"Sem categoria"))</f>
        <v/>
      </c>
      <c r="F354" s="76" t="n">
        <v>164.86</v>
      </c>
      <c r="G354" s="74" t="inlineStr">
        <is>
          <t>Conta Nubank</t>
        </is>
      </c>
      <c r="H354" s="74" t="inlineStr">
        <is>
          <t>Débito</t>
        </is>
      </c>
      <c r="I354" s="74" t="n"/>
      <c r="J354" s="77" t="n"/>
      <c r="K354" s="77" t="n"/>
      <c r="L354" s="74" t="n"/>
      <c r="M354" s="74" t="n"/>
      <c r="O354" s="78">
        <f>IF($A354="","",YEAR($A354)*100+MONTH($A354))</f>
        <v/>
      </c>
      <c r="P354" s="79">
        <f>IF(OR($F354="",$D354=""),"",IF($D354="Receita",$F354,IF($D354="Transferência",0,-$F354)))</f>
        <v/>
      </c>
    </row>
    <row r="355">
      <c r="A355" s="73" t="n">
        <v>45934</v>
      </c>
      <c r="B355" s="74" t="inlineStr">
        <is>
          <t>Spotify</t>
        </is>
      </c>
      <c r="C355" s="74" t="inlineStr">
        <is>
          <t>Assinaturas e streaming</t>
        </is>
      </c>
      <c r="D355" s="75">
        <f>IF($C355="","",IFERROR(INDEX(CAT_TIPO,MATCH($C355,CAT_NOME,0)),"Sem categoria"))</f>
        <v/>
      </c>
      <c r="E355" s="75">
        <f>IF($C355="","",IFERROR(INDEX(CAT_GRUPO,MATCH($C355,CAT_NOME,0)),"Sem categoria"))</f>
        <v/>
      </c>
      <c r="F355" s="76" t="n">
        <v>23.9</v>
      </c>
      <c r="G355" s="74" t="n"/>
      <c r="H355" s="74" t="inlineStr">
        <is>
          <t>Crédito</t>
        </is>
      </c>
      <c r="I355" s="74" t="inlineStr">
        <is>
          <t>Nubank Mastercard</t>
        </is>
      </c>
      <c r="J355" s="77" t="n"/>
      <c r="K355" s="77" t="n"/>
      <c r="L355" s="74" t="n"/>
      <c r="M355" s="74" t="n"/>
      <c r="O355" s="78">
        <f>IF($A355="","",YEAR($A355)*100+MONTH($A355))</f>
        <v/>
      </c>
      <c r="P355" s="79">
        <f>IF(OR($F355="",$D355=""),"",IF($D355="Receita",$F355,IF($D355="Transferência",0,-$F355)))</f>
        <v/>
      </c>
    </row>
    <row r="356">
      <c r="A356" s="73" t="n">
        <v>45935</v>
      </c>
      <c r="B356" s="74" t="inlineStr">
        <is>
          <t>Academia</t>
        </is>
      </c>
      <c r="C356" s="74" t="inlineStr">
        <is>
          <t>Assinaturas e streaming</t>
        </is>
      </c>
      <c r="D356" s="75">
        <f>IF($C356="","",IFERROR(INDEX(CAT_TIPO,MATCH($C356,CAT_NOME,0)),"Sem categoria"))</f>
        <v/>
      </c>
      <c r="E356" s="75">
        <f>IF($C356="","",IFERROR(INDEX(CAT_GRUPO,MATCH($C356,CAT_NOME,0)),"Sem categoria"))</f>
        <v/>
      </c>
      <c r="F356" s="76" t="n">
        <v>119.9</v>
      </c>
      <c r="G356" s="74" t="n"/>
      <c r="H356" s="74" t="inlineStr">
        <is>
          <t>Crédito</t>
        </is>
      </c>
      <c r="I356" s="74" t="inlineStr">
        <is>
          <t>Nubank Mastercard</t>
        </is>
      </c>
      <c r="J356" s="77" t="n"/>
      <c r="K356" s="77" t="n"/>
      <c r="L356" s="74" t="n"/>
      <c r="M356" s="74" t="n"/>
      <c r="O356" s="78">
        <f>IF($A356="","",YEAR($A356)*100+MONTH($A356))</f>
        <v/>
      </c>
      <c r="P356" s="79">
        <f>IF(OR($F356="",$D356=""),"",IF($D356="Receita",$F356,IF($D356="Transferência",0,-$F356)))</f>
        <v/>
      </c>
    </row>
    <row r="357">
      <c r="A357" s="73" t="n">
        <v>45935</v>
      </c>
      <c r="B357" s="74" t="inlineStr">
        <is>
          <t>Pagamento da fatura Nubank Mastercard</t>
        </is>
      </c>
      <c r="C357" s="74" t="inlineStr">
        <is>
          <t>Pagamento de fatura</t>
        </is>
      </c>
      <c r="D357" s="75">
        <f>IF($C357="","",IFERROR(INDEX(CAT_TIPO,MATCH($C357,CAT_NOME,0)),"Sem categoria"))</f>
        <v/>
      </c>
      <c r="E357" s="75">
        <f>IF($C357="","",IFERROR(INDEX(CAT_GRUPO,MATCH($C357,CAT_NOME,0)),"Sem categoria"))</f>
        <v/>
      </c>
      <c r="F357" s="76" t="n">
        <v>1278.88</v>
      </c>
      <c r="G357" s="74" t="inlineStr">
        <is>
          <t>Conta Nubank</t>
        </is>
      </c>
      <c r="H357" s="74" t="inlineStr">
        <is>
          <t>Boleto</t>
        </is>
      </c>
      <c r="I357" s="74" t="inlineStr">
        <is>
          <t>Nubank Mastercard</t>
        </is>
      </c>
      <c r="J357" s="77" t="n"/>
      <c r="K357" s="77" t="n"/>
      <c r="L357" s="74" t="n"/>
      <c r="M357" s="74" t="n"/>
      <c r="O357" s="78">
        <f>IF($A357="","",YEAR($A357)*100+MONTH($A357))</f>
        <v/>
      </c>
      <c r="P357" s="79">
        <f>IF(OR($F357="",$D357=""),"",IF($D357="Receita",$F357,IF($D357="Transferência",0,-$F357)))</f>
        <v/>
      </c>
    </row>
    <row r="358">
      <c r="A358" s="73" t="n">
        <v>45935</v>
      </c>
      <c r="B358" s="74" t="inlineStr">
        <is>
          <t>Salário</t>
        </is>
      </c>
      <c r="C358" s="74" t="inlineStr">
        <is>
          <t>Salário</t>
        </is>
      </c>
      <c r="D358" s="75">
        <f>IF($C358="","",IFERROR(INDEX(CAT_TIPO,MATCH($C358,CAT_NOME,0)),"Sem categoria"))</f>
        <v/>
      </c>
      <c r="E358" s="75">
        <f>IF($C358="","",IFERROR(INDEX(CAT_GRUPO,MATCH($C358,CAT_NOME,0)),"Sem categoria"))</f>
        <v/>
      </c>
      <c r="F358" s="76" t="n">
        <v>5600</v>
      </c>
      <c r="G358" s="74" t="inlineStr">
        <is>
          <t>Conta Nubank</t>
        </is>
      </c>
      <c r="H358" s="74" t="inlineStr">
        <is>
          <t>Transferência</t>
        </is>
      </c>
      <c r="I358" s="74" t="n"/>
      <c r="J358" s="77" t="n"/>
      <c r="K358" s="77" t="n"/>
      <c r="L358" s="74" t="n"/>
      <c r="M358" s="74" t="n"/>
      <c r="O358" s="78">
        <f>IF($A358="","",YEAR($A358)*100+MONTH($A358))</f>
        <v/>
      </c>
      <c r="P358" s="79">
        <f>IF(OR($F358="",$D358=""),"",IF($D358="Receita",$F358,IF($D358="Transferência",0,-$F358)))</f>
        <v/>
      </c>
    </row>
    <row r="359">
      <c r="A359" s="73" t="n">
        <v>45936</v>
      </c>
      <c r="B359" s="74" t="inlineStr">
        <is>
          <t>Plano de saúde</t>
        </is>
      </c>
      <c r="C359" s="74" t="inlineStr">
        <is>
          <t>Saúde e farmácia</t>
        </is>
      </c>
      <c r="D359" s="75">
        <f>IF($C359="","",IFERROR(INDEX(CAT_TIPO,MATCH($C359,CAT_NOME,0)),"Sem categoria"))</f>
        <v/>
      </c>
      <c r="E359" s="75">
        <f>IF($C359="","",IFERROR(INDEX(CAT_GRUPO,MATCH($C359,CAT_NOME,0)),"Sem categoria"))</f>
        <v/>
      </c>
      <c r="F359" s="76" t="n">
        <v>290</v>
      </c>
      <c r="G359" s="74" t="inlineStr">
        <is>
          <t>Conta Nubank</t>
        </is>
      </c>
      <c r="H359" s="74" t="inlineStr">
        <is>
          <t>Débito automático</t>
        </is>
      </c>
      <c r="I359" s="74" t="n"/>
      <c r="J359" s="77" t="n"/>
      <c r="K359" s="77" t="n"/>
      <c r="L359" s="74" t="n"/>
      <c r="M359" s="74" t="n"/>
      <c r="O359" s="78">
        <f>IF($A359="","",YEAR($A359)*100+MONTH($A359))</f>
        <v/>
      </c>
      <c r="P359" s="79">
        <f>IF(OR($F359="",$D359=""),"",IF($D359="Receita",$F359,IF($D359="Transferência",0,-$F359)))</f>
        <v/>
      </c>
    </row>
    <row r="360">
      <c r="A360" s="73" t="n">
        <v>45937</v>
      </c>
      <c r="B360" s="74" t="inlineStr">
        <is>
          <t>Combustível</t>
        </is>
      </c>
      <c r="C360" s="74" t="inlineStr">
        <is>
          <t>Transporte</t>
        </is>
      </c>
      <c r="D360" s="75">
        <f>IF($C360="","",IFERROR(INDEX(CAT_TIPO,MATCH($C360,CAT_NOME,0)),"Sem categoria"))</f>
        <v/>
      </c>
      <c r="E360" s="75">
        <f>IF($C360="","",IFERROR(INDEX(CAT_GRUPO,MATCH($C360,CAT_NOME,0)),"Sem categoria"))</f>
        <v/>
      </c>
      <c r="F360" s="76" t="n">
        <v>123.06</v>
      </c>
      <c r="G360" s="74" t="n"/>
      <c r="H360" s="74" t="inlineStr">
        <is>
          <t>Crédito</t>
        </is>
      </c>
      <c r="I360" s="74" t="inlineStr">
        <is>
          <t>Itaú Visa</t>
        </is>
      </c>
      <c r="J360" s="77" t="n"/>
      <c r="K360" s="77" t="n"/>
      <c r="L360" s="74" t="n"/>
      <c r="M360" s="74" t="n"/>
      <c r="O360" s="78">
        <f>IF($A360="","",YEAR($A360)*100+MONTH($A360))</f>
        <v/>
      </c>
      <c r="P360" s="79">
        <f>IF(OR($F360="",$D360=""),"",IF($D360="Receita",$F360,IF($D360="Transferência",0,-$F360)))</f>
        <v/>
      </c>
    </row>
    <row r="361">
      <c r="A361" s="73" t="n">
        <v>45938</v>
      </c>
      <c r="B361" s="74" t="inlineStr">
        <is>
          <t>Aluguel</t>
        </is>
      </c>
      <c r="C361" s="74" t="inlineStr">
        <is>
          <t>Moradia (aluguel ou financiamento)</t>
        </is>
      </c>
      <c r="D361" s="75">
        <f>IF($C361="","",IFERROR(INDEX(CAT_TIPO,MATCH($C361,CAT_NOME,0)),"Sem categoria"))</f>
        <v/>
      </c>
      <c r="E361" s="75">
        <f>IF($C361="","",IFERROR(INDEX(CAT_GRUPO,MATCH($C361,CAT_NOME,0)),"Sem categoria"))</f>
        <v/>
      </c>
      <c r="F361" s="76" t="n">
        <v>1200</v>
      </c>
      <c r="G361" s="74" t="inlineStr">
        <is>
          <t>Conta Nubank</t>
        </is>
      </c>
      <c r="H361" s="74" t="inlineStr">
        <is>
          <t>Boleto</t>
        </is>
      </c>
      <c r="I361" s="74" t="n"/>
      <c r="J361" s="77" t="n"/>
      <c r="K361" s="77" t="n"/>
      <c r="L361" s="74" t="n"/>
      <c r="M361" s="74" t="n"/>
      <c r="O361" s="78">
        <f>IF($A361="","",YEAR($A361)*100+MONTH($A361))</f>
        <v/>
      </c>
      <c r="P361" s="79">
        <f>IF(OR($F361="",$D361=""),"",IF($D361="Receita",$F361,IF($D361="Transferência",0,-$F361)))</f>
        <v/>
      </c>
    </row>
    <row r="362">
      <c r="A362" s="73" t="n">
        <v>45939</v>
      </c>
      <c r="B362" s="74" t="inlineStr">
        <is>
          <t>Farmácia</t>
        </is>
      </c>
      <c r="C362" s="74" t="inlineStr">
        <is>
          <t>Saúde e farmácia</t>
        </is>
      </c>
      <c r="D362" s="75">
        <f>IF($C362="","",IFERROR(INDEX(CAT_TIPO,MATCH($C362,CAT_NOME,0)),"Sem categoria"))</f>
        <v/>
      </c>
      <c r="E362" s="75">
        <f>IF($C362="","",IFERROR(INDEX(CAT_GRUPO,MATCH($C362,CAT_NOME,0)),"Sem categoria"))</f>
        <v/>
      </c>
      <c r="F362" s="76" t="n">
        <v>36.92</v>
      </c>
      <c r="G362" s="74" t="n"/>
      <c r="H362" s="74" t="inlineStr">
        <is>
          <t>Crédito</t>
        </is>
      </c>
      <c r="I362" s="74" t="inlineStr">
        <is>
          <t>Itaú Visa</t>
        </is>
      </c>
      <c r="J362" s="77" t="n"/>
      <c r="K362" s="77" t="n"/>
      <c r="L362" s="74" t="n"/>
      <c r="M362" s="74" t="n"/>
      <c r="O362" s="78">
        <f>IF($A362="","",YEAR($A362)*100+MONTH($A362))</f>
        <v/>
      </c>
      <c r="P362" s="79">
        <f>IF(OR($F362="",$D362=""),"",IF($D362="Receita",$F362,IF($D362="Transferência",0,-$F362)))</f>
        <v/>
      </c>
    </row>
    <row r="363">
      <c r="A363" s="73" t="n">
        <v>45940</v>
      </c>
      <c r="B363" s="74" t="inlineStr">
        <is>
          <t>Condomínio</t>
        </is>
      </c>
      <c r="C363" s="74" t="inlineStr">
        <is>
          <t>Condomínio e IPTU</t>
        </is>
      </c>
      <c r="D363" s="75">
        <f>IF($C363="","",IFERROR(INDEX(CAT_TIPO,MATCH($C363,CAT_NOME,0)),"Sem categoria"))</f>
        <v/>
      </c>
      <c r="E363" s="75">
        <f>IF($C363="","",IFERROR(INDEX(CAT_GRUPO,MATCH($C363,CAT_NOME,0)),"Sem categoria"))</f>
        <v/>
      </c>
      <c r="F363" s="76" t="n">
        <v>300</v>
      </c>
      <c r="G363" s="74" t="inlineStr">
        <is>
          <t>Conta Nubank</t>
        </is>
      </c>
      <c r="H363" s="74" t="inlineStr">
        <is>
          <t>Boleto</t>
        </is>
      </c>
      <c r="I363" s="74" t="n"/>
      <c r="J363" s="77" t="n"/>
      <c r="K363" s="77" t="n"/>
      <c r="L363" s="74" t="n"/>
      <c r="M363" s="74" t="n"/>
      <c r="O363" s="78">
        <f>IF($A363="","",YEAR($A363)*100+MONTH($A363))</f>
        <v/>
      </c>
      <c r="P363" s="79">
        <f>IF(OR($F363="",$D363=""),"",IF($D363="Receita",$F363,IF($D363="Transferência",0,-$F363)))</f>
        <v/>
      </c>
    </row>
    <row r="364">
      <c r="A364" s="73" t="n">
        <v>45940</v>
      </c>
      <c r="B364" s="74" t="inlineStr">
        <is>
          <t>Supermercado</t>
        </is>
      </c>
      <c r="C364" s="74" t="inlineStr">
        <is>
          <t>Mercado</t>
        </is>
      </c>
      <c r="D364" s="75">
        <f>IF($C364="","",IFERROR(INDEX(CAT_TIPO,MATCH($C364,CAT_NOME,0)),"Sem categoria"))</f>
        <v/>
      </c>
      <c r="E364" s="75">
        <f>IF($C364="","",IFERROR(INDEX(CAT_GRUPO,MATCH($C364,CAT_NOME,0)),"Sem categoria"))</f>
        <v/>
      </c>
      <c r="F364" s="76" t="n">
        <v>165.57</v>
      </c>
      <c r="G364" s="74" t="inlineStr">
        <is>
          <t>Conta Nubank</t>
        </is>
      </c>
      <c r="H364" s="74" t="inlineStr">
        <is>
          <t>Débito</t>
        </is>
      </c>
      <c r="I364" s="74" t="n"/>
      <c r="J364" s="77" t="n"/>
      <c r="K364" s="77" t="n"/>
      <c r="L364" s="74" t="n"/>
      <c r="M364" s="74" t="n"/>
      <c r="O364" s="78">
        <f>IF($A364="","",YEAR($A364)*100+MONTH($A364))</f>
        <v/>
      </c>
      <c r="P364" s="79">
        <f>IF(OR($F364="",$D364=""),"",IF($D364="Receita",$F364,IF($D364="Transferência",0,-$F364)))</f>
        <v/>
      </c>
    </row>
    <row r="365">
      <c r="A365" s="73" t="n">
        <v>45941</v>
      </c>
      <c r="B365" s="74" t="inlineStr">
        <is>
          <t>Uber</t>
        </is>
      </c>
      <c r="C365" s="74" t="inlineStr">
        <is>
          <t>Transporte</t>
        </is>
      </c>
      <c r="D365" s="75">
        <f>IF($C365="","",IFERROR(INDEX(CAT_TIPO,MATCH($C365,CAT_NOME,0)),"Sem categoria"))</f>
        <v/>
      </c>
      <c r="E365" s="75">
        <f>IF($C365="","",IFERROR(INDEX(CAT_GRUPO,MATCH($C365,CAT_NOME,0)),"Sem categoria"))</f>
        <v/>
      </c>
      <c r="F365" s="76" t="n">
        <v>27.73</v>
      </c>
      <c r="G365" s="74" t="n"/>
      <c r="H365" s="74" t="inlineStr">
        <is>
          <t>Crédito</t>
        </is>
      </c>
      <c r="I365" s="74" t="inlineStr">
        <is>
          <t>Nubank Mastercard</t>
        </is>
      </c>
      <c r="J365" s="77" t="n"/>
      <c r="K365" s="77" t="n"/>
      <c r="L365" s="74" t="n"/>
      <c r="M365" s="74" t="n"/>
      <c r="O365" s="78">
        <f>IF($A365="","",YEAR($A365)*100+MONTH($A365))</f>
        <v/>
      </c>
      <c r="P365" s="79">
        <f>IF(OR($F365="",$D365=""),"",IF($D365="Receita",$F365,IF($D365="Transferência",0,-$F365)))</f>
        <v/>
      </c>
    </row>
    <row r="366">
      <c r="A366" s="73" t="n">
        <v>45942</v>
      </c>
      <c r="B366" s="74" t="inlineStr">
        <is>
          <t>Parcela do financiamento do carro</t>
        </is>
      </c>
      <c r="C366" s="74" t="inlineStr">
        <is>
          <t>Dívidas e parcelas</t>
        </is>
      </c>
      <c r="D366" s="75">
        <f>IF($C366="","",IFERROR(INDEX(CAT_TIPO,MATCH($C366,CAT_NOME,0)),"Sem categoria"))</f>
        <v/>
      </c>
      <c r="E366" s="75">
        <f>IF($C366="","",IFERROR(INDEX(CAT_GRUPO,MATCH($C366,CAT_NOME,0)),"Sem categoria"))</f>
        <v/>
      </c>
      <c r="F366" s="76" t="n">
        <v>560</v>
      </c>
      <c r="G366" s="74" t="inlineStr">
        <is>
          <t>Conta Nubank</t>
        </is>
      </c>
      <c r="H366" s="74" t="inlineStr">
        <is>
          <t>Boleto</t>
        </is>
      </c>
      <c r="I366" s="74" t="n"/>
      <c r="J366" s="77" t="inlineStr">
        <is>
          <t>22/48</t>
        </is>
      </c>
      <c r="K366" s="77" t="n"/>
      <c r="L366" s="74" t="n"/>
      <c r="M366" s="74" t="n"/>
      <c r="O366" s="78">
        <f>IF($A366="","",YEAR($A366)*100+MONTH($A366))</f>
        <v/>
      </c>
      <c r="P366" s="79">
        <f>IF(OR($F366="",$D366=""),"",IF($D366="Receita",$F366,IF($D366="Transferência",0,-$F366)))</f>
        <v/>
      </c>
    </row>
    <row r="367">
      <c r="A367" s="73" t="n">
        <v>45942</v>
      </c>
      <c r="B367" s="74" t="inlineStr">
        <is>
          <t>Presente Dia das Crianças</t>
        </is>
      </c>
      <c r="C367" s="74" t="inlineStr">
        <is>
          <t>Presentes e doações</t>
        </is>
      </c>
      <c r="D367" s="75">
        <f>IF($C367="","",IFERROR(INDEX(CAT_TIPO,MATCH($C367,CAT_NOME,0)),"Sem categoria"))</f>
        <v/>
      </c>
      <c r="E367" s="75">
        <f>IF($C367="","",IFERROR(INDEX(CAT_GRUPO,MATCH($C367,CAT_NOME,0)),"Sem categoria"))</f>
        <v/>
      </c>
      <c r="F367" s="76" t="n">
        <v>120</v>
      </c>
      <c r="G367" s="74" t="n"/>
      <c r="H367" s="74" t="inlineStr">
        <is>
          <t>Crédito</t>
        </is>
      </c>
      <c r="I367" s="74" t="inlineStr">
        <is>
          <t>Nubank Mastercard</t>
        </is>
      </c>
      <c r="J367" s="77" t="n"/>
      <c r="K367" s="77" t="n"/>
      <c r="L367" s="74" t="n"/>
      <c r="M367" s="74" t="n"/>
      <c r="O367" s="78">
        <f>IF($A367="","",YEAR($A367)*100+MONTH($A367))</f>
        <v/>
      </c>
      <c r="P367" s="79">
        <f>IF(OR($F367="",$D367=""),"",IF($D367="Receita",$F367,IF($D367="Transferência",0,-$F367)))</f>
        <v/>
      </c>
    </row>
    <row r="368">
      <c r="A368" s="73" t="n">
        <v>45942</v>
      </c>
      <c r="B368" s="74" t="inlineStr">
        <is>
          <t>Seguro do carro</t>
        </is>
      </c>
      <c r="C368" s="74" t="inlineStr">
        <is>
          <t>Seguros</t>
        </is>
      </c>
      <c r="D368" s="75">
        <f>IF($C368="","",IFERROR(INDEX(CAT_TIPO,MATCH($C368,CAT_NOME,0)),"Sem categoria"))</f>
        <v/>
      </c>
      <c r="E368" s="75">
        <f>IF($C368="","",IFERROR(INDEX(CAT_GRUPO,MATCH($C368,CAT_NOME,0)),"Sem categoria"))</f>
        <v/>
      </c>
      <c r="F368" s="76" t="n">
        <v>140</v>
      </c>
      <c r="G368" s="74" t="inlineStr">
        <is>
          <t>Conta Nubank</t>
        </is>
      </c>
      <c r="H368" s="74" t="inlineStr">
        <is>
          <t>Débito automático</t>
        </is>
      </c>
      <c r="I368" s="74" t="n"/>
      <c r="J368" s="77" t="n"/>
      <c r="K368" s="77" t="n"/>
      <c r="L368" s="74" t="n"/>
      <c r="M368" s="74" t="n"/>
      <c r="O368" s="78">
        <f>IF($A368="","",YEAR($A368)*100+MONTH($A368))</f>
        <v/>
      </c>
      <c r="P368" s="79">
        <f>IF(OR($F368="",$D368=""),"",IF($D368="Receita",$F368,IF($D368="Transferência",0,-$F368)))</f>
        <v/>
      </c>
    </row>
    <row r="369">
      <c r="A369" s="73" t="n">
        <v>45943</v>
      </c>
      <c r="B369" s="74" t="inlineStr">
        <is>
          <t>Jantar fora</t>
        </is>
      </c>
      <c r="C369" s="74" t="inlineStr">
        <is>
          <t>Restaurantes e delivery</t>
        </is>
      </c>
      <c r="D369" s="75">
        <f>IF($C369="","",IFERROR(INDEX(CAT_TIPO,MATCH($C369,CAT_NOME,0)),"Sem categoria"))</f>
        <v/>
      </c>
      <c r="E369" s="75">
        <f>IF($C369="","",IFERROR(INDEX(CAT_GRUPO,MATCH($C369,CAT_NOME,0)),"Sem categoria"))</f>
        <v/>
      </c>
      <c r="F369" s="76" t="n">
        <v>108.5</v>
      </c>
      <c r="G369" s="74" t="n"/>
      <c r="H369" s="74" t="inlineStr">
        <is>
          <t>Crédito</t>
        </is>
      </c>
      <c r="I369" s="74" t="inlineStr">
        <is>
          <t>Nubank Mastercard</t>
        </is>
      </c>
      <c r="J369" s="77" t="n"/>
      <c r="K369" s="77" t="n"/>
      <c r="L369" s="74" t="n"/>
      <c r="M369" s="74" t="n"/>
      <c r="O369" s="78">
        <f>IF($A369="","",YEAR($A369)*100+MONTH($A369))</f>
        <v/>
      </c>
      <c r="P369" s="79">
        <f>IF(OR($F369="",$D369=""),"",IF($D369="Receita",$F369,IF($D369="Transferência",0,-$F369)))</f>
        <v/>
      </c>
    </row>
    <row r="370">
      <c r="A370" s="73" t="n">
        <v>45944</v>
      </c>
      <c r="B370" s="74" t="inlineStr">
        <is>
          <t>Conta de luz</t>
        </is>
      </c>
      <c r="C370" s="74" t="inlineStr">
        <is>
          <t>Contas da casa (luz, água, gás)</t>
        </is>
      </c>
      <c r="D370" s="75">
        <f>IF($C370="","",IFERROR(INDEX(CAT_TIPO,MATCH($C370,CAT_NOME,0)),"Sem categoria"))</f>
        <v/>
      </c>
      <c r="E370" s="75">
        <f>IF($C370="","",IFERROR(INDEX(CAT_GRUPO,MATCH($C370,CAT_NOME,0)),"Sem categoria"))</f>
        <v/>
      </c>
      <c r="F370" s="76" t="n">
        <v>181.03</v>
      </c>
      <c r="G370" s="74" t="inlineStr">
        <is>
          <t>Conta Nubank</t>
        </is>
      </c>
      <c r="H370" s="74" t="inlineStr">
        <is>
          <t>Débito automático</t>
        </is>
      </c>
      <c r="I370" s="74" t="n"/>
      <c r="J370" s="77" t="n"/>
      <c r="K370" s="77" t="n"/>
      <c r="L370" s="74" t="n"/>
      <c r="M370" s="74" t="n"/>
      <c r="O370" s="78">
        <f>IF($A370="","",YEAR($A370)*100+MONTH($A370))</f>
        <v/>
      </c>
      <c r="P370" s="79">
        <f>IF(OR($F370="",$D370=""),"",IF($D370="Receita",$F370,IF($D370="Transferência",0,-$F370)))</f>
        <v/>
      </c>
    </row>
    <row r="371">
      <c r="A371" s="73" t="n">
        <v>45945</v>
      </c>
      <c r="B371" s="74" t="inlineStr">
        <is>
          <t>Projeto freelance</t>
        </is>
      </c>
      <c r="C371" s="74" t="inlineStr">
        <is>
          <t>Renda extra e freelance</t>
        </is>
      </c>
      <c r="D371" s="75">
        <f>IF($C371="","",IFERROR(INDEX(CAT_TIPO,MATCH($C371,CAT_NOME,0)),"Sem categoria"))</f>
        <v/>
      </c>
      <c r="E371" s="75">
        <f>IF($C371="","",IFERROR(INDEX(CAT_GRUPO,MATCH($C371,CAT_NOME,0)),"Sem categoria"))</f>
        <v/>
      </c>
      <c r="F371" s="76" t="n">
        <v>840</v>
      </c>
      <c r="G371" s="74" t="inlineStr">
        <is>
          <t>Conta Nubank</t>
        </is>
      </c>
      <c r="H371" s="74" t="inlineStr">
        <is>
          <t>Pix</t>
        </is>
      </c>
      <c r="I371" s="74" t="n"/>
      <c r="J371" s="77" t="n"/>
      <c r="K371" s="77" t="n"/>
      <c r="L371" s="74" t="n"/>
      <c r="M371" s="74" t="n"/>
      <c r="O371" s="78">
        <f>IF($A371="","",YEAR($A371)*100+MONTH($A371))</f>
        <v/>
      </c>
      <c r="P371" s="79">
        <f>IF(OR($F371="",$D371=""),"",IF($D371="Receita",$F371,IF($D371="Transferência",0,-$F371)))</f>
        <v/>
      </c>
    </row>
    <row r="372">
      <c r="A372" s="73" t="n">
        <v>45945</v>
      </c>
      <c r="B372" s="74" t="inlineStr">
        <is>
          <t>Roupas e acessórios</t>
        </is>
      </c>
      <c r="C372" s="74" t="inlineStr">
        <is>
          <t>Compras pessoais</t>
        </is>
      </c>
      <c r="D372" s="75">
        <f>IF($C372="","",IFERROR(INDEX(CAT_TIPO,MATCH($C372,CAT_NOME,0)),"Sem categoria"))</f>
        <v/>
      </c>
      <c r="E372" s="75">
        <f>IF($C372="","",IFERROR(INDEX(CAT_GRUPO,MATCH($C372,CAT_NOME,0)),"Sem categoria"))</f>
        <v/>
      </c>
      <c r="F372" s="76" t="n">
        <v>105.75</v>
      </c>
      <c r="G372" s="74" t="n"/>
      <c r="H372" s="74" t="inlineStr">
        <is>
          <t>Crédito</t>
        </is>
      </c>
      <c r="I372" s="74" t="inlineStr">
        <is>
          <t>Nubank Mastercard</t>
        </is>
      </c>
      <c r="J372" s="77" t="n"/>
      <c r="K372" s="77" t="n"/>
      <c r="L372" s="74" t="n"/>
      <c r="M372" s="74" t="n"/>
      <c r="O372" s="78">
        <f>IF($A372="","",YEAR($A372)*100+MONTH($A372))</f>
        <v/>
      </c>
      <c r="P372" s="79">
        <f>IF(OR($F372="",$D372=""),"",IF($D372="Receita",$F372,IF($D372="Transferência",0,-$F372)))</f>
        <v/>
      </c>
    </row>
    <row r="373">
      <c r="A373" s="73" t="n">
        <v>45946</v>
      </c>
      <c r="B373" s="74" t="inlineStr">
        <is>
          <t>Combustível</t>
        </is>
      </c>
      <c r="C373" s="74" t="inlineStr">
        <is>
          <t>Transporte</t>
        </is>
      </c>
      <c r="D373" s="75">
        <f>IF($C373="","",IFERROR(INDEX(CAT_TIPO,MATCH($C373,CAT_NOME,0)),"Sem categoria"))</f>
        <v/>
      </c>
      <c r="E373" s="75">
        <f>IF($C373="","",IFERROR(INDEX(CAT_GRUPO,MATCH($C373,CAT_NOME,0)),"Sem categoria"))</f>
        <v/>
      </c>
      <c r="F373" s="76" t="n">
        <v>101.86</v>
      </c>
      <c r="G373" s="74" t="n"/>
      <c r="H373" s="74" t="inlineStr">
        <is>
          <t>Crédito</t>
        </is>
      </c>
      <c r="I373" s="74" t="inlineStr">
        <is>
          <t>Itaú Visa</t>
        </is>
      </c>
      <c r="J373" s="77" t="n"/>
      <c r="K373" s="77" t="n"/>
      <c r="L373" s="74" t="n"/>
      <c r="M373" s="74" t="n"/>
      <c r="O373" s="78">
        <f>IF($A373="","",YEAR($A373)*100+MONTH($A373))</f>
        <v/>
      </c>
      <c r="P373" s="79">
        <f>IF(OR($F373="",$D373=""),"",IF($D373="Receita",$F373,IF($D373="Transferência",0,-$F373)))</f>
        <v/>
      </c>
    </row>
    <row r="374">
      <c r="A374" s="73" t="n">
        <v>45947</v>
      </c>
      <c r="B374" s="74" t="inlineStr">
        <is>
          <t>Pagamento da fatura Itaú Visa</t>
        </is>
      </c>
      <c r="C374" s="74" t="inlineStr">
        <is>
          <t>Pagamento de fatura</t>
        </is>
      </c>
      <c r="D374" s="75">
        <f>IF($C374="","",IFERROR(INDEX(CAT_TIPO,MATCH($C374,CAT_NOME,0)),"Sem categoria"))</f>
        <v/>
      </c>
      <c r="E374" s="75">
        <f>IF($C374="","",IFERROR(INDEX(CAT_GRUPO,MATCH($C374,CAT_NOME,0)),"Sem categoria"))</f>
        <v/>
      </c>
      <c r="F374" s="76" t="n">
        <v>930.61</v>
      </c>
      <c r="G374" s="74" t="inlineStr">
        <is>
          <t>Conta Nubank</t>
        </is>
      </c>
      <c r="H374" s="74" t="inlineStr">
        <is>
          <t>Boleto</t>
        </is>
      </c>
      <c r="I374" s="74" t="inlineStr">
        <is>
          <t>Itaú Visa</t>
        </is>
      </c>
      <c r="J374" s="77" t="n"/>
      <c r="K374" s="77" t="n"/>
      <c r="L374" s="74" t="n"/>
      <c r="M374" s="74" t="n"/>
      <c r="O374" s="78">
        <f>IF($A374="","",YEAR($A374)*100+MONTH($A374))</f>
        <v/>
      </c>
      <c r="P374" s="79">
        <f>IF(OR($F374="",$D374=""),"",IF($D374="Receita",$F374,IF($D374="Transferência",0,-$F374)))</f>
        <v/>
      </c>
    </row>
    <row r="375">
      <c r="A375" s="73" t="n">
        <v>45947</v>
      </c>
      <c r="B375" s="74" t="inlineStr">
        <is>
          <t>Supermercado</t>
        </is>
      </c>
      <c r="C375" s="74" t="inlineStr">
        <is>
          <t>Mercado</t>
        </is>
      </c>
      <c r="D375" s="75">
        <f>IF($C375="","",IFERROR(INDEX(CAT_TIPO,MATCH($C375,CAT_NOME,0)),"Sem categoria"))</f>
        <v/>
      </c>
      <c r="E375" s="75">
        <f>IF($C375="","",IFERROR(INDEX(CAT_GRUPO,MATCH($C375,CAT_NOME,0)),"Sem categoria"))</f>
        <v/>
      </c>
      <c r="F375" s="76" t="n">
        <v>147.38</v>
      </c>
      <c r="G375" s="74" t="inlineStr">
        <is>
          <t>Conta Nubank</t>
        </is>
      </c>
      <c r="H375" s="74" t="inlineStr">
        <is>
          <t>Débito</t>
        </is>
      </c>
      <c r="I375" s="74" t="n"/>
      <c r="J375" s="77" t="n"/>
      <c r="K375" s="77" t="n"/>
      <c r="L375" s="74" t="n"/>
      <c r="M375" s="74" t="n"/>
      <c r="O375" s="78">
        <f>IF($A375="","",YEAR($A375)*100+MONTH($A375))</f>
        <v/>
      </c>
      <c r="P375" s="79">
        <f>IF(OR($F375="",$D375=""),"",IF($D375="Receita",$F375,IF($D375="Transferência",0,-$F375)))</f>
        <v/>
      </c>
    </row>
    <row r="376">
      <c r="A376" s="73" t="n">
        <v>45947</v>
      </c>
      <c r="B376" s="74" t="inlineStr">
        <is>
          <t>iCloud</t>
        </is>
      </c>
      <c r="C376" s="74" t="inlineStr">
        <is>
          <t>Assinaturas e streaming</t>
        </is>
      </c>
      <c r="D376" s="75">
        <f>IF($C376="","",IFERROR(INDEX(CAT_TIPO,MATCH($C376,CAT_NOME,0)),"Sem categoria"))</f>
        <v/>
      </c>
      <c r="E376" s="75">
        <f>IF($C376="","",IFERROR(INDEX(CAT_GRUPO,MATCH($C376,CAT_NOME,0)),"Sem categoria"))</f>
        <v/>
      </c>
      <c r="F376" s="76" t="n">
        <v>14.9</v>
      </c>
      <c r="G376" s="74" t="n"/>
      <c r="H376" s="74" t="inlineStr">
        <is>
          <t>Crédito</t>
        </is>
      </c>
      <c r="I376" s="74" t="inlineStr">
        <is>
          <t>Nubank Mastercard</t>
        </is>
      </c>
      <c r="J376" s="77" t="n"/>
      <c r="K376" s="77" t="n"/>
      <c r="L376" s="74" t="n"/>
      <c r="M376" s="74" t="n"/>
      <c r="O376" s="78">
        <f>IF($A376="","",YEAR($A376)*100+MONTH($A376))</f>
        <v/>
      </c>
      <c r="P376" s="79">
        <f>IF(OR($F376="",$D376=""),"",IF($D376="Receita",$F376,IF($D376="Transferência",0,-$F376)))</f>
        <v/>
      </c>
    </row>
    <row r="377">
      <c r="A377" s="73" t="n">
        <v>45948</v>
      </c>
      <c r="B377" s="74" t="inlineStr">
        <is>
          <t>Barbearia / salão</t>
        </is>
      </c>
      <c r="C377" s="74" t="inlineStr">
        <is>
          <t>Beleza e cuidados</t>
        </is>
      </c>
      <c r="D377" s="75">
        <f>IF($C377="","",IFERROR(INDEX(CAT_TIPO,MATCH($C377,CAT_NOME,0)),"Sem categoria"))</f>
        <v/>
      </c>
      <c r="E377" s="75">
        <f>IF($C377="","",IFERROR(INDEX(CAT_GRUPO,MATCH($C377,CAT_NOME,0)),"Sem categoria"))</f>
        <v/>
      </c>
      <c r="F377" s="76" t="n">
        <v>85.86</v>
      </c>
      <c r="G377" s="74" t="inlineStr">
        <is>
          <t>Conta Nubank</t>
        </is>
      </c>
      <c r="H377" s="74" t="inlineStr">
        <is>
          <t>Pix</t>
        </is>
      </c>
      <c r="I377" s="74" t="n"/>
      <c r="J377" s="77" t="n"/>
      <c r="K377" s="77" t="n"/>
      <c r="L377" s="74" t="n"/>
      <c r="M377" s="74" t="n"/>
      <c r="O377" s="78">
        <f>IF($A377="","",YEAR($A377)*100+MONTH($A377))</f>
        <v/>
      </c>
      <c r="P377" s="79">
        <f>IF(OR($F377="",$D377=""),"",IF($D377="Receita",$F377,IF($D377="Transferência",0,-$F377)))</f>
        <v/>
      </c>
    </row>
    <row r="378">
      <c r="A378" s="73" t="n">
        <v>45948</v>
      </c>
      <c r="B378" s="74" t="inlineStr">
        <is>
          <t>Conta de água</t>
        </is>
      </c>
      <c r="C378" s="74" t="inlineStr">
        <is>
          <t>Contas da casa (luz, água, gás)</t>
        </is>
      </c>
      <c r="D378" s="75">
        <f>IF($C378="","",IFERROR(INDEX(CAT_TIPO,MATCH($C378,CAT_NOME,0)),"Sem categoria"))</f>
        <v/>
      </c>
      <c r="E378" s="75">
        <f>IF($C378="","",IFERROR(INDEX(CAT_GRUPO,MATCH($C378,CAT_NOME,0)),"Sem categoria"))</f>
        <v/>
      </c>
      <c r="F378" s="76" t="n">
        <v>74.03</v>
      </c>
      <c r="G378" s="74" t="inlineStr">
        <is>
          <t>Conta Nubank</t>
        </is>
      </c>
      <c r="H378" s="74" t="inlineStr">
        <is>
          <t>Débito automático</t>
        </is>
      </c>
      <c r="I378" s="74" t="n"/>
      <c r="J378" s="77" t="n"/>
      <c r="K378" s="77" t="n"/>
      <c r="L378" s="74" t="n"/>
      <c r="M378" s="74" t="n"/>
      <c r="O378" s="78">
        <f>IF($A378="","",YEAR($A378)*100+MONTH($A378))</f>
        <v/>
      </c>
      <c r="P378" s="79">
        <f>IF(OR($F378="",$D378=""),"",IF($D378="Receita",$F378,IF($D378="Transferência",0,-$F378)))</f>
        <v/>
      </c>
    </row>
    <row r="379">
      <c r="A379" s="73" t="n">
        <v>45949</v>
      </c>
      <c r="B379" s="74" t="inlineStr">
        <is>
          <t>iFood</t>
        </is>
      </c>
      <c r="C379" s="74" t="inlineStr">
        <is>
          <t>Restaurantes e delivery</t>
        </is>
      </c>
      <c r="D379" s="75">
        <f>IF($C379="","",IFERROR(INDEX(CAT_TIPO,MATCH($C379,CAT_NOME,0)),"Sem categoria"))</f>
        <v/>
      </c>
      <c r="E379" s="75">
        <f>IF($C379="","",IFERROR(INDEX(CAT_GRUPO,MATCH($C379,CAT_NOME,0)),"Sem categoria"))</f>
        <v/>
      </c>
      <c r="F379" s="76" t="n">
        <v>56.48</v>
      </c>
      <c r="G379" s="74" t="n"/>
      <c r="H379" s="74" t="inlineStr">
        <is>
          <t>Crédito</t>
        </is>
      </c>
      <c r="I379" s="74" t="inlineStr">
        <is>
          <t>Nubank Mastercard</t>
        </is>
      </c>
      <c r="J379" s="77" t="n"/>
      <c r="K379" s="77" t="n"/>
      <c r="L379" s="74" t="n"/>
      <c r="M379" s="74" t="n"/>
      <c r="O379" s="78">
        <f>IF($A379="","",YEAR($A379)*100+MONTH($A379))</f>
        <v/>
      </c>
      <c r="P379" s="79">
        <f>IF(OR($F379="",$D379=""),"",IF($D379="Receita",$F379,IF($D379="Transferência",0,-$F379)))</f>
        <v/>
      </c>
    </row>
    <row r="380">
      <c r="A380" s="73" t="n">
        <v>45950</v>
      </c>
      <c r="B380" s="74" t="inlineStr">
        <is>
          <t>Internet fibra</t>
        </is>
      </c>
      <c r="C380" s="74" t="inlineStr">
        <is>
          <t>Internet e celular</t>
        </is>
      </c>
      <c r="D380" s="75">
        <f>IF($C380="","",IFERROR(INDEX(CAT_TIPO,MATCH($C380,CAT_NOME,0)),"Sem categoria"))</f>
        <v/>
      </c>
      <c r="E380" s="75">
        <f>IF($C380="","",IFERROR(INDEX(CAT_GRUPO,MATCH($C380,CAT_NOME,0)),"Sem categoria"))</f>
        <v/>
      </c>
      <c r="F380" s="76" t="n">
        <v>119.9</v>
      </c>
      <c r="G380" s="74" t="inlineStr">
        <is>
          <t>Conta Nubank</t>
        </is>
      </c>
      <c r="H380" s="74" t="inlineStr">
        <is>
          <t>Débito automático</t>
        </is>
      </c>
      <c r="I380" s="74" t="n"/>
      <c r="J380" s="77" t="n"/>
      <c r="K380" s="77" t="n"/>
      <c r="L380" s="74" t="n"/>
      <c r="M380" s="74" t="n"/>
      <c r="O380" s="78">
        <f>IF($A380="","",YEAR($A380)*100+MONTH($A380))</f>
        <v/>
      </c>
      <c r="P380" s="79">
        <f>IF(OR($F380="",$D380=""),"",IF($D380="Receita",$F380,IF($D380="Transferência",0,-$F380)))</f>
        <v/>
      </c>
    </row>
    <row r="381">
      <c r="A381" s="73" t="n">
        <v>45951</v>
      </c>
      <c r="B381" s="74" t="inlineStr">
        <is>
          <t>Uber</t>
        </is>
      </c>
      <c r="C381" s="74" t="inlineStr">
        <is>
          <t>Transporte</t>
        </is>
      </c>
      <c r="D381" s="75">
        <f>IF($C381="","",IFERROR(INDEX(CAT_TIPO,MATCH($C381,CAT_NOME,0)),"Sem categoria"))</f>
        <v/>
      </c>
      <c r="E381" s="75">
        <f>IF($C381="","",IFERROR(INDEX(CAT_GRUPO,MATCH($C381,CAT_NOME,0)),"Sem categoria"))</f>
        <v/>
      </c>
      <c r="F381" s="76" t="n">
        <v>35.24</v>
      </c>
      <c r="G381" s="74" t="n"/>
      <c r="H381" s="74" t="inlineStr">
        <is>
          <t>Crédito</t>
        </is>
      </c>
      <c r="I381" s="74" t="inlineStr">
        <is>
          <t>Nubank Mastercard</t>
        </is>
      </c>
      <c r="J381" s="77" t="n"/>
      <c r="K381" s="77" t="n"/>
      <c r="L381" s="74" t="n"/>
      <c r="M381" s="74" t="n"/>
      <c r="O381" s="78">
        <f>IF($A381="","",YEAR($A381)*100+MONTH($A381))</f>
        <v/>
      </c>
      <c r="P381" s="79">
        <f>IF(OR($F381="",$D381=""),"",IF($D381="Receita",$F381,IF($D381="Transferência",0,-$F381)))</f>
        <v/>
      </c>
    </row>
    <row r="382">
      <c r="A382" s="73" t="n">
        <v>45952</v>
      </c>
      <c r="B382" s="74" t="inlineStr">
        <is>
          <t>Plano de celular</t>
        </is>
      </c>
      <c r="C382" s="74" t="inlineStr">
        <is>
          <t>Internet e celular</t>
        </is>
      </c>
      <c r="D382" s="75">
        <f>IF($C382="","",IFERROR(INDEX(CAT_TIPO,MATCH($C382,CAT_NOME,0)),"Sem categoria"))</f>
        <v/>
      </c>
      <c r="E382" s="75">
        <f>IF($C382="","",IFERROR(INDEX(CAT_GRUPO,MATCH($C382,CAT_NOME,0)),"Sem categoria"))</f>
        <v/>
      </c>
      <c r="F382" s="76" t="n">
        <v>59.9</v>
      </c>
      <c r="G382" s="74" t="inlineStr">
        <is>
          <t>Conta Nubank</t>
        </is>
      </c>
      <c r="H382" s="74" t="inlineStr">
        <is>
          <t>Débito automático</t>
        </is>
      </c>
      <c r="I382" s="74" t="n"/>
      <c r="J382" s="77" t="n"/>
      <c r="K382" s="77" t="n"/>
      <c r="L382" s="74" t="n"/>
      <c r="M382" s="74" t="n"/>
      <c r="O382" s="78">
        <f>IF($A382="","",YEAR($A382)*100+MONTH($A382))</f>
        <v/>
      </c>
      <c r="P382" s="79">
        <f>IF(OR($F382="",$D382=""),"",IF($D382="Receita",$F382,IF($D382="Transferência",0,-$F382)))</f>
        <v/>
      </c>
    </row>
    <row r="383">
      <c r="A383" s="73" t="n">
        <v>45952</v>
      </c>
      <c r="B383" s="74" t="inlineStr">
        <is>
          <t>Reembolso de viagem a trabalho</t>
        </is>
      </c>
      <c r="C383" s="74" t="inlineStr">
        <is>
          <t>Reembolsos</t>
        </is>
      </c>
      <c r="D383" s="75">
        <f>IF($C383="","",IFERROR(INDEX(CAT_TIPO,MATCH($C383,CAT_NOME,0)),"Sem categoria"))</f>
        <v/>
      </c>
      <c r="E383" s="75">
        <f>IF($C383="","",IFERROR(INDEX(CAT_GRUPO,MATCH($C383,CAT_NOME,0)),"Sem categoria"))</f>
        <v/>
      </c>
      <c r="F383" s="76" t="n">
        <v>380</v>
      </c>
      <c r="G383" s="74" t="inlineStr">
        <is>
          <t>Conta Nubank</t>
        </is>
      </c>
      <c r="H383" s="74" t="inlineStr">
        <is>
          <t>Pix</t>
        </is>
      </c>
      <c r="I383" s="74" t="n"/>
      <c r="J383" s="77" t="n"/>
      <c r="K383" s="77" t="n"/>
      <c r="L383" s="74" t="n"/>
      <c r="M383" s="74" t="n"/>
      <c r="O383" s="78">
        <f>IF($A383="","",YEAR($A383)*100+MONTH($A383))</f>
        <v/>
      </c>
      <c r="P383" s="79">
        <f>IF(OR($F383="",$D383=""),"",IF($D383="Receita",$F383,IF($D383="Transferência",0,-$F383)))</f>
        <v/>
      </c>
    </row>
    <row r="384">
      <c r="A384" s="73" t="n">
        <v>45953</v>
      </c>
      <c r="B384" s="74" t="inlineStr">
        <is>
          <t>Cinema e passeios</t>
        </is>
      </c>
      <c r="C384" s="74" t="inlineStr">
        <is>
          <t>Lazer e entretenimento</t>
        </is>
      </c>
      <c r="D384" s="75">
        <f>IF($C384="","",IFERROR(INDEX(CAT_TIPO,MATCH($C384,CAT_NOME,0)),"Sem categoria"))</f>
        <v/>
      </c>
      <c r="E384" s="75">
        <f>IF($C384="","",IFERROR(INDEX(CAT_GRUPO,MATCH($C384,CAT_NOME,0)),"Sem categoria"))</f>
        <v/>
      </c>
      <c r="F384" s="76" t="n">
        <v>64.58</v>
      </c>
      <c r="G384" s="74" t="n"/>
      <c r="H384" s="74" t="inlineStr">
        <is>
          <t>Crédito</t>
        </is>
      </c>
      <c r="I384" s="74" t="inlineStr">
        <is>
          <t>Itaú Visa</t>
        </is>
      </c>
      <c r="J384" s="77" t="n"/>
      <c r="K384" s="77" t="n"/>
      <c r="L384" s="74" t="n"/>
      <c r="M384" s="74" t="n"/>
      <c r="O384" s="78">
        <f>IF($A384="","",YEAR($A384)*100+MONTH($A384))</f>
        <v/>
      </c>
      <c r="P384" s="79">
        <f>IF(OR($F384="",$D384=""),"",IF($D384="Receita",$F384,IF($D384="Transferência",0,-$F384)))</f>
        <v/>
      </c>
    </row>
    <row r="385">
      <c r="A385" s="73" t="n">
        <v>45954</v>
      </c>
      <c r="B385" s="74" t="inlineStr">
        <is>
          <t>Supermercado</t>
        </is>
      </c>
      <c r="C385" s="74" t="inlineStr">
        <is>
          <t>Mercado</t>
        </is>
      </c>
      <c r="D385" s="75">
        <f>IF($C385="","",IFERROR(INDEX(CAT_TIPO,MATCH($C385,CAT_NOME,0)),"Sem categoria"))</f>
        <v/>
      </c>
      <c r="E385" s="75">
        <f>IF($C385="","",IFERROR(INDEX(CAT_GRUPO,MATCH($C385,CAT_NOME,0)),"Sem categoria"))</f>
        <v/>
      </c>
      <c r="F385" s="76" t="n">
        <v>151.57</v>
      </c>
      <c r="G385" s="74" t="inlineStr">
        <is>
          <t>Conta Nubank</t>
        </is>
      </c>
      <c r="H385" s="74" t="inlineStr">
        <is>
          <t>Débito</t>
        </is>
      </c>
      <c r="I385" s="74" t="n"/>
      <c r="J385" s="77" t="n"/>
      <c r="K385" s="77" t="n"/>
      <c r="L385" s="74" t="n"/>
      <c r="M385" s="74" t="n"/>
      <c r="O385" s="78">
        <f>IF($A385="","",YEAR($A385)*100+MONTH($A385))</f>
        <v/>
      </c>
      <c r="P385" s="79">
        <f>IF(OR($F385="",$D385=""),"",IF($D385="Receita",$F385,IF($D385="Transferência",0,-$F385)))</f>
        <v/>
      </c>
    </row>
    <row r="386">
      <c r="A386" s="73" t="n">
        <v>45955</v>
      </c>
      <c r="B386" s="74" t="inlineStr">
        <is>
          <t>Gás encanado</t>
        </is>
      </c>
      <c r="C386" s="74" t="inlineStr">
        <is>
          <t>Contas da casa (luz, água, gás)</t>
        </is>
      </c>
      <c r="D386" s="75">
        <f>IF($C386="","",IFERROR(INDEX(CAT_TIPO,MATCH($C386,CAT_NOME,0)),"Sem categoria"))</f>
        <v/>
      </c>
      <c r="E386" s="75">
        <f>IF($C386="","",IFERROR(INDEX(CAT_GRUPO,MATCH($C386,CAT_NOME,0)),"Sem categoria"))</f>
        <v/>
      </c>
      <c r="F386" s="76" t="n">
        <v>90.29000000000001</v>
      </c>
      <c r="G386" s="74" t="inlineStr">
        <is>
          <t>Conta Nubank</t>
        </is>
      </c>
      <c r="H386" s="74" t="inlineStr">
        <is>
          <t>Boleto</t>
        </is>
      </c>
      <c r="I386" s="74" t="n"/>
      <c r="J386" s="77" t="n"/>
      <c r="K386" s="77" t="n"/>
      <c r="L386" s="74" t="n"/>
      <c r="M386" s="74" t="n"/>
      <c r="O386" s="78">
        <f>IF($A386="","",YEAR($A386)*100+MONTH($A386))</f>
        <v/>
      </c>
      <c r="P386" s="79">
        <f>IF(OR($F386="",$D386=""),"",IF($D386="Receita",$F386,IF($D386="Transferência",0,-$F386)))</f>
        <v/>
      </c>
    </row>
    <row r="387">
      <c r="A387" s="73" t="n">
        <v>45956</v>
      </c>
      <c r="B387" s="74" t="inlineStr">
        <is>
          <t>Combustível</t>
        </is>
      </c>
      <c r="C387" s="74" t="inlineStr">
        <is>
          <t>Transporte</t>
        </is>
      </c>
      <c r="D387" s="75">
        <f>IF($C387="","",IFERROR(INDEX(CAT_TIPO,MATCH($C387,CAT_NOME,0)),"Sem categoria"))</f>
        <v/>
      </c>
      <c r="E387" s="75">
        <f>IF($C387="","",IFERROR(INDEX(CAT_GRUPO,MATCH($C387,CAT_NOME,0)),"Sem categoria"))</f>
        <v/>
      </c>
      <c r="F387" s="76" t="n">
        <v>104.61</v>
      </c>
      <c r="G387" s="74" t="n"/>
      <c r="H387" s="74" t="inlineStr">
        <is>
          <t>Crédito</t>
        </is>
      </c>
      <c r="I387" s="74" t="inlineStr">
        <is>
          <t>Itaú Visa</t>
        </is>
      </c>
      <c r="J387" s="77" t="n"/>
      <c r="K387" s="77" t="n"/>
      <c r="L387" s="74" t="n"/>
      <c r="M387" s="74" t="n"/>
      <c r="O387" s="78">
        <f>IF($A387="","",YEAR($A387)*100+MONTH($A387))</f>
        <v/>
      </c>
      <c r="P387" s="79">
        <f>IF(OR($F387="",$D387=""),"",IF($D387="Receita",$F387,IF($D387="Transferência",0,-$F387)))</f>
        <v/>
      </c>
    </row>
    <row r="388">
      <c r="A388" s="73" t="n">
        <v>45957</v>
      </c>
      <c r="B388" s="74" t="inlineStr">
        <is>
          <t>Almoço de domingo</t>
        </is>
      </c>
      <c r="C388" s="74" t="inlineStr">
        <is>
          <t>Restaurantes e delivery</t>
        </is>
      </c>
      <c r="D388" s="75">
        <f>IF($C388="","",IFERROR(INDEX(CAT_TIPO,MATCH($C388,CAT_NOME,0)),"Sem categoria"))</f>
        <v/>
      </c>
      <c r="E388" s="75">
        <f>IF($C388="","",IFERROR(INDEX(CAT_GRUPO,MATCH($C388,CAT_NOME,0)),"Sem categoria"))</f>
        <v/>
      </c>
      <c r="F388" s="76" t="n">
        <v>68.3</v>
      </c>
      <c r="G388" s="74" t="n"/>
      <c r="H388" s="74" t="inlineStr">
        <is>
          <t>Crédito</t>
        </is>
      </c>
      <c r="I388" s="74" t="inlineStr">
        <is>
          <t>Nubank Mastercard</t>
        </is>
      </c>
      <c r="J388" s="77" t="n"/>
      <c r="K388" s="77" t="n"/>
      <c r="L388" s="74" t="n"/>
      <c r="M388" s="74" t="n"/>
      <c r="O388" s="78">
        <f>IF($A388="","",YEAR($A388)*100+MONTH($A388))</f>
        <v/>
      </c>
      <c r="P388" s="79">
        <f>IF(OR($F388="",$D388=""),"",IF($D388="Receita",$F388,IF($D388="Transferência",0,-$F388)))</f>
        <v/>
      </c>
    </row>
    <row r="389">
      <c r="A389" s="73" t="n">
        <v>45958</v>
      </c>
      <c r="B389" s="74" t="inlineStr">
        <is>
          <t>Aporte em renda fixa</t>
        </is>
      </c>
      <c r="C389" s="74" t="inlineStr">
        <is>
          <t>Investimentos</t>
        </is>
      </c>
      <c r="D389" s="75">
        <f>IF($C389="","",IFERROR(INDEX(CAT_TIPO,MATCH($C389,CAT_NOME,0)),"Sem categoria"))</f>
        <v/>
      </c>
      <c r="E389" s="75">
        <f>IF($C389="","",IFERROR(INDEX(CAT_GRUPO,MATCH($C389,CAT_NOME,0)),"Sem categoria"))</f>
        <v/>
      </c>
      <c r="F389" s="76" t="n">
        <v>250</v>
      </c>
      <c r="G389" s="74" t="inlineStr">
        <is>
          <t>Conta Nubank</t>
        </is>
      </c>
      <c r="H389" s="74" t="inlineStr">
        <is>
          <t>Transferência</t>
        </is>
      </c>
      <c r="I389" s="74" t="n"/>
      <c r="J389" s="77" t="n"/>
      <c r="K389" s="77" t="n"/>
      <c r="L389" s="74" t="inlineStr">
        <is>
          <t>Corretora</t>
        </is>
      </c>
      <c r="M389" s="74" t="n"/>
      <c r="O389" s="78">
        <f>IF($A389="","",YEAR($A389)*100+MONTH($A389))</f>
        <v/>
      </c>
      <c r="P389" s="79">
        <f>IF(OR($F389="",$D389=""),"",IF($D389="Receita",$F389,IF($D389="Transferência",0,-$F389)))</f>
        <v/>
      </c>
    </row>
    <row r="390">
      <c r="A390" s="73" t="n">
        <v>45958</v>
      </c>
      <c r="B390" s="74" t="inlineStr">
        <is>
          <t>Cofrinho da viagem</t>
        </is>
      </c>
      <c r="C390" s="74" t="inlineStr">
        <is>
          <t>Metas e sonhos</t>
        </is>
      </c>
      <c r="D390" s="75">
        <f>IF($C390="","",IFERROR(INDEX(CAT_TIPO,MATCH($C390,CAT_NOME,0)),"Sem categoria"))</f>
        <v/>
      </c>
      <c r="E390" s="75">
        <f>IF($C390="","",IFERROR(INDEX(CAT_GRUPO,MATCH($C390,CAT_NOME,0)),"Sem categoria"))</f>
        <v/>
      </c>
      <c r="F390" s="76" t="n">
        <v>150</v>
      </c>
      <c r="G390" s="74" t="inlineStr">
        <is>
          <t>Conta Nubank</t>
        </is>
      </c>
      <c r="H390" s="74" t="inlineStr">
        <is>
          <t>Transferência</t>
        </is>
      </c>
      <c r="I390" s="74" t="n"/>
      <c r="J390" s="77" t="n"/>
      <c r="K390" s="77" t="n"/>
      <c r="L390" s="74" t="inlineStr">
        <is>
          <t>Cofrinho viagem</t>
        </is>
      </c>
      <c r="M390" s="74" t="n"/>
      <c r="O390" s="78">
        <f>IF($A390="","",YEAR($A390)*100+MONTH($A390))</f>
        <v/>
      </c>
      <c r="P390" s="79">
        <f>IF(OR($F390="",$D390=""),"",IF($D390="Receita",$F390,IF($D390="Transferência",0,-$F390)))</f>
        <v/>
      </c>
    </row>
    <row r="391">
      <c r="A391" s="73" t="n">
        <v>45958</v>
      </c>
      <c r="B391" s="74" t="inlineStr">
        <is>
          <t>Rendimento da renda fixa</t>
        </is>
      </c>
      <c r="C391" s="74" t="inlineStr">
        <is>
          <t>Rendimentos de investimentos</t>
        </is>
      </c>
      <c r="D391" s="75">
        <f>IF($C391="","",IFERROR(INDEX(CAT_TIPO,MATCH($C391,CAT_NOME,0)),"Sem categoria"))</f>
        <v/>
      </c>
      <c r="E391" s="75">
        <f>IF($C391="","",IFERROR(INDEX(CAT_GRUPO,MATCH($C391,CAT_NOME,0)),"Sem categoria"))</f>
        <v/>
      </c>
      <c r="F391" s="76" t="n">
        <v>67.52</v>
      </c>
      <c r="G391" s="74" t="inlineStr">
        <is>
          <t>Corretora</t>
        </is>
      </c>
      <c r="H391" s="74" t="inlineStr">
        <is>
          <t>Transferência</t>
        </is>
      </c>
      <c r="I391" s="74" t="n"/>
      <c r="J391" s="77" t="n"/>
      <c r="K391" s="77" t="n"/>
      <c r="L391" s="74" t="n"/>
      <c r="M391" s="74" t="n"/>
      <c r="O391" s="78">
        <f>IF($A391="","",YEAR($A391)*100+MONTH($A391))</f>
        <v/>
      </c>
      <c r="P391" s="79">
        <f>IF(OR($F391="",$D391=""),"",IF($D391="Receita",$F391,IF($D391="Transferência",0,-$F391)))</f>
        <v/>
      </c>
    </row>
    <row r="392">
      <c r="A392" s="73" t="n">
        <v>45958</v>
      </c>
      <c r="B392" s="74" t="inlineStr">
        <is>
          <t>Reserva de emergência</t>
        </is>
      </c>
      <c r="C392" s="74" t="inlineStr">
        <is>
          <t>Reserva de emergência</t>
        </is>
      </c>
      <c r="D392" s="75">
        <f>IF($C392="","",IFERROR(INDEX(CAT_TIPO,MATCH($C392,CAT_NOME,0)),"Sem categoria"))</f>
        <v/>
      </c>
      <c r="E392" s="75">
        <f>IF($C392="","",IFERROR(INDEX(CAT_GRUPO,MATCH($C392,CAT_NOME,0)),"Sem categoria"))</f>
        <v/>
      </c>
      <c r="F392" s="76" t="n">
        <v>400</v>
      </c>
      <c r="G392" s="74" t="inlineStr">
        <is>
          <t>Conta Nubank</t>
        </is>
      </c>
      <c r="H392" s="74" t="inlineStr">
        <is>
          <t>Transferência</t>
        </is>
      </c>
      <c r="I392" s="74" t="n"/>
      <c r="J392" s="77" t="n"/>
      <c r="K392" s="77" t="n"/>
      <c r="L392" s="74" t="inlineStr">
        <is>
          <t>Poupança Caixa</t>
        </is>
      </c>
      <c r="M392" s="74" t="n"/>
      <c r="O392" s="78">
        <f>IF($A392="","",YEAR($A392)*100+MONTH($A392))</f>
        <v/>
      </c>
      <c r="P392" s="79">
        <f>IF(OR($F392="",$D392=""),"",IF($D392="Receita",$F392,IF($D392="Transferência",0,-$F392)))</f>
        <v/>
      </c>
    </row>
    <row r="393">
      <c r="A393" s="73" t="n">
        <v>45964</v>
      </c>
      <c r="B393" s="74" t="inlineStr">
        <is>
          <t>Netflix</t>
        </is>
      </c>
      <c r="C393" s="74" t="inlineStr">
        <is>
          <t>Assinaturas e streaming</t>
        </is>
      </c>
      <c r="D393" s="75">
        <f>IF($C393="","",IFERROR(INDEX(CAT_TIPO,MATCH($C393,CAT_NOME,0)),"Sem categoria"))</f>
        <v/>
      </c>
      <c r="E393" s="75">
        <f>IF($C393="","",IFERROR(INDEX(CAT_GRUPO,MATCH($C393,CAT_NOME,0)),"Sem categoria"))</f>
        <v/>
      </c>
      <c r="F393" s="76" t="n">
        <v>55.9</v>
      </c>
      <c r="G393" s="74" t="n"/>
      <c r="H393" s="74" t="inlineStr">
        <is>
          <t>Crédito</t>
        </is>
      </c>
      <c r="I393" s="74" t="inlineStr">
        <is>
          <t>Nubank Mastercard</t>
        </is>
      </c>
      <c r="J393" s="77" t="n"/>
      <c r="K393" s="77" t="n"/>
      <c r="L393" s="74" t="n"/>
      <c r="M393" s="74" t="n"/>
      <c r="O393" s="78">
        <f>IF($A393="","",YEAR($A393)*100+MONTH($A393))</f>
        <v/>
      </c>
      <c r="P393" s="79">
        <f>IF(OR($F393="",$D393=""),"",IF($D393="Receita",$F393,IF($D393="Transferência",0,-$F393)))</f>
        <v/>
      </c>
    </row>
    <row r="394">
      <c r="A394" s="73" t="n">
        <v>45964</v>
      </c>
      <c r="B394" s="74" t="inlineStr">
        <is>
          <t>Supermercado</t>
        </is>
      </c>
      <c r="C394" s="74" t="inlineStr">
        <is>
          <t>Mercado</t>
        </is>
      </c>
      <c r="D394" s="75">
        <f>IF($C394="","",IFERROR(INDEX(CAT_TIPO,MATCH($C394,CAT_NOME,0)),"Sem categoria"))</f>
        <v/>
      </c>
      <c r="E394" s="75">
        <f>IF($C394="","",IFERROR(INDEX(CAT_GRUPO,MATCH($C394,CAT_NOME,0)),"Sem categoria"))</f>
        <v/>
      </c>
      <c r="F394" s="76" t="n">
        <v>143.4</v>
      </c>
      <c r="G394" s="74" t="inlineStr">
        <is>
          <t>Conta Nubank</t>
        </is>
      </c>
      <c r="H394" s="74" t="inlineStr">
        <is>
          <t>Débito</t>
        </is>
      </c>
      <c r="I394" s="74" t="n"/>
      <c r="J394" s="77" t="n"/>
      <c r="K394" s="77" t="n"/>
      <c r="L394" s="74" t="n"/>
      <c r="M394" s="74" t="n"/>
      <c r="O394" s="78">
        <f>IF($A394="","",YEAR($A394)*100+MONTH($A394))</f>
        <v/>
      </c>
      <c r="P394" s="79">
        <f>IF(OR($F394="",$D394=""),"",IF($D394="Receita",$F394,IF($D394="Transferência",0,-$F394)))</f>
        <v/>
      </c>
    </row>
    <row r="395">
      <c r="A395" s="73" t="n">
        <v>45965</v>
      </c>
      <c r="B395" s="74" t="inlineStr">
        <is>
          <t>Spotify</t>
        </is>
      </c>
      <c r="C395" s="74" t="inlineStr">
        <is>
          <t>Assinaturas e streaming</t>
        </is>
      </c>
      <c r="D395" s="75">
        <f>IF($C395="","",IFERROR(INDEX(CAT_TIPO,MATCH($C395,CAT_NOME,0)),"Sem categoria"))</f>
        <v/>
      </c>
      <c r="E395" s="75">
        <f>IF($C395="","",IFERROR(INDEX(CAT_GRUPO,MATCH($C395,CAT_NOME,0)),"Sem categoria"))</f>
        <v/>
      </c>
      <c r="F395" s="76" t="n">
        <v>23.9</v>
      </c>
      <c r="G395" s="74" t="n"/>
      <c r="H395" s="74" t="inlineStr">
        <is>
          <t>Crédito</t>
        </is>
      </c>
      <c r="I395" s="74" t="inlineStr">
        <is>
          <t>Nubank Mastercard</t>
        </is>
      </c>
      <c r="J395" s="77" t="n"/>
      <c r="K395" s="77" t="n"/>
      <c r="L395" s="74" t="n"/>
      <c r="M395" s="74" t="n"/>
      <c r="O395" s="78">
        <f>IF($A395="","",YEAR($A395)*100+MONTH($A395))</f>
        <v/>
      </c>
      <c r="P395" s="79">
        <f>IF(OR($F395="",$D395=""),"",IF($D395="Receita",$F395,IF($D395="Transferência",0,-$F395)))</f>
        <v/>
      </c>
    </row>
    <row r="396">
      <c r="A396" s="73" t="n">
        <v>45966</v>
      </c>
      <c r="B396" s="74" t="inlineStr">
        <is>
          <t>Academia</t>
        </is>
      </c>
      <c r="C396" s="74" t="inlineStr">
        <is>
          <t>Assinaturas e streaming</t>
        </is>
      </c>
      <c r="D396" s="75">
        <f>IF($C396="","",IFERROR(INDEX(CAT_TIPO,MATCH($C396,CAT_NOME,0)),"Sem categoria"))</f>
        <v/>
      </c>
      <c r="E396" s="75">
        <f>IF($C396="","",IFERROR(INDEX(CAT_GRUPO,MATCH($C396,CAT_NOME,0)),"Sem categoria"))</f>
        <v/>
      </c>
      <c r="F396" s="76" t="n">
        <v>119.9</v>
      </c>
      <c r="G396" s="74" t="n"/>
      <c r="H396" s="74" t="inlineStr">
        <is>
          <t>Crédito</t>
        </is>
      </c>
      <c r="I396" s="74" t="inlineStr">
        <is>
          <t>Nubank Mastercard</t>
        </is>
      </c>
      <c r="J396" s="77" t="n"/>
      <c r="K396" s="77" t="n"/>
      <c r="L396" s="74" t="n"/>
      <c r="M396" s="74" t="n"/>
      <c r="O396" s="78">
        <f>IF($A396="","",YEAR($A396)*100+MONTH($A396))</f>
        <v/>
      </c>
      <c r="P396" s="79">
        <f>IF(OR($F396="",$D396=""),"",IF($D396="Receita",$F396,IF($D396="Transferência",0,-$F396)))</f>
        <v/>
      </c>
    </row>
    <row r="397">
      <c r="A397" s="73" t="n">
        <v>45966</v>
      </c>
      <c r="B397" s="74" t="inlineStr">
        <is>
          <t>Pagamento da fatura Nubank Mastercard</t>
        </is>
      </c>
      <c r="C397" s="74" t="inlineStr">
        <is>
          <t>Pagamento de fatura</t>
        </is>
      </c>
      <c r="D397" s="75">
        <f>IF($C397="","",IFERROR(INDEX(CAT_TIPO,MATCH($C397,CAT_NOME,0)),"Sem categoria"))</f>
        <v/>
      </c>
      <c r="E397" s="75">
        <f>IF($C397="","",IFERROR(INDEX(CAT_GRUPO,MATCH($C397,CAT_NOME,0)),"Sem categoria"))</f>
        <v/>
      </c>
      <c r="F397" s="76" t="n">
        <v>1431.97</v>
      </c>
      <c r="G397" s="74" t="inlineStr">
        <is>
          <t>Conta Nubank</t>
        </is>
      </c>
      <c r="H397" s="74" t="inlineStr">
        <is>
          <t>Boleto</t>
        </is>
      </c>
      <c r="I397" s="74" t="inlineStr">
        <is>
          <t>Nubank Mastercard</t>
        </is>
      </c>
      <c r="J397" s="77" t="n"/>
      <c r="K397" s="77" t="n"/>
      <c r="L397" s="74" t="n"/>
      <c r="M397" s="74" t="n"/>
      <c r="O397" s="78">
        <f>IF($A397="","",YEAR($A397)*100+MONTH($A397))</f>
        <v/>
      </c>
      <c r="P397" s="79">
        <f>IF(OR($F397="",$D397=""),"",IF($D397="Receita",$F397,IF($D397="Transferência",0,-$F397)))</f>
        <v/>
      </c>
    </row>
    <row r="398">
      <c r="A398" s="73" t="n">
        <v>45966</v>
      </c>
      <c r="B398" s="74" t="inlineStr">
        <is>
          <t>Salário</t>
        </is>
      </c>
      <c r="C398" s="74" t="inlineStr">
        <is>
          <t>Salário</t>
        </is>
      </c>
      <c r="D398" s="75">
        <f>IF($C398="","",IFERROR(INDEX(CAT_TIPO,MATCH($C398,CAT_NOME,0)),"Sem categoria"))</f>
        <v/>
      </c>
      <c r="E398" s="75">
        <f>IF($C398="","",IFERROR(INDEX(CAT_GRUPO,MATCH($C398,CAT_NOME,0)),"Sem categoria"))</f>
        <v/>
      </c>
      <c r="F398" s="76" t="n">
        <v>5600</v>
      </c>
      <c r="G398" s="74" t="inlineStr">
        <is>
          <t>Conta Nubank</t>
        </is>
      </c>
      <c r="H398" s="74" t="inlineStr">
        <is>
          <t>Transferência</t>
        </is>
      </c>
      <c r="I398" s="74" t="n"/>
      <c r="J398" s="77" t="n"/>
      <c r="K398" s="77" t="n"/>
      <c r="L398" s="74" t="n"/>
      <c r="M398" s="74" t="n"/>
      <c r="O398" s="78">
        <f>IF($A398="","",YEAR($A398)*100+MONTH($A398))</f>
        <v/>
      </c>
      <c r="P398" s="79">
        <f>IF(OR($F398="",$D398=""),"",IF($D398="Receita",$F398,IF($D398="Transferência",0,-$F398)))</f>
        <v/>
      </c>
    </row>
    <row r="399">
      <c r="A399" s="73" t="n">
        <v>45967</v>
      </c>
      <c r="B399" s="74" t="inlineStr">
        <is>
          <t>Plano de saúde</t>
        </is>
      </c>
      <c r="C399" s="74" t="inlineStr">
        <is>
          <t>Saúde e farmácia</t>
        </is>
      </c>
      <c r="D399" s="75">
        <f>IF($C399="","",IFERROR(INDEX(CAT_TIPO,MATCH($C399,CAT_NOME,0)),"Sem categoria"))</f>
        <v/>
      </c>
      <c r="E399" s="75">
        <f>IF($C399="","",IFERROR(INDEX(CAT_GRUPO,MATCH($C399,CAT_NOME,0)),"Sem categoria"))</f>
        <v/>
      </c>
      <c r="F399" s="76" t="n">
        <v>290</v>
      </c>
      <c r="G399" s="74" t="inlineStr">
        <is>
          <t>Conta Nubank</t>
        </is>
      </c>
      <c r="H399" s="74" t="inlineStr">
        <is>
          <t>Débito automático</t>
        </is>
      </c>
      <c r="I399" s="74" t="n"/>
      <c r="J399" s="77" t="n"/>
      <c r="K399" s="77" t="n"/>
      <c r="L399" s="74" t="n"/>
      <c r="M399" s="74" t="n"/>
      <c r="O399" s="78">
        <f>IF($A399="","",YEAR($A399)*100+MONTH($A399))</f>
        <v/>
      </c>
      <c r="P399" s="79">
        <f>IF(OR($F399="",$D399=""),"",IF($D399="Receita",$F399,IF($D399="Transferência",0,-$F399)))</f>
        <v/>
      </c>
    </row>
    <row r="400">
      <c r="A400" s="73" t="n">
        <v>45968</v>
      </c>
      <c r="B400" s="74" t="inlineStr">
        <is>
          <t>Combustível</t>
        </is>
      </c>
      <c r="C400" s="74" t="inlineStr">
        <is>
          <t>Transporte</t>
        </is>
      </c>
      <c r="D400" s="75">
        <f>IF($C400="","",IFERROR(INDEX(CAT_TIPO,MATCH($C400,CAT_NOME,0)),"Sem categoria"))</f>
        <v/>
      </c>
      <c r="E400" s="75">
        <f>IF($C400="","",IFERROR(INDEX(CAT_GRUPO,MATCH($C400,CAT_NOME,0)),"Sem categoria"))</f>
        <v/>
      </c>
      <c r="F400" s="76" t="n">
        <v>125.44</v>
      </c>
      <c r="G400" s="74" t="n"/>
      <c r="H400" s="74" t="inlineStr">
        <is>
          <t>Crédito</t>
        </is>
      </c>
      <c r="I400" s="74" t="inlineStr">
        <is>
          <t>Itaú Visa</t>
        </is>
      </c>
      <c r="J400" s="77" t="n"/>
      <c r="K400" s="77" t="n"/>
      <c r="L400" s="74" t="n"/>
      <c r="M400" s="74" t="n"/>
      <c r="O400" s="78">
        <f>IF($A400="","",YEAR($A400)*100+MONTH($A400))</f>
        <v/>
      </c>
      <c r="P400" s="79">
        <f>IF(OR($F400="",$D400=""),"",IF($D400="Receita",$F400,IF($D400="Transferência",0,-$F400)))</f>
        <v/>
      </c>
    </row>
    <row r="401">
      <c r="A401" s="73" t="n">
        <v>45969</v>
      </c>
      <c r="B401" s="74" t="inlineStr">
        <is>
          <t>Aluguel</t>
        </is>
      </c>
      <c r="C401" s="74" t="inlineStr">
        <is>
          <t>Moradia (aluguel ou financiamento)</t>
        </is>
      </c>
      <c r="D401" s="75">
        <f>IF($C401="","",IFERROR(INDEX(CAT_TIPO,MATCH($C401,CAT_NOME,0)),"Sem categoria"))</f>
        <v/>
      </c>
      <c r="E401" s="75">
        <f>IF($C401="","",IFERROR(INDEX(CAT_GRUPO,MATCH($C401,CAT_NOME,0)),"Sem categoria"))</f>
        <v/>
      </c>
      <c r="F401" s="76" t="n">
        <v>1200</v>
      </c>
      <c r="G401" s="74" t="inlineStr">
        <is>
          <t>Conta Nubank</t>
        </is>
      </c>
      <c r="H401" s="74" t="inlineStr">
        <is>
          <t>Boleto</t>
        </is>
      </c>
      <c r="I401" s="74" t="n"/>
      <c r="J401" s="77" t="n"/>
      <c r="K401" s="77" t="n"/>
      <c r="L401" s="74" t="n"/>
      <c r="M401" s="74" t="n"/>
      <c r="O401" s="78">
        <f>IF($A401="","",YEAR($A401)*100+MONTH($A401))</f>
        <v/>
      </c>
      <c r="P401" s="79">
        <f>IF(OR($F401="",$D401=""),"",IF($D401="Receita",$F401,IF($D401="Transferência",0,-$F401)))</f>
        <v/>
      </c>
    </row>
    <row r="402">
      <c r="A402" s="73" t="n">
        <v>45970</v>
      </c>
      <c r="B402" s="74" t="inlineStr">
        <is>
          <t>Farmácia</t>
        </is>
      </c>
      <c r="C402" s="74" t="inlineStr">
        <is>
          <t>Saúde e farmácia</t>
        </is>
      </c>
      <c r="D402" s="75">
        <f>IF($C402="","",IFERROR(INDEX(CAT_TIPO,MATCH($C402,CAT_NOME,0)),"Sem categoria"))</f>
        <v/>
      </c>
      <c r="E402" s="75">
        <f>IF($C402="","",IFERROR(INDEX(CAT_GRUPO,MATCH($C402,CAT_NOME,0)),"Sem categoria"))</f>
        <v/>
      </c>
      <c r="F402" s="76" t="n">
        <v>61.1</v>
      </c>
      <c r="G402" s="74" t="n"/>
      <c r="H402" s="74" t="inlineStr">
        <is>
          <t>Crédito</t>
        </is>
      </c>
      <c r="I402" s="74" t="inlineStr">
        <is>
          <t>Itaú Visa</t>
        </is>
      </c>
      <c r="J402" s="77" t="n"/>
      <c r="K402" s="77" t="n"/>
      <c r="L402" s="74" t="n"/>
      <c r="M402" s="74" t="n"/>
      <c r="O402" s="78">
        <f>IF($A402="","",YEAR($A402)*100+MONTH($A402))</f>
        <v/>
      </c>
      <c r="P402" s="79">
        <f>IF(OR($F402="",$D402=""),"",IF($D402="Receita",$F402,IF($D402="Transferência",0,-$F402)))</f>
        <v/>
      </c>
    </row>
    <row r="403">
      <c r="A403" s="73" t="n">
        <v>45971</v>
      </c>
      <c r="B403" s="74" t="inlineStr">
        <is>
          <t>Condomínio</t>
        </is>
      </c>
      <c r="C403" s="74" t="inlineStr">
        <is>
          <t>Condomínio e IPTU</t>
        </is>
      </c>
      <c r="D403" s="75">
        <f>IF($C403="","",IFERROR(INDEX(CAT_TIPO,MATCH($C403,CAT_NOME,0)),"Sem categoria"))</f>
        <v/>
      </c>
      <c r="E403" s="75">
        <f>IF($C403="","",IFERROR(INDEX(CAT_GRUPO,MATCH($C403,CAT_NOME,0)),"Sem categoria"))</f>
        <v/>
      </c>
      <c r="F403" s="76" t="n">
        <v>300</v>
      </c>
      <c r="G403" s="74" t="inlineStr">
        <is>
          <t>Conta Nubank</t>
        </is>
      </c>
      <c r="H403" s="74" t="inlineStr">
        <is>
          <t>Boleto</t>
        </is>
      </c>
      <c r="I403" s="74" t="n"/>
      <c r="J403" s="77" t="n"/>
      <c r="K403" s="77" t="n"/>
      <c r="L403" s="74" t="n"/>
      <c r="M403" s="74" t="n"/>
      <c r="O403" s="78">
        <f>IF($A403="","",YEAR($A403)*100+MONTH($A403))</f>
        <v/>
      </c>
      <c r="P403" s="79">
        <f>IF(OR($F403="",$D403=""),"",IF($D403="Receita",$F403,IF($D403="Transferência",0,-$F403)))</f>
        <v/>
      </c>
    </row>
    <row r="404">
      <c r="A404" s="73" t="n">
        <v>45971</v>
      </c>
      <c r="B404" s="74" t="inlineStr">
        <is>
          <t>Supermercado</t>
        </is>
      </c>
      <c r="C404" s="74" t="inlineStr">
        <is>
          <t>Mercado</t>
        </is>
      </c>
      <c r="D404" s="75">
        <f>IF($C404="","",IFERROR(INDEX(CAT_TIPO,MATCH($C404,CAT_NOME,0)),"Sem categoria"))</f>
        <v/>
      </c>
      <c r="E404" s="75">
        <f>IF($C404="","",IFERROR(INDEX(CAT_GRUPO,MATCH($C404,CAT_NOME,0)),"Sem categoria"))</f>
        <v/>
      </c>
      <c r="F404" s="76" t="n">
        <v>155.38</v>
      </c>
      <c r="G404" s="74" t="inlineStr">
        <is>
          <t>Conta Nubank</t>
        </is>
      </c>
      <c r="H404" s="74" t="inlineStr">
        <is>
          <t>Débito</t>
        </is>
      </c>
      <c r="I404" s="74" t="n"/>
      <c r="J404" s="77" t="n"/>
      <c r="K404" s="77" t="n"/>
      <c r="L404" s="74" t="n"/>
      <c r="M404" s="74" t="n"/>
      <c r="O404" s="78">
        <f>IF($A404="","",YEAR($A404)*100+MONTH($A404))</f>
        <v/>
      </c>
      <c r="P404" s="79">
        <f>IF(OR($F404="",$D404=""),"",IF($D404="Receita",$F404,IF($D404="Transferência",0,-$F404)))</f>
        <v/>
      </c>
    </row>
    <row r="405">
      <c r="A405" s="73" t="n">
        <v>45972</v>
      </c>
      <c r="B405" s="74" t="inlineStr">
        <is>
          <t>Uber</t>
        </is>
      </c>
      <c r="C405" s="74" t="inlineStr">
        <is>
          <t>Transporte</t>
        </is>
      </c>
      <c r="D405" s="75">
        <f>IF($C405="","",IFERROR(INDEX(CAT_TIPO,MATCH($C405,CAT_NOME,0)),"Sem categoria"))</f>
        <v/>
      </c>
      <c r="E405" s="75">
        <f>IF($C405="","",IFERROR(INDEX(CAT_GRUPO,MATCH($C405,CAT_NOME,0)),"Sem categoria"))</f>
        <v/>
      </c>
      <c r="F405" s="76" t="n">
        <v>17.19</v>
      </c>
      <c r="G405" s="74" t="n"/>
      <c r="H405" s="74" t="inlineStr">
        <is>
          <t>Crédito</t>
        </is>
      </c>
      <c r="I405" s="74" t="inlineStr">
        <is>
          <t>Nubank Mastercard</t>
        </is>
      </c>
      <c r="J405" s="77" t="n"/>
      <c r="K405" s="77" t="n"/>
      <c r="L405" s="74" t="n"/>
      <c r="M405" s="74" t="n"/>
      <c r="O405" s="78">
        <f>IF($A405="","",YEAR($A405)*100+MONTH($A405))</f>
        <v/>
      </c>
      <c r="P405" s="79">
        <f>IF(OR($F405="",$D405=""),"",IF($D405="Receita",$F405,IF($D405="Transferência",0,-$F405)))</f>
        <v/>
      </c>
    </row>
    <row r="406">
      <c r="A406" s="73" t="n">
        <v>45973</v>
      </c>
      <c r="B406" s="74" t="inlineStr">
        <is>
          <t>Parcela do financiamento do carro</t>
        </is>
      </c>
      <c r="C406" s="74" t="inlineStr">
        <is>
          <t>Dívidas e parcelas</t>
        </is>
      </c>
      <c r="D406" s="75">
        <f>IF($C406="","",IFERROR(INDEX(CAT_TIPO,MATCH($C406,CAT_NOME,0)),"Sem categoria"))</f>
        <v/>
      </c>
      <c r="E406" s="75">
        <f>IF($C406="","",IFERROR(INDEX(CAT_GRUPO,MATCH($C406,CAT_NOME,0)),"Sem categoria"))</f>
        <v/>
      </c>
      <c r="F406" s="76" t="n">
        <v>560</v>
      </c>
      <c r="G406" s="74" t="inlineStr">
        <is>
          <t>Conta Nubank</t>
        </is>
      </c>
      <c r="H406" s="74" t="inlineStr">
        <is>
          <t>Boleto</t>
        </is>
      </c>
      <c r="I406" s="74" t="n"/>
      <c r="J406" s="77" t="inlineStr">
        <is>
          <t>23/48</t>
        </is>
      </c>
      <c r="K406" s="77" t="n"/>
      <c r="L406" s="74" t="n"/>
      <c r="M406" s="74" t="n"/>
      <c r="O406" s="78">
        <f>IF($A406="","",YEAR($A406)*100+MONTH($A406))</f>
        <v/>
      </c>
      <c r="P406" s="79">
        <f>IF(OR($F406="",$D406=""),"",IF($D406="Receita",$F406,IF($D406="Transferência",0,-$F406)))</f>
        <v/>
      </c>
    </row>
    <row r="407">
      <c r="A407" s="73" t="n">
        <v>45973</v>
      </c>
      <c r="B407" s="74" t="inlineStr">
        <is>
          <t>Seguro do carro</t>
        </is>
      </c>
      <c r="C407" s="74" t="inlineStr">
        <is>
          <t>Seguros</t>
        </is>
      </c>
      <c r="D407" s="75">
        <f>IF($C407="","",IFERROR(INDEX(CAT_TIPO,MATCH($C407,CAT_NOME,0)),"Sem categoria"))</f>
        <v/>
      </c>
      <c r="E407" s="75">
        <f>IF($C407="","",IFERROR(INDEX(CAT_GRUPO,MATCH($C407,CAT_NOME,0)),"Sem categoria"))</f>
        <v/>
      </c>
      <c r="F407" s="76" t="n">
        <v>140</v>
      </c>
      <c r="G407" s="74" t="inlineStr">
        <is>
          <t>Conta Nubank</t>
        </is>
      </c>
      <c r="H407" s="74" t="inlineStr">
        <is>
          <t>Débito automático</t>
        </is>
      </c>
      <c r="I407" s="74" t="n"/>
      <c r="J407" s="77" t="n"/>
      <c r="K407" s="77" t="n"/>
      <c r="L407" s="74" t="n"/>
      <c r="M407" s="74" t="n"/>
      <c r="O407" s="78">
        <f>IF($A407="","",YEAR($A407)*100+MONTH($A407))</f>
        <v/>
      </c>
      <c r="P407" s="79">
        <f>IF(OR($F407="",$D407=""),"",IF($D407="Receita",$F407,IF($D407="Transferência",0,-$F407)))</f>
        <v/>
      </c>
    </row>
    <row r="408">
      <c r="A408" s="73" t="n">
        <v>45974</v>
      </c>
      <c r="B408" s="74" t="inlineStr">
        <is>
          <t>Jantar fora</t>
        </is>
      </c>
      <c r="C408" s="74" t="inlineStr">
        <is>
          <t>Restaurantes e delivery</t>
        </is>
      </c>
      <c r="D408" s="75">
        <f>IF($C408="","",IFERROR(INDEX(CAT_TIPO,MATCH($C408,CAT_NOME,0)),"Sem categoria"))</f>
        <v/>
      </c>
      <c r="E408" s="75">
        <f>IF($C408="","",IFERROR(INDEX(CAT_GRUPO,MATCH($C408,CAT_NOME,0)),"Sem categoria"))</f>
        <v/>
      </c>
      <c r="F408" s="76" t="n">
        <v>116.55</v>
      </c>
      <c r="G408" s="74" t="n"/>
      <c r="H408" s="74" t="inlineStr">
        <is>
          <t>Crédito</t>
        </is>
      </c>
      <c r="I408" s="74" t="inlineStr">
        <is>
          <t>Nubank Mastercard</t>
        </is>
      </c>
      <c r="J408" s="77" t="n"/>
      <c r="K408" s="77" t="n"/>
      <c r="L408" s="74" t="n"/>
      <c r="M408" s="74" t="n"/>
      <c r="O408" s="78">
        <f>IF($A408="","",YEAR($A408)*100+MONTH($A408))</f>
        <v/>
      </c>
      <c r="P408" s="79">
        <f>IF(OR($F408="",$D408=""),"",IF($D408="Receita",$F408,IF($D408="Transferência",0,-$F408)))</f>
        <v/>
      </c>
    </row>
    <row r="409">
      <c r="A409" s="73" t="n">
        <v>45975</v>
      </c>
      <c r="B409" s="74" t="inlineStr">
        <is>
          <t>Conta de luz</t>
        </is>
      </c>
      <c r="C409" s="74" t="inlineStr">
        <is>
          <t>Contas da casa (luz, água, gás)</t>
        </is>
      </c>
      <c r="D409" s="75">
        <f>IF($C409="","",IFERROR(INDEX(CAT_TIPO,MATCH($C409,CAT_NOME,0)),"Sem categoria"))</f>
        <v/>
      </c>
      <c r="E409" s="75">
        <f>IF($C409="","",IFERROR(INDEX(CAT_GRUPO,MATCH($C409,CAT_NOME,0)),"Sem categoria"))</f>
        <v/>
      </c>
      <c r="F409" s="76" t="n">
        <v>105.1</v>
      </c>
      <c r="G409" s="74" t="inlineStr">
        <is>
          <t>Conta Nubank</t>
        </is>
      </c>
      <c r="H409" s="74" t="inlineStr">
        <is>
          <t>Débito automático</t>
        </is>
      </c>
      <c r="I409" s="74" t="n"/>
      <c r="J409" s="77" t="n"/>
      <c r="K409" s="77" t="n"/>
      <c r="L409" s="74" t="n"/>
      <c r="M409" s="74" t="n"/>
      <c r="O409" s="78">
        <f>IF($A409="","",YEAR($A409)*100+MONTH($A409))</f>
        <v/>
      </c>
      <c r="P409" s="79">
        <f>IF(OR($F409="",$D409=""),"",IF($D409="Receita",$F409,IF($D409="Transferência",0,-$F409)))</f>
        <v/>
      </c>
    </row>
    <row r="410">
      <c r="A410" s="73" t="n">
        <v>45976</v>
      </c>
      <c r="B410" s="74" t="inlineStr">
        <is>
          <t>Roupas e acessórios</t>
        </is>
      </c>
      <c r="C410" s="74" t="inlineStr">
        <is>
          <t>Compras pessoais</t>
        </is>
      </c>
      <c r="D410" s="75">
        <f>IF($C410="","",IFERROR(INDEX(CAT_TIPO,MATCH($C410,CAT_NOME,0)),"Sem categoria"))</f>
        <v/>
      </c>
      <c r="E410" s="75">
        <f>IF($C410="","",IFERROR(INDEX(CAT_GRUPO,MATCH($C410,CAT_NOME,0)),"Sem categoria"))</f>
        <v/>
      </c>
      <c r="F410" s="76" t="n">
        <v>73.31</v>
      </c>
      <c r="G410" s="74" t="n"/>
      <c r="H410" s="74" t="inlineStr">
        <is>
          <t>Crédito</t>
        </is>
      </c>
      <c r="I410" s="74" t="inlineStr">
        <is>
          <t>Nubank Mastercard</t>
        </is>
      </c>
      <c r="J410" s="77" t="n"/>
      <c r="K410" s="77" t="n"/>
      <c r="L410" s="74" t="n"/>
      <c r="M410" s="74" t="n"/>
      <c r="O410" s="78">
        <f>IF($A410="","",YEAR($A410)*100+MONTH($A410))</f>
        <v/>
      </c>
      <c r="P410" s="79">
        <f>IF(OR($F410="",$D410=""),"",IF($D410="Receita",$F410,IF($D410="Transferência",0,-$F410)))</f>
        <v/>
      </c>
    </row>
    <row r="411">
      <c r="A411" s="73" t="n">
        <v>45977</v>
      </c>
      <c r="B411" s="74" t="inlineStr">
        <is>
          <t>Combustível</t>
        </is>
      </c>
      <c r="C411" s="74" t="inlineStr">
        <is>
          <t>Transporte</t>
        </is>
      </c>
      <c r="D411" s="75">
        <f>IF($C411="","",IFERROR(INDEX(CAT_TIPO,MATCH($C411,CAT_NOME,0)),"Sem categoria"))</f>
        <v/>
      </c>
      <c r="E411" s="75">
        <f>IF($C411="","",IFERROR(INDEX(CAT_GRUPO,MATCH($C411,CAT_NOME,0)),"Sem categoria"))</f>
        <v/>
      </c>
      <c r="F411" s="76" t="n">
        <v>103.54</v>
      </c>
      <c r="G411" s="74" t="n"/>
      <c r="H411" s="74" t="inlineStr">
        <is>
          <t>Crédito</t>
        </is>
      </c>
      <c r="I411" s="74" t="inlineStr">
        <is>
          <t>Itaú Visa</t>
        </is>
      </c>
      <c r="J411" s="77" t="n"/>
      <c r="K411" s="77" t="n"/>
      <c r="L411" s="74" t="n"/>
      <c r="M411" s="74" t="n"/>
      <c r="O411" s="78">
        <f>IF($A411="","",YEAR($A411)*100+MONTH($A411))</f>
        <v/>
      </c>
      <c r="P411" s="79">
        <f>IF(OR($F411="",$D411=""),"",IF($D411="Receita",$F411,IF($D411="Transferência",0,-$F411)))</f>
        <v/>
      </c>
    </row>
    <row r="412">
      <c r="A412" s="73" t="n">
        <v>45978</v>
      </c>
      <c r="B412" s="74" t="inlineStr">
        <is>
          <t>Pagamento da fatura Itaú Visa</t>
        </is>
      </c>
      <c r="C412" s="74" t="inlineStr">
        <is>
          <t>Pagamento de fatura</t>
        </is>
      </c>
      <c r="D412" s="75">
        <f>IF($C412="","",IFERROR(INDEX(CAT_TIPO,MATCH($C412,CAT_NOME,0)),"Sem categoria"))</f>
        <v/>
      </c>
      <c r="E412" s="75">
        <f>IF($C412="","",IFERROR(INDEX(CAT_GRUPO,MATCH($C412,CAT_NOME,0)),"Sem categoria"))</f>
        <v/>
      </c>
      <c r="F412" s="76" t="n">
        <v>918.7</v>
      </c>
      <c r="G412" s="74" t="inlineStr">
        <is>
          <t>Conta Nubank</t>
        </is>
      </c>
      <c r="H412" s="74" t="inlineStr">
        <is>
          <t>Boleto</t>
        </is>
      </c>
      <c r="I412" s="74" t="inlineStr">
        <is>
          <t>Itaú Visa</t>
        </is>
      </c>
      <c r="J412" s="77" t="n"/>
      <c r="K412" s="77" t="n"/>
      <c r="L412" s="74" t="n"/>
      <c r="M412" s="74" t="n"/>
      <c r="O412" s="78">
        <f>IF($A412="","",YEAR($A412)*100+MONTH($A412))</f>
        <v/>
      </c>
      <c r="P412" s="79">
        <f>IF(OR($F412="",$D412=""),"",IF($D412="Receita",$F412,IF($D412="Transferência",0,-$F412)))</f>
        <v/>
      </c>
    </row>
    <row r="413">
      <c r="A413" s="73" t="n">
        <v>45978</v>
      </c>
      <c r="B413" s="74" t="inlineStr">
        <is>
          <t>Supermercado</t>
        </is>
      </c>
      <c r="C413" s="74" t="inlineStr">
        <is>
          <t>Mercado</t>
        </is>
      </c>
      <c r="D413" s="75">
        <f>IF($C413="","",IFERROR(INDEX(CAT_TIPO,MATCH($C413,CAT_NOME,0)),"Sem categoria"))</f>
        <v/>
      </c>
      <c r="E413" s="75">
        <f>IF($C413="","",IFERROR(INDEX(CAT_GRUPO,MATCH($C413,CAT_NOME,0)),"Sem categoria"))</f>
        <v/>
      </c>
      <c r="F413" s="76" t="n">
        <v>133.64</v>
      </c>
      <c r="G413" s="74" t="inlineStr">
        <is>
          <t>Conta Nubank</t>
        </is>
      </c>
      <c r="H413" s="74" t="inlineStr">
        <is>
          <t>Débito</t>
        </is>
      </c>
      <c r="I413" s="74" t="n"/>
      <c r="J413" s="77" t="n"/>
      <c r="K413" s="77" t="n"/>
      <c r="L413" s="74" t="n"/>
      <c r="M413" s="74" t="n"/>
      <c r="O413" s="78">
        <f>IF($A413="","",YEAR($A413)*100+MONTH($A413))</f>
        <v/>
      </c>
      <c r="P413" s="79">
        <f>IF(OR($F413="",$D413=""),"",IF($D413="Receita",$F413,IF($D413="Transferência",0,-$F413)))</f>
        <v/>
      </c>
    </row>
    <row r="414">
      <c r="A414" s="73" t="n">
        <v>45978</v>
      </c>
      <c r="B414" s="74" t="inlineStr">
        <is>
          <t>iCloud</t>
        </is>
      </c>
      <c r="C414" s="74" t="inlineStr">
        <is>
          <t>Assinaturas e streaming</t>
        </is>
      </c>
      <c r="D414" s="75">
        <f>IF($C414="","",IFERROR(INDEX(CAT_TIPO,MATCH($C414,CAT_NOME,0)),"Sem categoria"))</f>
        <v/>
      </c>
      <c r="E414" s="75">
        <f>IF($C414="","",IFERROR(INDEX(CAT_GRUPO,MATCH($C414,CAT_NOME,0)),"Sem categoria"))</f>
        <v/>
      </c>
      <c r="F414" s="76" t="n">
        <v>14.9</v>
      </c>
      <c r="G414" s="74" t="n"/>
      <c r="H414" s="74" t="inlineStr">
        <is>
          <t>Crédito</t>
        </is>
      </c>
      <c r="I414" s="74" t="inlineStr">
        <is>
          <t>Nubank Mastercard</t>
        </is>
      </c>
      <c r="J414" s="77" t="n"/>
      <c r="K414" s="77" t="n"/>
      <c r="L414" s="74" t="n"/>
      <c r="M414" s="74" t="n"/>
      <c r="O414" s="78">
        <f>IF($A414="","",YEAR($A414)*100+MONTH($A414))</f>
        <v/>
      </c>
      <c r="P414" s="79">
        <f>IF(OR($F414="",$D414=""),"",IF($D414="Receita",$F414,IF($D414="Transferência",0,-$F414)))</f>
        <v/>
      </c>
    </row>
    <row r="415">
      <c r="A415" s="73" t="n">
        <v>45979</v>
      </c>
      <c r="B415" s="74" t="inlineStr">
        <is>
          <t>Barbearia / salão</t>
        </is>
      </c>
      <c r="C415" s="74" t="inlineStr">
        <is>
          <t>Beleza e cuidados</t>
        </is>
      </c>
      <c r="D415" s="75">
        <f>IF($C415="","",IFERROR(INDEX(CAT_TIPO,MATCH($C415,CAT_NOME,0)),"Sem categoria"))</f>
        <v/>
      </c>
      <c r="E415" s="75">
        <f>IF($C415="","",IFERROR(INDEX(CAT_GRUPO,MATCH($C415,CAT_NOME,0)),"Sem categoria"))</f>
        <v/>
      </c>
      <c r="F415" s="76" t="n">
        <v>99.28</v>
      </c>
      <c r="G415" s="74" t="inlineStr">
        <is>
          <t>Conta Nubank</t>
        </is>
      </c>
      <c r="H415" s="74" t="inlineStr">
        <is>
          <t>Pix</t>
        </is>
      </c>
      <c r="I415" s="74" t="n"/>
      <c r="J415" s="77" t="n"/>
      <c r="K415" s="77" t="n"/>
      <c r="L415" s="74" t="n"/>
      <c r="M415" s="74" t="n"/>
      <c r="O415" s="78">
        <f>IF($A415="","",YEAR($A415)*100+MONTH($A415))</f>
        <v/>
      </c>
      <c r="P415" s="79">
        <f>IF(OR($F415="",$D415=""),"",IF($D415="Receita",$F415,IF($D415="Transferência",0,-$F415)))</f>
        <v/>
      </c>
    </row>
    <row r="416">
      <c r="A416" s="73" t="n">
        <v>45979</v>
      </c>
      <c r="B416" s="74" t="inlineStr">
        <is>
          <t>Conta de água</t>
        </is>
      </c>
      <c r="C416" s="74" t="inlineStr">
        <is>
          <t>Contas da casa (luz, água, gás)</t>
        </is>
      </c>
      <c r="D416" s="75">
        <f>IF($C416="","",IFERROR(INDEX(CAT_TIPO,MATCH($C416,CAT_NOME,0)),"Sem categoria"))</f>
        <v/>
      </c>
      <c r="E416" s="75">
        <f>IF($C416="","",IFERROR(INDEX(CAT_GRUPO,MATCH($C416,CAT_NOME,0)),"Sem categoria"))</f>
        <v/>
      </c>
      <c r="F416" s="76" t="n">
        <v>80.33</v>
      </c>
      <c r="G416" s="74" t="inlineStr">
        <is>
          <t>Conta Nubank</t>
        </is>
      </c>
      <c r="H416" s="74" t="inlineStr">
        <is>
          <t>Débito automático</t>
        </is>
      </c>
      <c r="I416" s="74" t="n"/>
      <c r="J416" s="77" t="n"/>
      <c r="K416" s="77" t="n"/>
      <c r="L416" s="74" t="n"/>
      <c r="M416" s="74" t="n"/>
      <c r="O416" s="78">
        <f>IF($A416="","",YEAR($A416)*100+MONTH($A416))</f>
        <v/>
      </c>
      <c r="P416" s="79">
        <f>IF(OR($F416="",$D416=""),"",IF($D416="Receita",$F416,IF($D416="Transferência",0,-$F416)))</f>
        <v/>
      </c>
    </row>
    <row r="417">
      <c r="A417" s="73" t="n">
        <v>45980</v>
      </c>
      <c r="B417" s="74" t="inlineStr">
        <is>
          <t>iFood</t>
        </is>
      </c>
      <c r="C417" s="74" t="inlineStr">
        <is>
          <t>Restaurantes e delivery</t>
        </is>
      </c>
      <c r="D417" s="75">
        <f>IF($C417="","",IFERROR(INDEX(CAT_TIPO,MATCH($C417,CAT_NOME,0)),"Sem categoria"))</f>
        <v/>
      </c>
      <c r="E417" s="75">
        <f>IF($C417="","",IFERROR(INDEX(CAT_GRUPO,MATCH($C417,CAT_NOME,0)),"Sem categoria"))</f>
        <v/>
      </c>
      <c r="F417" s="76" t="n">
        <v>49.42</v>
      </c>
      <c r="G417" s="74" t="n"/>
      <c r="H417" s="74" t="inlineStr">
        <is>
          <t>Crédito</t>
        </is>
      </c>
      <c r="I417" s="74" t="inlineStr">
        <is>
          <t>Nubank Mastercard</t>
        </is>
      </c>
      <c r="J417" s="77" t="n"/>
      <c r="K417" s="77" t="n"/>
      <c r="L417" s="74" t="n"/>
      <c r="M417" s="74" t="n"/>
      <c r="O417" s="78">
        <f>IF($A417="","",YEAR($A417)*100+MONTH($A417))</f>
        <v/>
      </c>
      <c r="P417" s="79">
        <f>IF(OR($F417="",$D417=""),"",IF($D417="Receita",$F417,IF($D417="Transferência",0,-$F417)))</f>
        <v/>
      </c>
    </row>
    <row r="418">
      <c r="A418" s="73" t="n">
        <v>45981</v>
      </c>
      <c r="B418" s="74" t="inlineStr">
        <is>
          <t>Internet fibra</t>
        </is>
      </c>
      <c r="C418" s="74" t="inlineStr">
        <is>
          <t>Internet e celular</t>
        </is>
      </c>
      <c r="D418" s="75">
        <f>IF($C418="","",IFERROR(INDEX(CAT_TIPO,MATCH($C418,CAT_NOME,0)),"Sem categoria"))</f>
        <v/>
      </c>
      <c r="E418" s="75">
        <f>IF($C418="","",IFERROR(INDEX(CAT_GRUPO,MATCH($C418,CAT_NOME,0)),"Sem categoria"))</f>
        <v/>
      </c>
      <c r="F418" s="76" t="n">
        <v>119.9</v>
      </c>
      <c r="G418" s="74" t="inlineStr">
        <is>
          <t>Conta Nubank</t>
        </is>
      </c>
      <c r="H418" s="74" t="inlineStr">
        <is>
          <t>Débito automático</t>
        </is>
      </c>
      <c r="I418" s="74" t="n"/>
      <c r="J418" s="77" t="n"/>
      <c r="K418" s="77" t="n"/>
      <c r="L418" s="74" t="n"/>
      <c r="M418" s="74" t="n"/>
      <c r="O418" s="78">
        <f>IF($A418="","",YEAR($A418)*100+MONTH($A418))</f>
        <v/>
      </c>
      <c r="P418" s="79">
        <f>IF(OR($F418="",$D418=""),"",IF($D418="Receita",$F418,IF($D418="Transferência",0,-$F418)))</f>
        <v/>
      </c>
    </row>
    <row r="419">
      <c r="A419" s="73" t="n">
        <v>45981</v>
      </c>
      <c r="B419" s="74" t="inlineStr">
        <is>
          <t>Projeto freelance</t>
        </is>
      </c>
      <c r="C419" s="74" t="inlineStr">
        <is>
          <t>Renda extra e freelance</t>
        </is>
      </c>
      <c r="D419" s="75">
        <f>IF($C419="","",IFERROR(INDEX(CAT_TIPO,MATCH($C419,CAT_NOME,0)),"Sem categoria"))</f>
        <v/>
      </c>
      <c r="E419" s="75">
        <f>IF($C419="","",IFERROR(INDEX(CAT_GRUPO,MATCH($C419,CAT_NOME,0)),"Sem categoria"))</f>
        <v/>
      </c>
      <c r="F419" s="76" t="n">
        <v>520</v>
      </c>
      <c r="G419" s="74" t="inlineStr">
        <is>
          <t>Conta Nubank</t>
        </is>
      </c>
      <c r="H419" s="74" t="inlineStr">
        <is>
          <t>Pix</t>
        </is>
      </c>
      <c r="I419" s="74" t="n"/>
      <c r="J419" s="77" t="n"/>
      <c r="K419" s="77" t="n"/>
      <c r="L419" s="74" t="n"/>
      <c r="M419" s="74" t="n"/>
      <c r="O419" s="78">
        <f>IF($A419="","",YEAR($A419)*100+MONTH($A419))</f>
        <v/>
      </c>
      <c r="P419" s="79">
        <f>IF(OR($F419="",$D419=""),"",IF($D419="Receita",$F419,IF($D419="Transferência",0,-$F419)))</f>
        <v/>
      </c>
    </row>
    <row r="420">
      <c r="A420" s="73" t="n">
        <v>45982</v>
      </c>
      <c r="B420" s="74" t="inlineStr">
        <is>
          <t>Uber</t>
        </is>
      </c>
      <c r="C420" s="74" t="inlineStr">
        <is>
          <t>Transporte</t>
        </is>
      </c>
      <c r="D420" s="75">
        <f>IF($C420="","",IFERROR(INDEX(CAT_TIPO,MATCH($C420,CAT_NOME,0)),"Sem categoria"))</f>
        <v/>
      </c>
      <c r="E420" s="75">
        <f>IF($C420="","",IFERROR(INDEX(CAT_GRUPO,MATCH($C420,CAT_NOME,0)),"Sem categoria"))</f>
        <v/>
      </c>
      <c r="F420" s="76" t="n">
        <v>37.91</v>
      </c>
      <c r="G420" s="74" t="n"/>
      <c r="H420" s="74" t="inlineStr">
        <is>
          <t>Crédito</t>
        </is>
      </c>
      <c r="I420" s="74" t="inlineStr">
        <is>
          <t>Nubank Mastercard</t>
        </is>
      </c>
      <c r="J420" s="77" t="n"/>
      <c r="K420" s="77" t="n"/>
      <c r="L420" s="74" t="n"/>
      <c r="M420" s="74" t="n"/>
      <c r="O420" s="78">
        <f>IF($A420="","",YEAR($A420)*100+MONTH($A420))</f>
        <v/>
      </c>
      <c r="P420" s="79">
        <f>IF(OR($F420="",$D420=""),"",IF($D420="Receita",$F420,IF($D420="Transferência",0,-$F420)))</f>
        <v/>
      </c>
    </row>
    <row r="421">
      <c r="A421" s="73" t="n">
        <v>45983</v>
      </c>
      <c r="B421" s="74" t="inlineStr">
        <is>
          <t>Plano de celular</t>
        </is>
      </c>
      <c r="C421" s="74" t="inlineStr">
        <is>
          <t>Internet e celular</t>
        </is>
      </c>
      <c r="D421" s="75">
        <f>IF($C421="","",IFERROR(INDEX(CAT_TIPO,MATCH($C421,CAT_NOME,0)),"Sem categoria"))</f>
        <v/>
      </c>
      <c r="E421" s="75">
        <f>IF($C421="","",IFERROR(INDEX(CAT_GRUPO,MATCH($C421,CAT_NOME,0)),"Sem categoria"))</f>
        <v/>
      </c>
      <c r="F421" s="76" t="n">
        <v>59.9</v>
      </c>
      <c r="G421" s="74" t="inlineStr">
        <is>
          <t>Conta Nubank</t>
        </is>
      </c>
      <c r="H421" s="74" t="inlineStr">
        <is>
          <t>Débito automático</t>
        </is>
      </c>
      <c r="I421" s="74" t="n"/>
      <c r="J421" s="77" t="n"/>
      <c r="K421" s="77" t="n"/>
      <c r="L421" s="74" t="n"/>
      <c r="M421" s="74" t="n"/>
      <c r="O421" s="78">
        <f>IF($A421="","",YEAR($A421)*100+MONTH($A421))</f>
        <v/>
      </c>
      <c r="P421" s="79">
        <f>IF(OR($F421="",$D421=""),"",IF($D421="Receita",$F421,IF($D421="Transferência",0,-$F421)))</f>
        <v/>
      </c>
    </row>
    <row r="422">
      <c r="A422" s="73" t="n">
        <v>45984</v>
      </c>
      <c r="B422" s="74" t="inlineStr">
        <is>
          <t>Cinema e passeios</t>
        </is>
      </c>
      <c r="C422" s="74" t="inlineStr">
        <is>
          <t>Lazer e entretenimento</t>
        </is>
      </c>
      <c r="D422" s="75">
        <f>IF($C422="","",IFERROR(INDEX(CAT_TIPO,MATCH($C422,CAT_NOME,0)),"Sem categoria"))</f>
        <v/>
      </c>
      <c r="E422" s="75">
        <f>IF($C422="","",IFERROR(INDEX(CAT_GRUPO,MATCH($C422,CAT_NOME,0)),"Sem categoria"))</f>
        <v/>
      </c>
      <c r="F422" s="76" t="n">
        <v>50.74</v>
      </c>
      <c r="G422" s="74" t="n"/>
      <c r="H422" s="74" t="inlineStr">
        <is>
          <t>Crédito</t>
        </is>
      </c>
      <c r="I422" s="74" t="inlineStr">
        <is>
          <t>Itaú Visa</t>
        </is>
      </c>
      <c r="J422" s="77" t="n"/>
      <c r="K422" s="77" t="n"/>
      <c r="L422" s="74" t="n"/>
      <c r="M422" s="74" t="n"/>
      <c r="O422" s="78">
        <f>IF($A422="","",YEAR($A422)*100+MONTH($A422))</f>
        <v/>
      </c>
      <c r="P422" s="79">
        <f>IF(OR($F422="",$D422=""),"",IF($D422="Receita",$F422,IF($D422="Transferência",0,-$F422)))</f>
        <v/>
      </c>
    </row>
    <row r="423">
      <c r="A423" s="73" t="n">
        <v>45985</v>
      </c>
      <c r="B423" s="74" t="inlineStr">
        <is>
          <t>Supermercado</t>
        </is>
      </c>
      <c r="C423" s="74" t="inlineStr">
        <is>
          <t>Mercado</t>
        </is>
      </c>
      <c r="D423" s="75">
        <f>IF($C423="","",IFERROR(INDEX(CAT_TIPO,MATCH($C423,CAT_NOME,0)),"Sem categoria"))</f>
        <v/>
      </c>
      <c r="E423" s="75">
        <f>IF($C423="","",IFERROR(INDEX(CAT_GRUPO,MATCH($C423,CAT_NOME,0)),"Sem categoria"))</f>
        <v/>
      </c>
      <c r="F423" s="76" t="n">
        <v>156.05</v>
      </c>
      <c r="G423" s="74" t="inlineStr">
        <is>
          <t>Conta Nubank</t>
        </is>
      </c>
      <c r="H423" s="74" t="inlineStr">
        <is>
          <t>Débito</t>
        </is>
      </c>
      <c r="I423" s="74" t="n"/>
      <c r="J423" s="77" t="n"/>
      <c r="K423" s="77" t="n"/>
      <c r="L423" s="74" t="n"/>
      <c r="M423" s="74" t="n"/>
      <c r="O423" s="78">
        <f>IF($A423="","",YEAR($A423)*100+MONTH($A423))</f>
        <v/>
      </c>
      <c r="P423" s="79">
        <f>IF(OR($F423="",$D423=""),"",IF($D423="Receita",$F423,IF($D423="Transferência",0,-$F423)))</f>
        <v/>
      </c>
    </row>
    <row r="424">
      <c r="A424" s="73" t="n">
        <v>45987</v>
      </c>
      <c r="B424" s="74" t="inlineStr">
        <is>
          <t>Combustível</t>
        </is>
      </c>
      <c r="C424" s="74" t="inlineStr">
        <is>
          <t>Transporte</t>
        </is>
      </c>
      <c r="D424" s="75">
        <f>IF($C424="","",IFERROR(INDEX(CAT_TIPO,MATCH($C424,CAT_NOME,0)),"Sem categoria"))</f>
        <v/>
      </c>
      <c r="E424" s="75">
        <f>IF($C424="","",IFERROR(INDEX(CAT_GRUPO,MATCH($C424,CAT_NOME,0)),"Sem categoria"))</f>
        <v/>
      </c>
      <c r="F424" s="76" t="n">
        <v>115.16</v>
      </c>
      <c r="G424" s="74" t="n"/>
      <c r="H424" s="74" t="inlineStr">
        <is>
          <t>Crédito</t>
        </is>
      </c>
      <c r="I424" s="74" t="inlineStr">
        <is>
          <t>Itaú Visa</t>
        </is>
      </c>
      <c r="J424" s="77" t="n"/>
      <c r="K424" s="77" t="n"/>
      <c r="L424" s="74" t="n"/>
      <c r="M424" s="74" t="n"/>
      <c r="O424" s="78">
        <f>IF($A424="","",YEAR($A424)*100+MONTH($A424))</f>
        <v/>
      </c>
      <c r="P424" s="79">
        <f>IF(OR($F424="",$D424=""),"",IF($D424="Receita",$F424,IF($D424="Transferência",0,-$F424)))</f>
        <v/>
      </c>
    </row>
    <row r="425">
      <c r="A425" s="73" t="n">
        <v>45988</v>
      </c>
      <c r="B425" s="74" t="inlineStr">
        <is>
          <t>Almoço de domingo</t>
        </is>
      </c>
      <c r="C425" s="74" t="inlineStr">
        <is>
          <t>Restaurantes e delivery</t>
        </is>
      </c>
      <c r="D425" s="75">
        <f>IF($C425="","",IFERROR(INDEX(CAT_TIPO,MATCH($C425,CAT_NOME,0)),"Sem categoria"))</f>
        <v/>
      </c>
      <c r="E425" s="75">
        <f>IF($C425="","",IFERROR(INDEX(CAT_GRUPO,MATCH($C425,CAT_NOME,0)),"Sem categoria"))</f>
        <v/>
      </c>
      <c r="F425" s="76" t="n">
        <v>63.89</v>
      </c>
      <c r="G425" s="74" t="n"/>
      <c r="H425" s="74" t="inlineStr">
        <is>
          <t>Crédito</t>
        </is>
      </c>
      <c r="I425" s="74" t="inlineStr">
        <is>
          <t>Nubank Mastercard</t>
        </is>
      </c>
      <c r="J425" s="77" t="n"/>
      <c r="K425" s="77" t="n"/>
      <c r="L425" s="74" t="n"/>
      <c r="M425" s="74" t="n"/>
      <c r="O425" s="78">
        <f>IF($A425="","",YEAR($A425)*100+MONTH($A425))</f>
        <v/>
      </c>
      <c r="P425" s="79">
        <f>IF(OR($F425="",$D425=""),"",IF($D425="Receita",$F425,IF($D425="Transferência",0,-$F425)))</f>
        <v/>
      </c>
    </row>
    <row r="426">
      <c r="A426" s="73" t="n">
        <v>45989</v>
      </c>
      <c r="B426" s="74" t="inlineStr">
        <is>
          <t>13º salário (1ª parcela)</t>
        </is>
      </c>
      <c r="C426" s="74" t="inlineStr">
        <is>
          <t>13º e férias</t>
        </is>
      </c>
      <c r="D426" s="75">
        <f>IF($C426="","",IFERROR(INDEX(CAT_TIPO,MATCH($C426,CAT_NOME,0)),"Sem categoria"))</f>
        <v/>
      </c>
      <c r="E426" s="75">
        <f>IF($C426="","",IFERROR(INDEX(CAT_GRUPO,MATCH($C426,CAT_NOME,0)),"Sem categoria"))</f>
        <v/>
      </c>
      <c r="F426" s="76" t="n">
        <v>2600</v>
      </c>
      <c r="G426" s="74" t="inlineStr">
        <is>
          <t>Conta Nubank</t>
        </is>
      </c>
      <c r="H426" s="74" t="inlineStr">
        <is>
          <t>Transferência</t>
        </is>
      </c>
      <c r="I426" s="74" t="n"/>
      <c r="J426" s="77" t="n"/>
      <c r="K426" s="77" t="n"/>
      <c r="L426" s="74" t="n"/>
      <c r="M426" s="74" t="n"/>
      <c r="O426" s="78">
        <f>IF($A426="","",YEAR($A426)*100+MONTH($A426))</f>
        <v/>
      </c>
      <c r="P426" s="79">
        <f>IF(OR($F426="",$D426=""),"",IF($D426="Receita",$F426,IF($D426="Transferência",0,-$F426)))</f>
        <v/>
      </c>
    </row>
    <row r="427">
      <c r="A427" s="73" t="n">
        <v>45989</v>
      </c>
      <c r="B427" s="74" t="inlineStr">
        <is>
          <t>Aporte em renda fixa</t>
        </is>
      </c>
      <c r="C427" s="74" t="inlineStr">
        <is>
          <t>Investimentos</t>
        </is>
      </c>
      <c r="D427" s="75">
        <f>IF($C427="","",IFERROR(INDEX(CAT_TIPO,MATCH($C427,CAT_NOME,0)),"Sem categoria"))</f>
        <v/>
      </c>
      <c r="E427" s="75">
        <f>IF($C427="","",IFERROR(INDEX(CAT_GRUPO,MATCH($C427,CAT_NOME,0)),"Sem categoria"))</f>
        <v/>
      </c>
      <c r="F427" s="76" t="n">
        <v>250</v>
      </c>
      <c r="G427" s="74" t="inlineStr">
        <is>
          <t>Conta Nubank</t>
        </is>
      </c>
      <c r="H427" s="74" t="inlineStr">
        <is>
          <t>Transferência</t>
        </is>
      </c>
      <c r="I427" s="74" t="n"/>
      <c r="J427" s="77" t="n"/>
      <c r="K427" s="77" t="n"/>
      <c r="L427" s="74" t="inlineStr">
        <is>
          <t>Corretora</t>
        </is>
      </c>
      <c r="M427" s="74" t="n"/>
      <c r="O427" s="78">
        <f>IF($A427="","",YEAR($A427)*100+MONTH($A427))</f>
        <v/>
      </c>
      <c r="P427" s="79">
        <f>IF(OR($F427="",$D427=""),"",IF($D427="Receita",$F427,IF($D427="Transferência",0,-$F427)))</f>
        <v/>
      </c>
    </row>
    <row r="428">
      <c r="A428" s="73" t="n">
        <v>45989</v>
      </c>
      <c r="B428" s="74" t="inlineStr">
        <is>
          <t>Black Friday: tênis</t>
        </is>
      </c>
      <c r="C428" s="74" t="inlineStr">
        <is>
          <t>Compras pessoais</t>
        </is>
      </c>
      <c r="D428" s="75">
        <f>IF($C428="","",IFERROR(INDEX(CAT_TIPO,MATCH($C428,CAT_NOME,0)),"Sem categoria"))</f>
        <v/>
      </c>
      <c r="E428" s="75">
        <f>IF($C428="","",IFERROR(INDEX(CAT_GRUPO,MATCH($C428,CAT_NOME,0)),"Sem categoria"))</f>
        <v/>
      </c>
      <c r="F428" s="76" t="n">
        <v>489</v>
      </c>
      <c r="G428" s="74" t="n"/>
      <c r="H428" s="74" t="inlineStr">
        <is>
          <t>Crédito</t>
        </is>
      </c>
      <c r="I428" s="74" t="inlineStr">
        <is>
          <t>Nubank Mastercard</t>
        </is>
      </c>
      <c r="J428" s="77" t="n"/>
      <c r="K428" s="77" t="n"/>
      <c r="L428" s="74" t="n"/>
      <c r="M428" s="74" t="n"/>
      <c r="O428" s="78">
        <f>IF($A428="","",YEAR($A428)*100+MONTH($A428))</f>
        <v/>
      </c>
      <c r="P428" s="79">
        <f>IF(OR($F428="",$D428=""),"",IF($D428="Receita",$F428,IF($D428="Transferência",0,-$F428)))</f>
        <v/>
      </c>
    </row>
    <row r="429">
      <c r="A429" s="73" t="n">
        <v>45989</v>
      </c>
      <c r="B429" s="74" t="inlineStr">
        <is>
          <t>Cofrinho da viagem</t>
        </is>
      </c>
      <c r="C429" s="74" t="inlineStr">
        <is>
          <t>Metas e sonhos</t>
        </is>
      </c>
      <c r="D429" s="75">
        <f>IF($C429="","",IFERROR(INDEX(CAT_TIPO,MATCH($C429,CAT_NOME,0)),"Sem categoria"))</f>
        <v/>
      </c>
      <c r="E429" s="75">
        <f>IF($C429="","",IFERROR(INDEX(CAT_GRUPO,MATCH($C429,CAT_NOME,0)),"Sem categoria"))</f>
        <v/>
      </c>
      <c r="F429" s="76" t="n">
        <v>150</v>
      </c>
      <c r="G429" s="74" t="inlineStr">
        <is>
          <t>Conta Nubank</t>
        </is>
      </c>
      <c r="H429" s="74" t="inlineStr">
        <is>
          <t>Transferência</t>
        </is>
      </c>
      <c r="I429" s="74" t="n"/>
      <c r="J429" s="77" t="n"/>
      <c r="K429" s="77" t="n"/>
      <c r="L429" s="74" t="inlineStr">
        <is>
          <t>Cofrinho viagem</t>
        </is>
      </c>
      <c r="M429" s="74" t="n"/>
      <c r="O429" s="78">
        <f>IF($A429="","",YEAR($A429)*100+MONTH($A429))</f>
        <v/>
      </c>
      <c r="P429" s="79">
        <f>IF(OR($F429="",$D429=""),"",IF($D429="Receita",$F429,IF($D429="Transferência",0,-$F429)))</f>
        <v/>
      </c>
    </row>
    <row r="430">
      <c r="A430" s="73" t="n">
        <v>45989</v>
      </c>
      <c r="B430" s="74" t="inlineStr">
        <is>
          <t>Rendimento da renda fixa</t>
        </is>
      </c>
      <c r="C430" s="74" t="inlineStr">
        <is>
          <t>Rendimentos de investimentos</t>
        </is>
      </c>
      <c r="D430" s="75">
        <f>IF($C430="","",IFERROR(INDEX(CAT_TIPO,MATCH($C430,CAT_NOME,0)),"Sem categoria"))</f>
        <v/>
      </c>
      <c r="E430" s="75">
        <f>IF($C430="","",IFERROR(INDEX(CAT_GRUPO,MATCH($C430,CAT_NOME,0)),"Sem categoria"))</f>
        <v/>
      </c>
      <c r="F430" s="76" t="n">
        <v>92.41</v>
      </c>
      <c r="G430" s="74" t="inlineStr">
        <is>
          <t>Corretora</t>
        </is>
      </c>
      <c r="H430" s="74" t="inlineStr">
        <is>
          <t>Transferência</t>
        </is>
      </c>
      <c r="I430" s="74" t="n"/>
      <c r="J430" s="77" t="n"/>
      <c r="K430" s="77" t="n"/>
      <c r="L430" s="74" t="n"/>
      <c r="M430" s="74" t="n"/>
      <c r="O430" s="78">
        <f>IF($A430="","",YEAR($A430)*100+MONTH($A430))</f>
        <v/>
      </c>
      <c r="P430" s="79">
        <f>IF(OR($F430="",$D430=""),"",IF($D430="Receita",$F430,IF($D430="Transferência",0,-$F430)))</f>
        <v/>
      </c>
    </row>
    <row r="431">
      <c r="A431" s="73" t="n">
        <v>45989</v>
      </c>
      <c r="B431" s="74" t="inlineStr">
        <is>
          <t>Reserva de emergência</t>
        </is>
      </c>
      <c r="C431" s="74" t="inlineStr">
        <is>
          <t>Reserva de emergência</t>
        </is>
      </c>
      <c r="D431" s="75">
        <f>IF($C431="","",IFERROR(INDEX(CAT_TIPO,MATCH($C431,CAT_NOME,0)),"Sem categoria"))</f>
        <v/>
      </c>
      <c r="E431" s="75">
        <f>IF($C431="","",IFERROR(INDEX(CAT_GRUPO,MATCH($C431,CAT_NOME,0)),"Sem categoria"))</f>
        <v/>
      </c>
      <c r="F431" s="76" t="n">
        <v>400</v>
      </c>
      <c r="G431" s="74" t="inlineStr">
        <is>
          <t>Conta Nubank</t>
        </is>
      </c>
      <c r="H431" s="74" t="inlineStr">
        <is>
          <t>Transferência</t>
        </is>
      </c>
      <c r="I431" s="74" t="n"/>
      <c r="J431" s="77" t="n"/>
      <c r="K431" s="77" t="n"/>
      <c r="L431" s="74" t="inlineStr">
        <is>
          <t>Poupança Caixa</t>
        </is>
      </c>
      <c r="M431" s="74" t="n"/>
      <c r="O431" s="78">
        <f>IF($A431="","",YEAR($A431)*100+MONTH($A431))</f>
        <v/>
      </c>
      <c r="P431" s="79">
        <f>IF(OR($F431="",$D431=""),"",IF($D431="Receita",$F431,IF($D431="Transferência",0,-$F431)))</f>
        <v/>
      </c>
    </row>
    <row r="432">
      <c r="A432" s="73" t="n">
        <v>45994</v>
      </c>
      <c r="B432" s="74" t="inlineStr">
        <is>
          <t>Netflix</t>
        </is>
      </c>
      <c r="C432" s="74" t="inlineStr">
        <is>
          <t>Assinaturas e streaming</t>
        </is>
      </c>
      <c r="D432" s="75">
        <f>IF($C432="","",IFERROR(INDEX(CAT_TIPO,MATCH($C432,CAT_NOME,0)),"Sem categoria"))</f>
        <v/>
      </c>
      <c r="E432" s="75">
        <f>IF($C432="","",IFERROR(INDEX(CAT_GRUPO,MATCH($C432,CAT_NOME,0)),"Sem categoria"))</f>
        <v/>
      </c>
      <c r="F432" s="76" t="n">
        <v>55.9</v>
      </c>
      <c r="G432" s="74" t="n"/>
      <c r="H432" s="74" t="inlineStr">
        <is>
          <t>Crédito</t>
        </is>
      </c>
      <c r="I432" s="74" t="inlineStr">
        <is>
          <t>Nubank Mastercard</t>
        </is>
      </c>
      <c r="J432" s="77" t="n"/>
      <c r="K432" s="77" t="n"/>
      <c r="L432" s="74" t="n"/>
      <c r="M432" s="74" t="n"/>
      <c r="O432" s="78">
        <f>IF($A432="","",YEAR($A432)*100+MONTH($A432))</f>
        <v/>
      </c>
      <c r="P432" s="79">
        <f>IF(OR($F432="",$D432=""),"",IF($D432="Receita",$F432,IF($D432="Transferência",0,-$F432)))</f>
        <v/>
      </c>
    </row>
    <row r="433">
      <c r="A433" s="73" t="n">
        <v>45994</v>
      </c>
      <c r="B433" s="74" t="inlineStr">
        <is>
          <t>Supermercado</t>
        </is>
      </c>
      <c r="C433" s="74" t="inlineStr">
        <is>
          <t>Mercado</t>
        </is>
      </c>
      <c r="D433" s="75">
        <f>IF($C433="","",IFERROR(INDEX(CAT_TIPO,MATCH($C433,CAT_NOME,0)),"Sem categoria"))</f>
        <v/>
      </c>
      <c r="E433" s="75">
        <f>IF($C433="","",IFERROR(INDEX(CAT_GRUPO,MATCH($C433,CAT_NOME,0)),"Sem categoria"))</f>
        <v/>
      </c>
      <c r="F433" s="76" t="n">
        <v>211.54</v>
      </c>
      <c r="G433" s="74" t="inlineStr">
        <is>
          <t>Conta Nubank</t>
        </is>
      </c>
      <c r="H433" s="74" t="inlineStr">
        <is>
          <t>Débito</t>
        </is>
      </c>
      <c r="I433" s="74" t="n"/>
      <c r="J433" s="77" t="n"/>
      <c r="K433" s="77" t="n"/>
      <c r="L433" s="74" t="n"/>
      <c r="M433" s="74" t="n"/>
      <c r="O433" s="78">
        <f>IF($A433="","",YEAR($A433)*100+MONTH($A433))</f>
        <v/>
      </c>
      <c r="P433" s="79">
        <f>IF(OR($F433="",$D433=""),"",IF($D433="Receita",$F433,IF($D433="Transferência",0,-$F433)))</f>
        <v/>
      </c>
    </row>
    <row r="434">
      <c r="A434" s="73" t="n">
        <v>45995</v>
      </c>
      <c r="B434" s="74" t="inlineStr">
        <is>
          <t>Spotify</t>
        </is>
      </c>
      <c r="C434" s="74" t="inlineStr">
        <is>
          <t>Assinaturas e streaming</t>
        </is>
      </c>
      <c r="D434" s="75">
        <f>IF($C434="","",IFERROR(INDEX(CAT_TIPO,MATCH($C434,CAT_NOME,0)),"Sem categoria"))</f>
        <v/>
      </c>
      <c r="E434" s="75">
        <f>IF($C434="","",IFERROR(INDEX(CAT_GRUPO,MATCH($C434,CAT_NOME,0)),"Sem categoria"))</f>
        <v/>
      </c>
      <c r="F434" s="76" t="n">
        <v>23.9</v>
      </c>
      <c r="G434" s="74" t="n"/>
      <c r="H434" s="74" t="inlineStr">
        <is>
          <t>Crédito</t>
        </is>
      </c>
      <c r="I434" s="74" t="inlineStr">
        <is>
          <t>Nubank Mastercard</t>
        </is>
      </c>
      <c r="J434" s="77" t="n"/>
      <c r="K434" s="77" t="n"/>
      <c r="L434" s="74" t="n"/>
      <c r="M434" s="74" t="n"/>
      <c r="O434" s="78">
        <f>IF($A434="","",YEAR($A434)*100+MONTH($A434))</f>
        <v/>
      </c>
      <c r="P434" s="79">
        <f>IF(OR($F434="",$D434=""),"",IF($D434="Receita",$F434,IF($D434="Transferência",0,-$F434)))</f>
        <v/>
      </c>
    </row>
    <row r="435">
      <c r="A435" s="73" t="n">
        <v>45996</v>
      </c>
      <c r="B435" s="74" t="inlineStr">
        <is>
          <t>Academia</t>
        </is>
      </c>
      <c r="C435" s="74" t="inlineStr">
        <is>
          <t>Assinaturas e streaming</t>
        </is>
      </c>
      <c r="D435" s="75">
        <f>IF($C435="","",IFERROR(INDEX(CAT_TIPO,MATCH($C435,CAT_NOME,0)),"Sem categoria"))</f>
        <v/>
      </c>
      <c r="E435" s="75">
        <f>IF($C435="","",IFERROR(INDEX(CAT_GRUPO,MATCH($C435,CAT_NOME,0)),"Sem categoria"))</f>
        <v/>
      </c>
      <c r="F435" s="76" t="n">
        <v>119.9</v>
      </c>
      <c r="G435" s="74" t="n"/>
      <c r="H435" s="74" t="inlineStr">
        <is>
          <t>Crédito</t>
        </is>
      </c>
      <c r="I435" s="74" t="inlineStr">
        <is>
          <t>Nubank Mastercard</t>
        </is>
      </c>
      <c r="J435" s="77" t="n"/>
      <c r="K435" s="77" t="n"/>
      <c r="L435" s="74" t="n"/>
      <c r="M435" s="74" t="n"/>
      <c r="O435" s="78">
        <f>IF($A435="","",YEAR($A435)*100+MONTH($A435))</f>
        <v/>
      </c>
      <c r="P435" s="79">
        <f>IF(OR($F435="",$D435=""),"",IF($D435="Receita",$F435,IF($D435="Transferência",0,-$F435)))</f>
        <v/>
      </c>
    </row>
    <row r="436">
      <c r="A436" s="73" t="n">
        <v>45996</v>
      </c>
      <c r="B436" s="74" t="inlineStr">
        <is>
          <t>Pagamento da fatura Nubank Mastercard</t>
        </is>
      </c>
      <c r="C436" s="74" t="inlineStr">
        <is>
          <t>Pagamento de fatura</t>
        </is>
      </c>
      <c r="D436" s="75">
        <f>IF($C436="","",IFERROR(INDEX(CAT_TIPO,MATCH($C436,CAT_NOME,0)),"Sem categoria"))</f>
        <v/>
      </c>
      <c r="E436" s="75">
        <f>IF($C436="","",IFERROR(INDEX(CAT_GRUPO,MATCH($C436,CAT_NOME,0)),"Sem categoria"))</f>
        <v/>
      </c>
      <c r="F436" s="76" t="n">
        <v>1257.28</v>
      </c>
      <c r="G436" s="74" t="inlineStr">
        <is>
          <t>Conta Nubank</t>
        </is>
      </c>
      <c r="H436" s="74" t="inlineStr">
        <is>
          <t>Boleto</t>
        </is>
      </c>
      <c r="I436" s="74" t="inlineStr">
        <is>
          <t>Nubank Mastercard</t>
        </is>
      </c>
      <c r="J436" s="77" t="n"/>
      <c r="K436" s="77" t="n"/>
      <c r="L436" s="74" t="n"/>
      <c r="M436" s="74" t="n"/>
      <c r="O436" s="78">
        <f>IF($A436="","",YEAR($A436)*100+MONTH($A436))</f>
        <v/>
      </c>
      <c r="P436" s="79">
        <f>IF(OR($F436="",$D436=""),"",IF($D436="Receita",$F436,IF($D436="Transferência",0,-$F436)))</f>
        <v/>
      </c>
    </row>
    <row r="437">
      <c r="A437" s="73" t="n">
        <v>45996</v>
      </c>
      <c r="B437" s="74" t="inlineStr">
        <is>
          <t>Salário</t>
        </is>
      </c>
      <c r="C437" s="74" t="inlineStr">
        <is>
          <t>Salário</t>
        </is>
      </c>
      <c r="D437" s="75">
        <f>IF($C437="","",IFERROR(INDEX(CAT_TIPO,MATCH($C437,CAT_NOME,0)),"Sem categoria"))</f>
        <v/>
      </c>
      <c r="E437" s="75">
        <f>IF($C437="","",IFERROR(INDEX(CAT_GRUPO,MATCH($C437,CAT_NOME,0)),"Sem categoria"))</f>
        <v/>
      </c>
      <c r="F437" s="76" t="n">
        <v>5600</v>
      </c>
      <c r="G437" s="74" t="inlineStr">
        <is>
          <t>Conta Nubank</t>
        </is>
      </c>
      <c r="H437" s="74" t="inlineStr">
        <is>
          <t>Transferência</t>
        </is>
      </c>
      <c r="I437" s="74" t="n"/>
      <c r="J437" s="77" t="n"/>
      <c r="K437" s="77" t="n"/>
      <c r="L437" s="74" t="n"/>
      <c r="M437" s="74" t="n"/>
      <c r="O437" s="78">
        <f>IF($A437="","",YEAR($A437)*100+MONTH($A437))</f>
        <v/>
      </c>
      <c r="P437" s="79">
        <f>IF(OR($F437="",$D437=""),"",IF($D437="Receita",$F437,IF($D437="Transferência",0,-$F437)))</f>
        <v/>
      </c>
    </row>
    <row r="438">
      <c r="A438" s="73" t="n">
        <v>45997</v>
      </c>
      <c r="B438" s="74" t="inlineStr">
        <is>
          <t>Plano de saúde</t>
        </is>
      </c>
      <c r="C438" s="74" t="inlineStr">
        <is>
          <t>Saúde e farmácia</t>
        </is>
      </c>
      <c r="D438" s="75">
        <f>IF($C438="","",IFERROR(INDEX(CAT_TIPO,MATCH($C438,CAT_NOME,0)),"Sem categoria"))</f>
        <v/>
      </c>
      <c r="E438" s="75">
        <f>IF($C438="","",IFERROR(INDEX(CAT_GRUPO,MATCH($C438,CAT_NOME,0)),"Sem categoria"))</f>
        <v/>
      </c>
      <c r="F438" s="76" t="n">
        <v>290</v>
      </c>
      <c r="G438" s="74" t="inlineStr">
        <is>
          <t>Conta Nubank</t>
        </is>
      </c>
      <c r="H438" s="74" t="inlineStr">
        <is>
          <t>Débito automático</t>
        </is>
      </c>
      <c r="I438" s="74" t="n"/>
      <c r="J438" s="77" t="n"/>
      <c r="K438" s="77" t="n"/>
      <c r="L438" s="74" t="n"/>
      <c r="M438" s="74" t="n"/>
      <c r="O438" s="78">
        <f>IF($A438="","",YEAR($A438)*100+MONTH($A438))</f>
        <v/>
      </c>
      <c r="P438" s="79">
        <f>IF(OR($F438="",$D438=""),"",IF($D438="Receita",$F438,IF($D438="Transferência",0,-$F438)))</f>
        <v/>
      </c>
    </row>
    <row r="439">
      <c r="A439" s="73" t="n">
        <v>45998</v>
      </c>
      <c r="B439" s="74" t="inlineStr">
        <is>
          <t>Combustível</t>
        </is>
      </c>
      <c r="C439" s="74" t="inlineStr">
        <is>
          <t>Transporte</t>
        </is>
      </c>
      <c r="D439" s="75">
        <f>IF($C439="","",IFERROR(INDEX(CAT_TIPO,MATCH($C439,CAT_NOME,0)),"Sem categoria"))</f>
        <v/>
      </c>
      <c r="E439" s="75">
        <f>IF($C439="","",IFERROR(INDEX(CAT_GRUPO,MATCH($C439,CAT_NOME,0)),"Sem categoria"))</f>
        <v/>
      </c>
      <c r="F439" s="76" t="n">
        <v>123.6</v>
      </c>
      <c r="G439" s="74" t="n"/>
      <c r="H439" s="74" t="inlineStr">
        <is>
          <t>Crédito</t>
        </is>
      </c>
      <c r="I439" s="74" t="inlineStr">
        <is>
          <t>Itaú Visa</t>
        </is>
      </c>
      <c r="J439" s="77" t="n"/>
      <c r="K439" s="77" t="n"/>
      <c r="L439" s="74" t="n"/>
      <c r="M439" s="74" t="n"/>
      <c r="O439" s="78">
        <f>IF($A439="","",YEAR($A439)*100+MONTH($A439))</f>
        <v/>
      </c>
      <c r="P439" s="79">
        <f>IF(OR($F439="",$D439=""),"",IF($D439="Receita",$F439,IF($D439="Transferência",0,-$F439)))</f>
        <v/>
      </c>
    </row>
    <row r="440">
      <c r="A440" s="73" t="n">
        <v>45999</v>
      </c>
      <c r="B440" s="74" t="inlineStr">
        <is>
          <t>Aluguel</t>
        </is>
      </c>
      <c r="C440" s="74" t="inlineStr">
        <is>
          <t>Moradia (aluguel ou financiamento)</t>
        </is>
      </c>
      <c r="D440" s="75">
        <f>IF($C440="","",IFERROR(INDEX(CAT_TIPO,MATCH($C440,CAT_NOME,0)),"Sem categoria"))</f>
        <v/>
      </c>
      <c r="E440" s="75">
        <f>IF($C440="","",IFERROR(INDEX(CAT_GRUPO,MATCH($C440,CAT_NOME,0)),"Sem categoria"))</f>
        <v/>
      </c>
      <c r="F440" s="76" t="n">
        <v>1200</v>
      </c>
      <c r="G440" s="74" t="inlineStr">
        <is>
          <t>Conta Nubank</t>
        </is>
      </c>
      <c r="H440" s="74" t="inlineStr">
        <is>
          <t>Boleto</t>
        </is>
      </c>
      <c r="I440" s="74" t="n"/>
      <c r="J440" s="77" t="n"/>
      <c r="K440" s="77" t="n"/>
      <c r="L440" s="74" t="n"/>
      <c r="M440" s="74" t="n"/>
      <c r="O440" s="78">
        <f>IF($A440="","",YEAR($A440)*100+MONTH($A440))</f>
        <v/>
      </c>
      <c r="P440" s="79">
        <f>IF(OR($F440="",$D440=""),"",IF($D440="Receita",$F440,IF($D440="Transferência",0,-$F440)))</f>
        <v/>
      </c>
    </row>
    <row r="441">
      <c r="A441" s="73" t="n">
        <v>46000</v>
      </c>
      <c r="B441" s="74" t="inlineStr">
        <is>
          <t>Farmácia</t>
        </is>
      </c>
      <c r="C441" s="74" t="inlineStr">
        <is>
          <t>Saúde e farmácia</t>
        </is>
      </c>
      <c r="D441" s="75">
        <f>IF($C441="","",IFERROR(INDEX(CAT_TIPO,MATCH($C441,CAT_NOME,0)),"Sem categoria"))</f>
        <v/>
      </c>
      <c r="E441" s="75">
        <f>IF($C441="","",IFERROR(INDEX(CAT_GRUPO,MATCH($C441,CAT_NOME,0)),"Sem categoria"))</f>
        <v/>
      </c>
      <c r="F441" s="76" t="n">
        <v>64.31999999999999</v>
      </c>
      <c r="G441" s="74" t="n"/>
      <c r="H441" s="74" t="inlineStr">
        <is>
          <t>Crédito</t>
        </is>
      </c>
      <c r="I441" s="74" t="inlineStr">
        <is>
          <t>Itaú Visa</t>
        </is>
      </c>
      <c r="J441" s="77" t="n"/>
      <c r="K441" s="77" t="n"/>
      <c r="L441" s="74" t="n"/>
      <c r="M441" s="74" t="n"/>
      <c r="O441" s="78">
        <f>IF($A441="","",YEAR($A441)*100+MONTH($A441))</f>
        <v/>
      </c>
      <c r="P441" s="79">
        <f>IF(OR($F441="",$D441=""),"",IF($D441="Receita",$F441,IF($D441="Transferência",0,-$F441)))</f>
        <v/>
      </c>
    </row>
    <row r="442">
      <c r="A442" s="73" t="n">
        <v>46001</v>
      </c>
      <c r="B442" s="74" t="inlineStr">
        <is>
          <t>Ceia e presentes de Natal</t>
        </is>
      </c>
      <c r="C442" s="74" t="inlineStr">
        <is>
          <t>Presentes e doações</t>
        </is>
      </c>
      <c r="D442" s="75">
        <f>IF($C442="","",IFERROR(INDEX(CAT_TIPO,MATCH($C442,CAT_NOME,0)),"Sem categoria"))</f>
        <v/>
      </c>
      <c r="E442" s="75">
        <f>IF($C442="","",IFERROR(INDEX(CAT_GRUPO,MATCH($C442,CAT_NOME,0)),"Sem categoria"))</f>
        <v/>
      </c>
      <c r="F442" s="76" t="n">
        <v>540</v>
      </c>
      <c r="G442" s="74" t="n"/>
      <c r="H442" s="74" t="inlineStr">
        <is>
          <t>Crédito</t>
        </is>
      </c>
      <c r="I442" s="74" t="inlineStr">
        <is>
          <t>Itaú Visa</t>
        </is>
      </c>
      <c r="J442" s="77" t="n"/>
      <c r="K442" s="77" t="n"/>
      <c r="L442" s="74" t="n"/>
      <c r="M442" s="74" t="n"/>
      <c r="O442" s="78">
        <f>IF($A442="","",YEAR($A442)*100+MONTH($A442))</f>
        <v/>
      </c>
      <c r="P442" s="79">
        <f>IF(OR($F442="",$D442=""),"",IF($D442="Receita",$F442,IF($D442="Transferência",0,-$F442)))</f>
        <v/>
      </c>
    </row>
    <row r="443">
      <c r="A443" s="73" t="n">
        <v>46001</v>
      </c>
      <c r="B443" s="74" t="inlineStr">
        <is>
          <t>Condomínio</t>
        </is>
      </c>
      <c r="C443" s="74" t="inlineStr">
        <is>
          <t>Condomínio e IPTU</t>
        </is>
      </c>
      <c r="D443" s="75">
        <f>IF($C443="","",IFERROR(INDEX(CAT_TIPO,MATCH($C443,CAT_NOME,0)),"Sem categoria"))</f>
        <v/>
      </c>
      <c r="E443" s="75">
        <f>IF($C443="","",IFERROR(INDEX(CAT_GRUPO,MATCH($C443,CAT_NOME,0)),"Sem categoria"))</f>
        <v/>
      </c>
      <c r="F443" s="76" t="n">
        <v>300</v>
      </c>
      <c r="G443" s="74" t="inlineStr">
        <is>
          <t>Conta Nubank</t>
        </is>
      </c>
      <c r="H443" s="74" t="inlineStr">
        <is>
          <t>Boleto</t>
        </is>
      </c>
      <c r="I443" s="74" t="n"/>
      <c r="J443" s="77" t="n"/>
      <c r="K443" s="77" t="n"/>
      <c r="L443" s="74" t="n"/>
      <c r="M443" s="74" t="n"/>
      <c r="O443" s="78">
        <f>IF($A443="","",YEAR($A443)*100+MONTH($A443))</f>
        <v/>
      </c>
      <c r="P443" s="79">
        <f>IF(OR($F443="",$D443=""),"",IF($D443="Receita",$F443,IF($D443="Transferência",0,-$F443)))</f>
        <v/>
      </c>
    </row>
    <row r="444">
      <c r="A444" s="73" t="n">
        <v>46001</v>
      </c>
      <c r="B444" s="74" t="inlineStr">
        <is>
          <t>Supermercado</t>
        </is>
      </c>
      <c r="C444" s="74" t="inlineStr">
        <is>
          <t>Mercado</t>
        </is>
      </c>
      <c r="D444" s="75">
        <f>IF($C444="","",IFERROR(INDEX(CAT_TIPO,MATCH($C444,CAT_NOME,0)),"Sem categoria"))</f>
        <v/>
      </c>
      <c r="E444" s="75">
        <f>IF($C444="","",IFERROR(INDEX(CAT_GRUPO,MATCH($C444,CAT_NOME,0)),"Sem categoria"))</f>
        <v/>
      </c>
      <c r="F444" s="76" t="n">
        <v>176.38</v>
      </c>
      <c r="G444" s="74" t="inlineStr">
        <is>
          <t>Conta Nubank</t>
        </is>
      </c>
      <c r="H444" s="74" t="inlineStr">
        <is>
          <t>Débito</t>
        </is>
      </c>
      <c r="I444" s="74" t="n"/>
      <c r="J444" s="77" t="n"/>
      <c r="K444" s="77" t="n"/>
      <c r="L444" s="74" t="n"/>
      <c r="M444" s="74" t="n"/>
      <c r="O444" s="78">
        <f>IF($A444="","",YEAR($A444)*100+MONTH($A444))</f>
        <v/>
      </c>
      <c r="P444" s="79">
        <f>IF(OR($F444="",$D444=""),"",IF($D444="Receita",$F444,IF($D444="Transferência",0,-$F444)))</f>
        <v/>
      </c>
    </row>
    <row r="445">
      <c r="A445" s="73" t="n">
        <v>46002</v>
      </c>
      <c r="B445" s="74" t="inlineStr">
        <is>
          <t>Uber</t>
        </is>
      </c>
      <c r="C445" s="74" t="inlineStr">
        <is>
          <t>Transporte</t>
        </is>
      </c>
      <c r="D445" s="75">
        <f>IF($C445="","",IFERROR(INDEX(CAT_TIPO,MATCH($C445,CAT_NOME,0)),"Sem categoria"))</f>
        <v/>
      </c>
      <c r="E445" s="75">
        <f>IF($C445="","",IFERROR(INDEX(CAT_GRUPO,MATCH($C445,CAT_NOME,0)),"Sem categoria"))</f>
        <v/>
      </c>
      <c r="F445" s="76" t="n">
        <v>42.33</v>
      </c>
      <c r="G445" s="74" t="n"/>
      <c r="H445" s="74" t="inlineStr">
        <is>
          <t>Crédito</t>
        </is>
      </c>
      <c r="I445" s="74" t="inlineStr">
        <is>
          <t>Nubank Mastercard</t>
        </is>
      </c>
      <c r="J445" s="77" t="n"/>
      <c r="K445" s="77" t="n"/>
      <c r="L445" s="74" t="n"/>
      <c r="M445" s="74" t="n"/>
      <c r="O445" s="78">
        <f>IF($A445="","",YEAR($A445)*100+MONTH($A445))</f>
        <v/>
      </c>
      <c r="P445" s="79">
        <f>IF(OR($F445="",$D445=""),"",IF($D445="Receita",$F445,IF($D445="Transferência",0,-$F445)))</f>
        <v/>
      </c>
    </row>
    <row r="446">
      <c r="A446" s="73" t="n">
        <v>46003</v>
      </c>
      <c r="B446" s="74" t="inlineStr">
        <is>
          <t>Parcela do financiamento do carro</t>
        </is>
      </c>
      <c r="C446" s="74" t="inlineStr">
        <is>
          <t>Dívidas e parcelas</t>
        </is>
      </c>
      <c r="D446" s="75">
        <f>IF($C446="","",IFERROR(INDEX(CAT_TIPO,MATCH($C446,CAT_NOME,0)),"Sem categoria"))</f>
        <v/>
      </c>
      <c r="E446" s="75">
        <f>IF($C446="","",IFERROR(INDEX(CAT_GRUPO,MATCH($C446,CAT_NOME,0)),"Sem categoria"))</f>
        <v/>
      </c>
      <c r="F446" s="76" t="n">
        <v>560</v>
      </c>
      <c r="G446" s="74" t="inlineStr">
        <is>
          <t>Conta Nubank</t>
        </is>
      </c>
      <c r="H446" s="74" t="inlineStr">
        <is>
          <t>Boleto</t>
        </is>
      </c>
      <c r="I446" s="74" t="n"/>
      <c r="J446" s="77" t="inlineStr">
        <is>
          <t>24/48</t>
        </is>
      </c>
      <c r="K446" s="77" t="n"/>
      <c r="L446" s="74" t="n"/>
      <c r="M446" s="74" t="n"/>
      <c r="O446" s="78">
        <f>IF($A446="","",YEAR($A446)*100+MONTH($A446))</f>
        <v/>
      </c>
      <c r="P446" s="79">
        <f>IF(OR($F446="",$D446=""),"",IF($D446="Receita",$F446,IF($D446="Transferência",0,-$F446)))</f>
        <v/>
      </c>
    </row>
    <row r="447">
      <c r="A447" s="73" t="n">
        <v>46003</v>
      </c>
      <c r="B447" s="74" t="inlineStr">
        <is>
          <t>Seguro do carro</t>
        </is>
      </c>
      <c r="C447" s="74" t="inlineStr">
        <is>
          <t>Seguros</t>
        </is>
      </c>
      <c r="D447" s="75">
        <f>IF($C447="","",IFERROR(INDEX(CAT_TIPO,MATCH($C447,CAT_NOME,0)),"Sem categoria"))</f>
        <v/>
      </c>
      <c r="E447" s="75">
        <f>IF($C447="","",IFERROR(INDEX(CAT_GRUPO,MATCH($C447,CAT_NOME,0)),"Sem categoria"))</f>
        <v/>
      </c>
      <c r="F447" s="76" t="n">
        <v>140</v>
      </c>
      <c r="G447" s="74" t="inlineStr">
        <is>
          <t>Conta Nubank</t>
        </is>
      </c>
      <c r="H447" s="74" t="inlineStr">
        <is>
          <t>Débito automático</t>
        </is>
      </c>
      <c r="I447" s="74" t="n"/>
      <c r="J447" s="77" t="n"/>
      <c r="K447" s="77" t="n"/>
      <c r="L447" s="74" t="n"/>
      <c r="M447" s="74" t="n"/>
      <c r="O447" s="78">
        <f>IF($A447="","",YEAR($A447)*100+MONTH($A447))</f>
        <v/>
      </c>
      <c r="P447" s="79">
        <f>IF(OR($F447="",$D447=""),"",IF($D447="Receita",$F447,IF($D447="Transferência",0,-$F447)))</f>
        <v/>
      </c>
    </row>
    <row r="448">
      <c r="A448" s="73" t="n">
        <v>46004</v>
      </c>
      <c r="B448" s="74" t="inlineStr">
        <is>
          <t>Jantar fora</t>
        </is>
      </c>
      <c r="C448" s="74" t="inlineStr">
        <is>
          <t>Restaurantes e delivery</t>
        </is>
      </c>
      <c r="D448" s="75">
        <f>IF($C448="","",IFERROR(INDEX(CAT_TIPO,MATCH($C448,CAT_NOME,0)),"Sem categoria"))</f>
        <v/>
      </c>
      <c r="E448" s="75">
        <f>IF($C448="","",IFERROR(INDEX(CAT_GRUPO,MATCH($C448,CAT_NOME,0)),"Sem categoria"))</f>
        <v/>
      </c>
      <c r="F448" s="76" t="n">
        <v>91.64</v>
      </c>
      <c r="G448" s="74" t="n"/>
      <c r="H448" s="74" t="inlineStr">
        <is>
          <t>Crédito</t>
        </is>
      </c>
      <c r="I448" s="74" t="inlineStr">
        <is>
          <t>Nubank Mastercard</t>
        </is>
      </c>
      <c r="J448" s="77" t="n"/>
      <c r="K448" s="77" t="n"/>
      <c r="L448" s="74" t="n"/>
      <c r="M448" s="74" t="n"/>
      <c r="O448" s="78">
        <f>IF($A448="","",YEAR($A448)*100+MONTH($A448))</f>
        <v/>
      </c>
      <c r="P448" s="79">
        <f>IF(OR($F448="",$D448=""),"",IF($D448="Receita",$F448,IF($D448="Transferência",0,-$F448)))</f>
        <v/>
      </c>
    </row>
    <row r="449">
      <c r="A449" s="73" t="n">
        <v>46005</v>
      </c>
      <c r="B449" s="74" t="inlineStr">
        <is>
          <t>Conta de luz</t>
        </is>
      </c>
      <c r="C449" s="74" t="inlineStr">
        <is>
          <t>Contas da casa (luz, água, gás)</t>
        </is>
      </c>
      <c r="D449" s="75">
        <f>IF($C449="","",IFERROR(INDEX(CAT_TIPO,MATCH($C449,CAT_NOME,0)),"Sem categoria"))</f>
        <v/>
      </c>
      <c r="E449" s="75">
        <f>IF($C449="","",IFERROR(INDEX(CAT_GRUPO,MATCH($C449,CAT_NOME,0)),"Sem categoria"))</f>
        <v/>
      </c>
      <c r="F449" s="76" t="n">
        <v>107.52</v>
      </c>
      <c r="G449" s="74" t="inlineStr">
        <is>
          <t>Conta Nubank</t>
        </is>
      </c>
      <c r="H449" s="74" t="inlineStr">
        <is>
          <t>Débito automático</t>
        </is>
      </c>
      <c r="I449" s="74" t="n"/>
      <c r="J449" s="77" t="n"/>
      <c r="K449" s="77" t="n"/>
      <c r="L449" s="74" t="n"/>
      <c r="M449" s="74" t="n"/>
      <c r="O449" s="78">
        <f>IF($A449="","",YEAR($A449)*100+MONTH($A449))</f>
        <v/>
      </c>
      <c r="P449" s="79">
        <f>IF(OR($F449="",$D449=""),"",IF($D449="Receita",$F449,IF($D449="Transferência",0,-$F449)))</f>
        <v/>
      </c>
    </row>
    <row r="450">
      <c r="A450" s="73" t="n">
        <v>46005</v>
      </c>
      <c r="B450" s="74" t="inlineStr">
        <is>
          <t>Viagem de fim de ano (hospedagem)</t>
        </is>
      </c>
      <c r="C450" s="74" t="inlineStr">
        <is>
          <t>Viagens</t>
        </is>
      </c>
      <c r="D450" s="75">
        <f>IF($C450="","",IFERROR(INDEX(CAT_TIPO,MATCH($C450,CAT_NOME,0)),"Sem categoria"))</f>
        <v/>
      </c>
      <c r="E450" s="75">
        <f>IF($C450="","",IFERROR(INDEX(CAT_GRUPO,MATCH($C450,CAT_NOME,0)),"Sem categoria"))</f>
        <v/>
      </c>
      <c r="F450" s="76" t="n">
        <v>780</v>
      </c>
      <c r="G450" s="74" t="inlineStr">
        <is>
          <t>Conta Nubank</t>
        </is>
      </c>
      <c r="H450" s="74" t="inlineStr">
        <is>
          <t>Pix</t>
        </is>
      </c>
      <c r="I450" s="74" t="n"/>
      <c r="J450" s="77" t="n"/>
      <c r="K450" s="77" t="n"/>
      <c r="L450" s="74" t="n"/>
      <c r="M450" s="74" t="n"/>
      <c r="O450" s="78">
        <f>IF($A450="","",YEAR($A450)*100+MONTH($A450))</f>
        <v/>
      </c>
      <c r="P450" s="79">
        <f>IF(OR($F450="",$D450=""),"",IF($D450="Receita",$F450,IF($D450="Transferência",0,-$F450)))</f>
        <v/>
      </c>
    </row>
    <row r="451">
      <c r="A451" s="73" t="n">
        <v>46006</v>
      </c>
      <c r="B451" s="74" t="inlineStr">
        <is>
          <t>Projeto freelance</t>
        </is>
      </c>
      <c r="C451" s="74" t="inlineStr">
        <is>
          <t>Renda extra e freelance</t>
        </is>
      </c>
      <c r="D451" s="75">
        <f>IF($C451="","",IFERROR(INDEX(CAT_TIPO,MATCH($C451,CAT_NOME,0)),"Sem categoria"))</f>
        <v/>
      </c>
      <c r="E451" s="75">
        <f>IF($C451="","",IFERROR(INDEX(CAT_GRUPO,MATCH($C451,CAT_NOME,0)),"Sem categoria"))</f>
        <v/>
      </c>
      <c r="F451" s="76" t="n">
        <v>1150</v>
      </c>
      <c r="G451" s="74" t="inlineStr">
        <is>
          <t>Conta Nubank</t>
        </is>
      </c>
      <c r="H451" s="74" t="inlineStr">
        <is>
          <t>Pix</t>
        </is>
      </c>
      <c r="I451" s="74" t="n"/>
      <c r="J451" s="77" t="n"/>
      <c r="K451" s="77" t="n"/>
      <c r="L451" s="74" t="n"/>
      <c r="M451" s="74" t="n"/>
      <c r="O451" s="78">
        <f>IF($A451="","",YEAR($A451)*100+MONTH($A451))</f>
        <v/>
      </c>
      <c r="P451" s="79">
        <f>IF(OR($F451="",$D451=""),"",IF($D451="Receita",$F451,IF($D451="Transferência",0,-$F451)))</f>
        <v/>
      </c>
    </row>
    <row r="452">
      <c r="A452" s="73" t="n">
        <v>46006</v>
      </c>
      <c r="B452" s="74" t="inlineStr">
        <is>
          <t>Roupas e acessórios</t>
        </is>
      </c>
      <c r="C452" s="74" t="inlineStr">
        <is>
          <t>Compras pessoais</t>
        </is>
      </c>
      <c r="D452" s="75">
        <f>IF($C452="","",IFERROR(INDEX(CAT_TIPO,MATCH($C452,CAT_NOME,0)),"Sem categoria"))</f>
        <v/>
      </c>
      <c r="E452" s="75">
        <f>IF($C452="","",IFERROR(INDEX(CAT_GRUPO,MATCH($C452,CAT_NOME,0)),"Sem categoria"))</f>
        <v/>
      </c>
      <c r="F452" s="76" t="n">
        <v>84.54000000000001</v>
      </c>
      <c r="G452" s="74" t="n"/>
      <c r="H452" s="74" t="inlineStr">
        <is>
          <t>Crédito</t>
        </is>
      </c>
      <c r="I452" s="74" t="inlineStr">
        <is>
          <t>Nubank Mastercard</t>
        </is>
      </c>
      <c r="J452" s="77" t="n"/>
      <c r="K452" s="77" t="n"/>
      <c r="L452" s="74" t="n"/>
      <c r="M452" s="74" t="n"/>
      <c r="O452" s="78">
        <f>IF($A452="","",YEAR($A452)*100+MONTH($A452))</f>
        <v/>
      </c>
      <c r="P452" s="79">
        <f>IF(OR($F452="",$D452=""),"",IF($D452="Receita",$F452,IF($D452="Transferência",0,-$F452)))</f>
        <v/>
      </c>
    </row>
    <row r="453">
      <c r="A453" s="73" t="n">
        <v>46007</v>
      </c>
      <c r="B453" s="74" t="inlineStr">
        <is>
          <t>Combustível</t>
        </is>
      </c>
      <c r="C453" s="74" t="inlineStr">
        <is>
          <t>Transporte</t>
        </is>
      </c>
      <c r="D453" s="75">
        <f>IF($C453="","",IFERROR(INDEX(CAT_TIPO,MATCH($C453,CAT_NOME,0)),"Sem categoria"))</f>
        <v/>
      </c>
      <c r="E453" s="75">
        <f>IF($C453="","",IFERROR(INDEX(CAT_GRUPO,MATCH($C453,CAT_NOME,0)),"Sem categoria"))</f>
        <v/>
      </c>
      <c r="F453" s="76" t="n">
        <v>98.36</v>
      </c>
      <c r="G453" s="74" t="n"/>
      <c r="H453" s="74" t="inlineStr">
        <is>
          <t>Crédito</t>
        </is>
      </c>
      <c r="I453" s="74" t="inlineStr">
        <is>
          <t>Itaú Visa</t>
        </is>
      </c>
      <c r="J453" s="77" t="n"/>
      <c r="K453" s="77" t="n"/>
      <c r="L453" s="74" t="n"/>
      <c r="M453" s="74" t="n"/>
      <c r="O453" s="78">
        <f>IF($A453="","",YEAR($A453)*100+MONTH($A453))</f>
        <v/>
      </c>
      <c r="P453" s="79">
        <f>IF(OR($F453="",$D453=""),"",IF($D453="Receita",$F453,IF($D453="Transferência",0,-$F453)))</f>
        <v/>
      </c>
    </row>
    <row r="454">
      <c r="A454" s="73" t="n">
        <v>46008</v>
      </c>
      <c r="B454" s="74" t="inlineStr">
        <is>
          <t>Pagamento da fatura Itaú Visa</t>
        </is>
      </c>
      <c r="C454" s="74" t="inlineStr">
        <is>
          <t>Pagamento de fatura</t>
        </is>
      </c>
      <c r="D454" s="75">
        <f>IF($C454="","",IFERROR(INDEX(CAT_TIPO,MATCH($C454,CAT_NOME,0)),"Sem categoria"))</f>
        <v/>
      </c>
      <c r="E454" s="75">
        <f>IF($C454="","",IFERROR(INDEX(CAT_GRUPO,MATCH($C454,CAT_NOME,0)),"Sem categoria"))</f>
        <v/>
      </c>
      <c r="F454" s="76" t="n">
        <v>1658.47</v>
      </c>
      <c r="G454" s="74" t="inlineStr">
        <is>
          <t>Conta Nubank</t>
        </is>
      </c>
      <c r="H454" s="74" t="inlineStr">
        <is>
          <t>Boleto</t>
        </is>
      </c>
      <c r="I454" s="74" t="inlineStr">
        <is>
          <t>Itaú Visa</t>
        </is>
      </c>
      <c r="J454" s="77" t="n"/>
      <c r="K454" s="77" t="n"/>
      <c r="L454" s="74" t="n"/>
      <c r="M454" s="74" t="n"/>
      <c r="O454" s="78">
        <f>IF($A454="","",YEAR($A454)*100+MONTH($A454))</f>
        <v/>
      </c>
      <c r="P454" s="79">
        <f>IF(OR($F454="",$D454=""),"",IF($D454="Receita",$F454,IF($D454="Transferência",0,-$F454)))</f>
        <v/>
      </c>
    </row>
    <row r="455">
      <c r="A455" s="73" t="n">
        <v>46008</v>
      </c>
      <c r="B455" s="74" t="inlineStr">
        <is>
          <t>Supermercado</t>
        </is>
      </c>
      <c r="C455" s="74" t="inlineStr">
        <is>
          <t>Mercado</t>
        </is>
      </c>
      <c r="D455" s="75">
        <f>IF($C455="","",IFERROR(INDEX(CAT_TIPO,MATCH($C455,CAT_NOME,0)),"Sem categoria"))</f>
        <v/>
      </c>
      <c r="E455" s="75">
        <f>IF($C455="","",IFERROR(INDEX(CAT_GRUPO,MATCH($C455,CAT_NOME,0)),"Sem categoria"))</f>
        <v/>
      </c>
      <c r="F455" s="76" t="n">
        <v>195.11</v>
      </c>
      <c r="G455" s="74" t="inlineStr">
        <is>
          <t>Conta Nubank</t>
        </is>
      </c>
      <c r="H455" s="74" t="inlineStr">
        <is>
          <t>Débito</t>
        </is>
      </c>
      <c r="I455" s="74" t="n"/>
      <c r="J455" s="77" t="n"/>
      <c r="K455" s="77" t="n"/>
      <c r="L455" s="74" t="n"/>
      <c r="M455" s="74" t="n"/>
      <c r="O455" s="78">
        <f>IF($A455="","",YEAR($A455)*100+MONTH($A455))</f>
        <v/>
      </c>
      <c r="P455" s="79">
        <f>IF(OR($F455="",$D455=""),"",IF($D455="Receita",$F455,IF($D455="Transferência",0,-$F455)))</f>
        <v/>
      </c>
    </row>
    <row r="456">
      <c r="A456" s="73" t="n">
        <v>46008</v>
      </c>
      <c r="B456" s="74" t="inlineStr">
        <is>
          <t>iCloud</t>
        </is>
      </c>
      <c r="C456" s="74" t="inlineStr">
        <is>
          <t>Assinaturas e streaming</t>
        </is>
      </c>
      <c r="D456" s="75">
        <f>IF($C456="","",IFERROR(INDEX(CAT_TIPO,MATCH($C456,CAT_NOME,0)),"Sem categoria"))</f>
        <v/>
      </c>
      <c r="E456" s="75">
        <f>IF($C456="","",IFERROR(INDEX(CAT_GRUPO,MATCH($C456,CAT_NOME,0)),"Sem categoria"))</f>
        <v/>
      </c>
      <c r="F456" s="76" t="n">
        <v>14.9</v>
      </c>
      <c r="G456" s="74" t="n"/>
      <c r="H456" s="74" t="inlineStr">
        <is>
          <t>Crédito</t>
        </is>
      </c>
      <c r="I456" s="74" t="inlineStr">
        <is>
          <t>Nubank Mastercard</t>
        </is>
      </c>
      <c r="J456" s="77" t="n"/>
      <c r="K456" s="77" t="n"/>
      <c r="L456" s="74" t="n"/>
      <c r="M456" s="74" t="n"/>
      <c r="O456" s="78">
        <f>IF($A456="","",YEAR($A456)*100+MONTH($A456))</f>
        <v/>
      </c>
      <c r="P456" s="79">
        <f>IF(OR($F456="",$D456=""),"",IF($D456="Receita",$F456,IF($D456="Transferência",0,-$F456)))</f>
        <v/>
      </c>
    </row>
    <row r="457">
      <c r="A457" s="73" t="n">
        <v>46009</v>
      </c>
      <c r="B457" s="74" t="inlineStr">
        <is>
          <t>Barbearia / salão</t>
        </is>
      </c>
      <c r="C457" s="74" t="inlineStr">
        <is>
          <t>Beleza e cuidados</t>
        </is>
      </c>
      <c r="D457" s="75">
        <f>IF($C457="","",IFERROR(INDEX(CAT_TIPO,MATCH($C457,CAT_NOME,0)),"Sem categoria"))</f>
        <v/>
      </c>
      <c r="E457" s="75">
        <f>IF($C457="","",IFERROR(INDEX(CAT_GRUPO,MATCH($C457,CAT_NOME,0)),"Sem categoria"))</f>
        <v/>
      </c>
      <c r="F457" s="76" t="n">
        <v>95.56999999999999</v>
      </c>
      <c r="G457" s="74" t="inlineStr">
        <is>
          <t>Conta Nubank</t>
        </is>
      </c>
      <c r="H457" s="74" t="inlineStr">
        <is>
          <t>Pix</t>
        </is>
      </c>
      <c r="I457" s="74" t="n"/>
      <c r="J457" s="77" t="n"/>
      <c r="K457" s="77" t="n"/>
      <c r="L457" s="74" t="n"/>
      <c r="M457" s="74" t="n"/>
      <c r="O457" s="78">
        <f>IF($A457="","",YEAR($A457)*100+MONTH($A457))</f>
        <v/>
      </c>
      <c r="P457" s="79">
        <f>IF(OR($F457="",$D457=""),"",IF($D457="Receita",$F457,IF($D457="Transferência",0,-$F457)))</f>
        <v/>
      </c>
    </row>
    <row r="458">
      <c r="A458" s="73" t="n">
        <v>46009</v>
      </c>
      <c r="B458" s="74" t="inlineStr">
        <is>
          <t>Conta de água</t>
        </is>
      </c>
      <c r="C458" s="74" t="inlineStr">
        <is>
          <t>Contas da casa (luz, água, gás)</t>
        </is>
      </c>
      <c r="D458" s="75">
        <f>IF($C458="","",IFERROR(INDEX(CAT_TIPO,MATCH($C458,CAT_NOME,0)),"Sem categoria"))</f>
        <v/>
      </c>
      <c r="E458" s="75">
        <f>IF($C458="","",IFERROR(INDEX(CAT_GRUPO,MATCH($C458,CAT_NOME,0)),"Sem categoria"))</f>
        <v/>
      </c>
      <c r="F458" s="76" t="n">
        <v>77.97</v>
      </c>
      <c r="G458" s="74" t="inlineStr">
        <is>
          <t>Conta Nubank</t>
        </is>
      </c>
      <c r="H458" s="74" t="inlineStr">
        <is>
          <t>Débito automático</t>
        </is>
      </c>
      <c r="I458" s="74" t="n"/>
      <c r="J458" s="77" t="n"/>
      <c r="K458" s="77" t="n"/>
      <c r="L458" s="74" t="n"/>
      <c r="M458" s="74" t="n"/>
      <c r="O458" s="78">
        <f>IF($A458="","",YEAR($A458)*100+MONTH($A458))</f>
        <v/>
      </c>
      <c r="P458" s="79">
        <f>IF(OR($F458="",$D458=""),"",IF($D458="Receita",$F458,IF($D458="Transferência",0,-$F458)))</f>
        <v/>
      </c>
    </row>
    <row r="459">
      <c r="A459" s="73" t="n">
        <v>46010</v>
      </c>
      <c r="B459" s="74" t="inlineStr">
        <is>
          <t>iFood</t>
        </is>
      </c>
      <c r="C459" s="74" t="inlineStr">
        <is>
          <t>Restaurantes e delivery</t>
        </is>
      </c>
      <c r="D459" s="75">
        <f>IF($C459="","",IFERROR(INDEX(CAT_TIPO,MATCH($C459,CAT_NOME,0)),"Sem categoria"))</f>
        <v/>
      </c>
      <c r="E459" s="75">
        <f>IF($C459="","",IFERROR(INDEX(CAT_GRUPO,MATCH($C459,CAT_NOME,0)),"Sem categoria"))</f>
        <v/>
      </c>
      <c r="F459" s="76" t="n">
        <v>42.9</v>
      </c>
      <c r="G459" s="74" t="n"/>
      <c r="H459" s="74" t="inlineStr">
        <is>
          <t>Crédito</t>
        </is>
      </c>
      <c r="I459" s="74" t="inlineStr">
        <is>
          <t>Nubank Mastercard</t>
        </is>
      </c>
      <c r="J459" s="77" t="n"/>
      <c r="K459" s="77" t="inlineStr">
        <is>
          <t>Pendente</t>
        </is>
      </c>
      <c r="L459" s="74" t="n"/>
      <c r="M459" s="74" t="n"/>
      <c r="O459" s="78">
        <f>IF($A459="","",YEAR($A459)*100+MONTH($A459))</f>
        <v/>
      </c>
      <c r="P459" s="79">
        <f>IF(OR($F459="",$D459=""),"",IF($D459="Receita",$F459,IF($D459="Transferência",0,-$F459)))</f>
        <v/>
      </c>
    </row>
    <row r="460">
      <c r="A460" s="73" t="n">
        <v>46011</v>
      </c>
      <c r="B460" s="74" t="inlineStr">
        <is>
          <t>13º salário (2ª parcela)</t>
        </is>
      </c>
      <c r="C460" s="74" t="inlineStr">
        <is>
          <t>13º e férias</t>
        </is>
      </c>
      <c r="D460" s="75">
        <f>IF($C460="","",IFERROR(INDEX(CAT_TIPO,MATCH($C460,CAT_NOME,0)),"Sem categoria"))</f>
        <v/>
      </c>
      <c r="E460" s="75">
        <f>IF($C460="","",IFERROR(INDEX(CAT_GRUPO,MATCH($C460,CAT_NOME,0)),"Sem categoria"))</f>
        <v/>
      </c>
      <c r="F460" s="76" t="n">
        <v>2600</v>
      </c>
      <c r="G460" s="74" t="inlineStr">
        <is>
          <t>Conta Nubank</t>
        </is>
      </c>
      <c r="H460" s="74" t="inlineStr">
        <is>
          <t>Transferência</t>
        </is>
      </c>
      <c r="I460" s="74" t="n"/>
      <c r="J460" s="77" t="n"/>
      <c r="K460" s="77" t="inlineStr">
        <is>
          <t>Pendente</t>
        </is>
      </c>
      <c r="L460" s="74" t="n"/>
      <c r="M460" s="74" t="n"/>
      <c r="O460" s="78">
        <f>IF($A460="","",YEAR($A460)*100+MONTH($A460))</f>
        <v/>
      </c>
      <c r="P460" s="79">
        <f>IF(OR($F460="",$D460=""),"",IF($D460="Receita",$F460,IF($D460="Transferência",0,-$F460)))</f>
        <v/>
      </c>
    </row>
    <row r="461">
      <c r="A461" s="73" t="n">
        <v>46011</v>
      </c>
      <c r="B461" s="74" t="inlineStr">
        <is>
          <t>Internet fibra</t>
        </is>
      </c>
      <c r="C461" s="74" t="inlineStr">
        <is>
          <t>Internet e celular</t>
        </is>
      </c>
      <c r="D461" s="75">
        <f>IF($C461="","",IFERROR(INDEX(CAT_TIPO,MATCH($C461,CAT_NOME,0)),"Sem categoria"))</f>
        <v/>
      </c>
      <c r="E461" s="75">
        <f>IF($C461="","",IFERROR(INDEX(CAT_GRUPO,MATCH($C461,CAT_NOME,0)),"Sem categoria"))</f>
        <v/>
      </c>
      <c r="F461" s="76" t="n">
        <v>119.9</v>
      </c>
      <c r="G461" s="74" t="inlineStr">
        <is>
          <t>Conta Nubank</t>
        </is>
      </c>
      <c r="H461" s="74" t="inlineStr">
        <is>
          <t>Débito automático</t>
        </is>
      </c>
      <c r="I461" s="74" t="n"/>
      <c r="J461" s="77" t="n"/>
      <c r="K461" s="77" t="inlineStr">
        <is>
          <t>Pendente</t>
        </is>
      </c>
      <c r="L461" s="74" t="n"/>
      <c r="M461" s="74" t="n"/>
      <c r="O461" s="78">
        <f>IF($A461="","",YEAR($A461)*100+MONTH($A461))</f>
        <v/>
      </c>
      <c r="P461" s="79">
        <f>IF(OR($F461="",$D461=""),"",IF($D461="Receita",$F461,IF($D461="Transferência",0,-$F461)))</f>
        <v/>
      </c>
    </row>
    <row r="462">
      <c r="A462" s="73" t="n">
        <v>46012</v>
      </c>
      <c r="B462" s="74" t="inlineStr">
        <is>
          <t>Uber</t>
        </is>
      </c>
      <c r="C462" s="74" t="inlineStr">
        <is>
          <t>Transporte</t>
        </is>
      </c>
      <c r="D462" s="75">
        <f>IF($C462="","",IFERROR(INDEX(CAT_TIPO,MATCH($C462,CAT_NOME,0)),"Sem categoria"))</f>
        <v/>
      </c>
      <c r="E462" s="75">
        <f>IF($C462="","",IFERROR(INDEX(CAT_GRUPO,MATCH($C462,CAT_NOME,0)),"Sem categoria"))</f>
        <v/>
      </c>
      <c r="F462" s="76" t="n">
        <v>20.68</v>
      </c>
      <c r="G462" s="74" t="n"/>
      <c r="H462" s="74" t="inlineStr">
        <is>
          <t>Crédito</t>
        </is>
      </c>
      <c r="I462" s="74" t="inlineStr">
        <is>
          <t>Nubank Mastercard</t>
        </is>
      </c>
      <c r="J462" s="77" t="n"/>
      <c r="K462" s="77" t="inlineStr">
        <is>
          <t>Pendente</t>
        </is>
      </c>
      <c r="L462" s="74" t="n"/>
      <c r="M462" s="74" t="n"/>
      <c r="O462" s="78">
        <f>IF($A462="","",YEAR($A462)*100+MONTH($A462))</f>
        <v/>
      </c>
      <c r="P462" s="79">
        <f>IF(OR($F462="",$D462=""),"",IF($D462="Receita",$F462,IF($D462="Transferência",0,-$F462)))</f>
        <v/>
      </c>
    </row>
    <row r="463">
      <c r="A463" s="73" t="n">
        <v>46013</v>
      </c>
      <c r="B463" s="74" t="inlineStr">
        <is>
          <t>Plano de celular</t>
        </is>
      </c>
      <c r="C463" s="74" t="inlineStr">
        <is>
          <t>Internet e celular</t>
        </is>
      </c>
      <c r="D463" s="75">
        <f>IF($C463="","",IFERROR(INDEX(CAT_TIPO,MATCH($C463,CAT_NOME,0)),"Sem categoria"))</f>
        <v/>
      </c>
      <c r="E463" s="75">
        <f>IF($C463="","",IFERROR(INDEX(CAT_GRUPO,MATCH($C463,CAT_NOME,0)),"Sem categoria"))</f>
        <v/>
      </c>
      <c r="F463" s="76" t="n">
        <v>59.9</v>
      </c>
      <c r="G463" s="74" t="inlineStr">
        <is>
          <t>Conta Nubank</t>
        </is>
      </c>
      <c r="H463" s="74" t="inlineStr">
        <is>
          <t>Débito automático</t>
        </is>
      </c>
      <c r="I463" s="74" t="n"/>
      <c r="J463" s="77" t="n"/>
      <c r="K463" s="77" t="inlineStr">
        <is>
          <t>Pendente</t>
        </is>
      </c>
      <c r="L463" s="74" t="n"/>
      <c r="M463" s="74" t="n"/>
      <c r="O463" s="78">
        <f>IF($A463="","",YEAR($A463)*100+MONTH($A463))</f>
        <v/>
      </c>
      <c r="P463" s="79">
        <f>IF(OR($F463="",$D463=""),"",IF($D463="Receita",$F463,IF($D463="Transferência",0,-$F463)))</f>
        <v/>
      </c>
    </row>
    <row r="464">
      <c r="A464" s="73" t="n">
        <v>46014</v>
      </c>
      <c r="B464" s="74" t="inlineStr">
        <is>
          <t>Cinema e passeios</t>
        </is>
      </c>
      <c r="C464" s="74" t="inlineStr">
        <is>
          <t>Lazer e entretenimento</t>
        </is>
      </c>
      <c r="D464" s="75">
        <f>IF($C464="","",IFERROR(INDEX(CAT_TIPO,MATCH($C464,CAT_NOME,0)),"Sem categoria"))</f>
        <v/>
      </c>
      <c r="E464" s="75">
        <f>IF($C464="","",IFERROR(INDEX(CAT_GRUPO,MATCH($C464,CAT_NOME,0)),"Sem categoria"))</f>
        <v/>
      </c>
      <c r="F464" s="76" t="n">
        <v>96.34</v>
      </c>
      <c r="G464" s="74" t="n"/>
      <c r="H464" s="74" t="inlineStr">
        <is>
          <t>Crédito</t>
        </is>
      </c>
      <c r="I464" s="74" t="inlineStr">
        <is>
          <t>Itaú Visa</t>
        </is>
      </c>
      <c r="J464" s="77" t="n"/>
      <c r="K464" s="77" t="inlineStr">
        <is>
          <t>Pendente</t>
        </is>
      </c>
      <c r="L464" s="74" t="n"/>
      <c r="M464" s="74" t="n"/>
      <c r="O464" s="78">
        <f>IF($A464="","",YEAR($A464)*100+MONTH($A464))</f>
        <v/>
      </c>
      <c r="P464" s="79">
        <f>IF(OR($F464="",$D464=""),"",IF($D464="Receita",$F464,IF($D464="Transferência",0,-$F464)))</f>
        <v/>
      </c>
    </row>
    <row r="465">
      <c r="A465" s="73" t="n">
        <v>46015</v>
      </c>
      <c r="B465" s="74" t="inlineStr">
        <is>
          <t>Supermercado</t>
        </is>
      </c>
      <c r="C465" s="74" t="inlineStr">
        <is>
          <t>Mercado</t>
        </is>
      </c>
      <c r="D465" s="75">
        <f>IF($C465="","",IFERROR(INDEX(CAT_TIPO,MATCH($C465,CAT_NOME,0)),"Sem categoria"))</f>
        <v/>
      </c>
      <c r="E465" s="75">
        <f>IF($C465="","",IFERROR(INDEX(CAT_GRUPO,MATCH($C465,CAT_NOME,0)),"Sem categoria"))</f>
        <v/>
      </c>
      <c r="F465" s="76" t="n">
        <v>212.27</v>
      </c>
      <c r="G465" s="74" t="inlineStr">
        <is>
          <t>Conta Nubank</t>
        </is>
      </c>
      <c r="H465" s="74" t="inlineStr">
        <is>
          <t>Débito</t>
        </is>
      </c>
      <c r="I465" s="74" t="n"/>
      <c r="J465" s="77" t="n"/>
      <c r="K465" s="77" t="inlineStr">
        <is>
          <t>Pendente</t>
        </is>
      </c>
      <c r="L465" s="74" t="n"/>
      <c r="M465" s="74" t="n"/>
      <c r="O465" s="78">
        <f>IF($A465="","",YEAR($A465)*100+MONTH($A465))</f>
        <v/>
      </c>
      <c r="P465" s="79">
        <f>IF(OR($F465="",$D465=""),"",IF($D465="Receita",$F465,IF($D465="Transferência",0,-$F465)))</f>
        <v/>
      </c>
    </row>
    <row r="466">
      <c r="A466" s="73" t="n">
        <v>46016</v>
      </c>
      <c r="B466" s="74" t="inlineStr">
        <is>
          <t>Gás encanado</t>
        </is>
      </c>
      <c r="C466" s="74" t="inlineStr">
        <is>
          <t>Contas da casa (luz, água, gás)</t>
        </is>
      </c>
      <c r="D466" s="75">
        <f>IF($C466="","",IFERROR(INDEX(CAT_TIPO,MATCH($C466,CAT_NOME,0)),"Sem categoria"))</f>
        <v/>
      </c>
      <c r="E466" s="75">
        <f>IF($C466="","",IFERROR(INDEX(CAT_GRUPO,MATCH($C466,CAT_NOME,0)),"Sem categoria"))</f>
        <v/>
      </c>
      <c r="F466" s="76" t="n">
        <v>84.59999999999999</v>
      </c>
      <c r="G466" s="74" t="inlineStr">
        <is>
          <t>Conta Nubank</t>
        </is>
      </c>
      <c r="H466" s="74" t="inlineStr">
        <is>
          <t>Boleto</t>
        </is>
      </c>
      <c r="I466" s="74" t="n"/>
      <c r="J466" s="77" t="n"/>
      <c r="K466" s="77" t="inlineStr">
        <is>
          <t>Pendente</t>
        </is>
      </c>
      <c r="L466" s="74" t="n"/>
      <c r="M466" s="74" t="n"/>
      <c r="O466" s="78">
        <f>IF($A466="","",YEAR($A466)*100+MONTH($A466))</f>
        <v/>
      </c>
      <c r="P466" s="79">
        <f>IF(OR($F466="",$D466=""),"",IF($D466="Receita",$F466,IF($D466="Transferência",0,-$F466)))</f>
        <v/>
      </c>
    </row>
    <row r="467">
      <c r="A467" s="73" t="n">
        <v>46017</v>
      </c>
      <c r="B467" s="74" t="inlineStr">
        <is>
          <t>Combustível</t>
        </is>
      </c>
      <c r="C467" s="74" t="inlineStr">
        <is>
          <t>Transporte</t>
        </is>
      </c>
      <c r="D467" s="75">
        <f>IF($C467="","",IFERROR(INDEX(CAT_TIPO,MATCH($C467,CAT_NOME,0)),"Sem categoria"))</f>
        <v/>
      </c>
      <c r="E467" s="75">
        <f>IF($C467="","",IFERROR(INDEX(CAT_GRUPO,MATCH($C467,CAT_NOME,0)),"Sem categoria"))</f>
        <v/>
      </c>
      <c r="F467" s="76" t="n">
        <v>116.12</v>
      </c>
      <c r="G467" s="74" t="n"/>
      <c r="H467" s="74" t="inlineStr">
        <is>
          <t>Crédito</t>
        </is>
      </c>
      <c r="I467" s="74" t="inlineStr">
        <is>
          <t>Itaú Visa</t>
        </is>
      </c>
      <c r="J467" s="77" t="n"/>
      <c r="K467" s="77" t="inlineStr">
        <is>
          <t>Pendente</t>
        </is>
      </c>
      <c r="L467" s="74" t="n"/>
      <c r="M467" s="74" t="n"/>
      <c r="O467" s="78">
        <f>IF($A467="","",YEAR($A467)*100+MONTH($A467))</f>
        <v/>
      </c>
      <c r="P467" s="79">
        <f>IF(OR($F467="",$D467=""),"",IF($D467="Receita",$F467,IF($D467="Transferência",0,-$F467)))</f>
        <v/>
      </c>
    </row>
    <row r="468">
      <c r="A468" s="73" t="n">
        <v>46018</v>
      </c>
      <c r="B468" s="74" t="inlineStr">
        <is>
          <t>Almoço de domingo</t>
        </is>
      </c>
      <c r="C468" s="74" t="inlineStr">
        <is>
          <t>Restaurantes e delivery</t>
        </is>
      </c>
      <c r="D468" s="75">
        <f>IF($C468="","",IFERROR(INDEX(CAT_TIPO,MATCH($C468,CAT_NOME,0)),"Sem categoria"))</f>
        <v/>
      </c>
      <c r="E468" s="75">
        <f>IF($C468="","",IFERROR(INDEX(CAT_GRUPO,MATCH($C468,CAT_NOME,0)),"Sem categoria"))</f>
        <v/>
      </c>
      <c r="F468" s="76" t="n">
        <v>76.29000000000001</v>
      </c>
      <c r="G468" s="74" t="n"/>
      <c r="H468" s="74" t="inlineStr">
        <is>
          <t>Crédito</t>
        </is>
      </c>
      <c r="I468" s="74" t="inlineStr">
        <is>
          <t>Nubank Mastercard</t>
        </is>
      </c>
      <c r="J468" s="77" t="n"/>
      <c r="K468" s="77" t="inlineStr">
        <is>
          <t>Pendente</t>
        </is>
      </c>
      <c r="L468" s="74" t="n"/>
      <c r="M468" s="74" t="n"/>
      <c r="O468" s="78">
        <f>IF($A468="","",YEAR($A468)*100+MONTH($A468))</f>
        <v/>
      </c>
      <c r="P468" s="79">
        <f>IF(OR($F468="",$D468=""),"",IF($D468="Receita",$F468,IF($D468="Transferência",0,-$F468)))</f>
        <v/>
      </c>
    </row>
    <row r="469">
      <c r="A469" s="73" t="n">
        <v>46019</v>
      </c>
      <c r="B469" s="74" t="inlineStr">
        <is>
          <t>Aporte em renda fixa</t>
        </is>
      </c>
      <c r="C469" s="74" t="inlineStr">
        <is>
          <t>Investimentos</t>
        </is>
      </c>
      <c r="D469" s="75">
        <f>IF($C469="","",IFERROR(INDEX(CAT_TIPO,MATCH($C469,CAT_NOME,0)),"Sem categoria"))</f>
        <v/>
      </c>
      <c r="E469" s="75">
        <f>IF($C469="","",IFERROR(INDEX(CAT_GRUPO,MATCH($C469,CAT_NOME,0)),"Sem categoria"))</f>
        <v/>
      </c>
      <c r="F469" s="76" t="n">
        <v>250</v>
      </c>
      <c r="G469" s="74" t="inlineStr">
        <is>
          <t>Conta Nubank</t>
        </is>
      </c>
      <c r="H469" s="74" t="inlineStr">
        <is>
          <t>Transferência</t>
        </is>
      </c>
      <c r="I469" s="74" t="n"/>
      <c r="J469" s="77" t="n"/>
      <c r="K469" s="77" t="inlineStr">
        <is>
          <t>Pendente</t>
        </is>
      </c>
      <c r="L469" s="74" t="inlineStr">
        <is>
          <t>Corretora</t>
        </is>
      </c>
      <c r="M469" s="74" t="n"/>
      <c r="O469" s="78">
        <f>IF($A469="","",YEAR($A469)*100+MONTH($A469))</f>
        <v/>
      </c>
      <c r="P469" s="79">
        <f>IF(OR($F469="",$D469=""),"",IF($D469="Receita",$F469,IF($D469="Transferência",0,-$F469)))</f>
        <v/>
      </c>
    </row>
    <row r="470">
      <c r="A470" s="73" t="n">
        <v>46019</v>
      </c>
      <c r="B470" s="74" t="inlineStr">
        <is>
          <t>Cofrinho da viagem</t>
        </is>
      </c>
      <c r="C470" s="74" t="inlineStr">
        <is>
          <t>Metas e sonhos</t>
        </is>
      </c>
      <c r="D470" s="75">
        <f>IF($C470="","",IFERROR(INDEX(CAT_TIPO,MATCH($C470,CAT_NOME,0)),"Sem categoria"))</f>
        <v/>
      </c>
      <c r="E470" s="75">
        <f>IF($C470="","",IFERROR(INDEX(CAT_GRUPO,MATCH($C470,CAT_NOME,0)),"Sem categoria"))</f>
        <v/>
      </c>
      <c r="F470" s="76" t="n">
        <v>150</v>
      </c>
      <c r="G470" s="74" t="inlineStr">
        <is>
          <t>Conta Nubank</t>
        </is>
      </c>
      <c r="H470" s="74" t="inlineStr">
        <is>
          <t>Transferência</t>
        </is>
      </c>
      <c r="I470" s="74" t="n"/>
      <c r="J470" s="77" t="n"/>
      <c r="K470" s="77" t="inlineStr">
        <is>
          <t>Pendente</t>
        </is>
      </c>
      <c r="L470" s="74" t="inlineStr">
        <is>
          <t>Cofrinho viagem</t>
        </is>
      </c>
      <c r="M470" s="74" t="n"/>
      <c r="O470" s="78">
        <f>IF($A470="","",YEAR($A470)*100+MONTH($A470))</f>
        <v/>
      </c>
      <c r="P470" s="79">
        <f>IF(OR($F470="",$D470=""),"",IF($D470="Receita",$F470,IF($D470="Transferência",0,-$F470)))</f>
        <v/>
      </c>
    </row>
    <row r="471">
      <c r="A471" s="73" t="n">
        <v>46019</v>
      </c>
      <c r="B471" s="74" t="inlineStr">
        <is>
          <t>Rendimento da renda fixa</t>
        </is>
      </c>
      <c r="C471" s="74" t="inlineStr">
        <is>
          <t>Rendimentos de investimentos</t>
        </is>
      </c>
      <c r="D471" s="75">
        <f>IF($C471="","",IFERROR(INDEX(CAT_TIPO,MATCH($C471,CAT_NOME,0)),"Sem categoria"))</f>
        <v/>
      </c>
      <c r="E471" s="75">
        <f>IF($C471="","",IFERROR(INDEX(CAT_GRUPO,MATCH($C471,CAT_NOME,0)),"Sem categoria"))</f>
        <v/>
      </c>
      <c r="F471" s="76" t="n">
        <v>73.72</v>
      </c>
      <c r="G471" s="74" t="inlineStr">
        <is>
          <t>Corretora</t>
        </is>
      </c>
      <c r="H471" s="74" t="inlineStr">
        <is>
          <t>Transferência</t>
        </is>
      </c>
      <c r="I471" s="74" t="n"/>
      <c r="J471" s="77" t="n"/>
      <c r="K471" s="77" t="inlineStr">
        <is>
          <t>Pendente</t>
        </is>
      </c>
      <c r="L471" s="74" t="n"/>
      <c r="M471" s="74" t="n"/>
      <c r="O471" s="78">
        <f>IF($A471="","",YEAR($A471)*100+MONTH($A471))</f>
        <v/>
      </c>
      <c r="P471" s="79">
        <f>IF(OR($F471="",$D471=""),"",IF($D471="Receita",$F471,IF($D471="Transferência",0,-$F471)))</f>
        <v/>
      </c>
    </row>
    <row r="472">
      <c r="A472" s="73" t="n">
        <v>46019</v>
      </c>
      <c r="B472" s="74" t="inlineStr">
        <is>
          <t>Reserva de emergência</t>
        </is>
      </c>
      <c r="C472" s="74" t="inlineStr">
        <is>
          <t>Reserva de emergência</t>
        </is>
      </c>
      <c r="D472" s="75">
        <f>IF($C472="","",IFERROR(INDEX(CAT_TIPO,MATCH($C472,CAT_NOME,0)),"Sem categoria"))</f>
        <v/>
      </c>
      <c r="E472" s="75">
        <f>IF($C472="","",IFERROR(INDEX(CAT_GRUPO,MATCH($C472,CAT_NOME,0)),"Sem categoria"))</f>
        <v/>
      </c>
      <c r="F472" s="76" t="n">
        <v>400</v>
      </c>
      <c r="G472" s="74" t="inlineStr">
        <is>
          <t>Conta Nubank</t>
        </is>
      </c>
      <c r="H472" s="74" t="inlineStr">
        <is>
          <t>Transferência</t>
        </is>
      </c>
      <c r="I472" s="74" t="n"/>
      <c r="J472" s="77" t="n"/>
      <c r="K472" s="77" t="inlineStr">
        <is>
          <t>Pendente</t>
        </is>
      </c>
      <c r="L472" s="74" t="inlineStr">
        <is>
          <t>Poupança Caixa</t>
        </is>
      </c>
      <c r="M472" s="74" t="n"/>
      <c r="O472" s="78">
        <f>IF($A472="","",YEAR($A472)*100+MONTH($A472))</f>
        <v/>
      </c>
      <c r="P472" s="79">
        <f>IF(OR($F472="",$D472=""),"",IF($D472="Receita",$F472,IF($D472="Transferência",0,-$F472)))</f>
        <v/>
      </c>
    </row>
    <row r="473">
      <c r="A473" s="73" t="n">
        <v>46020</v>
      </c>
      <c r="B473" s="74" t="inlineStr">
        <is>
          <t>Feira e padaria</t>
        </is>
      </c>
      <c r="C473" s="74" t="inlineStr">
        <is>
          <t>Mercado</t>
        </is>
      </c>
      <c r="D473" s="75">
        <f>IF($C473="","",IFERROR(INDEX(CAT_TIPO,MATCH($C473,CAT_NOME,0)),"Sem categoria"))</f>
        <v/>
      </c>
      <c r="E473" s="75">
        <f>IF($C473="","",IFERROR(INDEX(CAT_GRUPO,MATCH($C473,CAT_NOME,0)),"Sem categoria"))</f>
        <v/>
      </c>
      <c r="F473" s="76" t="n">
        <v>93.06</v>
      </c>
      <c r="G473" s="74" t="inlineStr">
        <is>
          <t>Carteira</t>
        </is>
      </c>
      <c r="H473" s="74" t="inlineStr">
        <is>
          <t>Dinheiro</t>
        </is>
      </c>
      <c r="I473" s="74" t="n"/>
      <c r="J473" s="77" t="n"/>
      <c r="K473" s="77" t="inlineStr">
        <is>
          <t>Pendente</t>
        </is>
      </c>
      <c r="L473" s="74" t="n"/>
      <c r="M473" s="74" t="n"/>
      <c r="O473" s="78">
        <f>IF($A473="","",YEAR($A473)*100+MONTH($A473))</f>
        <v/>
      </c>
      <c r="P473" s="79">
        <f>IF(OR($F473="",$D473=""),"",IF($D473="Receita",$F473,IF($D473="Transferência",0,-$F473)))</f>
        <v/>
      </c>
    </row>
    <row r="474">
      <c r="A474" s="73" t="n"/>
      <c r="B474" s="74" t="n"/>
      <c r="C474" s="74" t="n"/>
      <c r="D474" s="75">
        <f>IF($C474="","",IFERROR(INDEX(CAT_TIPO,MATCH($C474,CAT_NOME,0)),"Sem categoria"))</f>
        <v/>
      </c>
      <c r="E474" s="75">
        <f>IF($C474="","",IFERROR(INDEX(CAT_GRUPO,MATCH($C474,CAT_NOME,0)),"Sem categoria"))</f>
        <v/>
      </c>
      <c r="F474" s="76" t="n"/>
      <c r="G474" s="74" t="n"/>
      <c r="H474" s="74" t="n"/>
      <c r="I474" s="74" t="n"/>
      <c r="J474" s="77" t="n"/>
      <c r="K474" s="77" t="n"/>
      <c r="L474" s="74" t="n"/>
      <c r="M474" s="74" t="n"/>
      <c r="O474" s="78">
        <f>IF($A474="","",YEAR($A474)*100+MONTH($A474))</f>
        <v/>
      </c>
      <c r="P474" s="79">
        <f>IF(OR($F474="",$D474=""),"",IF($D474="Receita",$F474,IF($D474="Transferência",0,-$F474)))</f>
        <v/>
      </c>
    </row>
    <row r="475">
      <c r="A475" s="73" t="n"/>
      <c r="B475" s="74" t="n"/>
      <c r="C475" s="74" t="n"/>
      <c r="D475" s="75">
        <f>IF($C475="","",IFERROR(INDEX(CAT_TIPO,MATCH($C475,CAT_NOME,0)),"Sem categoria"))</f>
        <v/>
      </c>
      <c r="E475" s="75">
        <f>IF($C475="","",IFERROR(INDEX(CAT_GRUPO,MATCH($C475,CAT_NOME,0)),"Sem categoria"))</f>
        <v/>
      </c>
      <c r="F475" s="76" t="n"/>
      <c r="G475" s="74" t="n"/>
      <c r="H475" s="74" t="n"/>
      <c r="I475" s="74" t="n"/>
      <c r="J475" s="77" t="n"/>
      <c r="K475" s="77" t="n"/>
      <c r="L475" s="74" t="n"/>
      <c r="M475" s="74" t="n"/>
      <c r="O475" s="78">
        <f>IF($A475="","",YEAR($A475)*100+MONTH($A475))</f>
        <v/>
      </c>
      <c r="P475" s="79">
        <f>IF(OR($F475="",$D475=""),"",IF($D475="Receita",$F475,IF($D475="Transferência",0,-$F475)))</f>
        <v/>
      </c>
    </row>
    <row r="476">
      <c r="A476" s="73" t="n"/>
      <c r="B476" s="74" t="n"/>
      <c r="C476" s="74" t="n"/>
      <c r="D476" s="75">
        <f>IF($C476="","",IFERROR(INDEX(CAT_TIPO,MATCH($C476,CAT_NOME,0)),"Sem categoria"))</f>
        <v/>
      </c>
      <c r="E476" s="75">
        <f>IF($C476="","",IFERROR(INDEX(CAT_GRUPO,MATCH($C476,CAT_NOME,0)),"Sem categoria"))</f>
        <v/>
      </c>
      <c r="F476" s="76" t="n"/>
      <c r="G476" s="74" t="n"/>
      <c r="H476" s="74" t="n"/>
      <c r="I476" s="74" t="n"/>
      <c r="J476" s="77" t="n"/>
      <c r="K476" s="77" t="n"/>
      <c r="L476" s="74" t="n"/>
      <c r="M476" s="74" t="n"/>
      <c r="O476" s="78">
        <f>IF($A476="","",YEAR($A476)*100+MONTH($A476))</f>
        <v/>
      </c>
      <c r="P476" s="79">
        <f>IF(OR($F476="",$D476=""),"",IF($D476="Receita",$F476,IF($D476="Transferência",0,-$F476)))</f>
        <v/>
      </c>
    </row>
    <row r="477">
      <c r="A477" s="73" t="n"/>
      <c r="B477" s="74" t="n"/>
      <c r="C477" s="74" t="n"/>
      <c r="D477" s="75">
        <f>IF($C477="","",IFERROR(INDEX(CAT_TIPO,MATCH($C477,CAT_NOME,0)),"Sem categoria"))</f>
        <v/>
      </c>
      <c r="E477" s="75">
        <f>IF($C477="","",IFERROR(INDEX(CAT_GRUPO,MATCH($C477,CAT_NOME,0)),"Sem categoria"))</f>
        <v/>
      </c>
      <c r="F477" s="76" t="n"/>
      <c r="G477" s="74" t="n"/>
      <c r="H477" s="74" t="n"/>
      <c r="I477" s="74" t="n"/>
      <c r="J477" s="77" t="n"/>
      <c r="K477" s="77" t="n"/>
      <c r="L477" s="74" t="n"/>
      <c r="M477" s="74" t="n"/>
      <c r="O477" s="78">
        <f>IF($A477="","",YEAR($A477)*100+MONTH($A477))</f>
        <v/>
      </c>
      <c r="P477" s="79">
        <f>IF(OR($F477="",$D477=""),"",IF($D477="Receita",$F477,IF($D477="Transferência",0,-$F477)))</f>
        <v/>
      </c>
    </row>
    <row r="478">
      <c r="A478" s="73" t="n"/>
      <c r="B478" s="74" t="n"/>
      <c r="C478" s="74" t="n"/>
      <c r="D478" s="75">
        <f>IF($C478="","",IFERROR(INDEX(CAT_TIPO,MATCH($C478,CAT_NOME,0)),"Sem categoria"))</f>
        <v/>
      </c>
      <c r="E478" s="75">
        <f>IF($C478="","",IFERROR(INDEX(CAT_GRUPO,MATCH($C478,CAT_NOME,0)),"Sem categoria"))</f>
        <v/>
      </c>
      <c r="F478" s="76" t="n"/>
      <c r="G478" s="74" t="n"/>
      <c r="H478" s="74" t="n"/>
      <c r="I478" s="74" t="n"/>
      <c r="J478" s="77" t="n"/>
      <c r="K478" s="77" t="n"/>
      <c r="L478" s="74" t="n"/>
      <c r="M478" s="74" t="n"/>
      <c r="O478" s="78">
        <f>IF($A478="","",YEAR($A478)*100+MONTH($A478))</f>
        <v/>
      </c>
      <c r="P478" s="79">
        <f>IF(OR($F478="",$D478=""),"",IF($D478="Receita",$F478,IF($D478="Transferência",0,-$F478)))</f>
        <v/>
      </c>
    </row>
    <row r="479">
      <c r="A479" s="73" t="n"/>
      <c r="B479" s="74" t="n"/>
      <c r="C479" s="74" t="n"/>
      <c r="D479" s="75">
        <f>IF($C479="","",IFERROR(INDEX(CAT_TIPO,MATCH($C479,CAT_NOME,0)),"Sem categoria"))</f>
        <v/>
      </c>
      <c r="E479" s="75">
        <f>IF($C479="","",IFERROR(INDEX(CAT_GRUPO,MATCH($C479,CAT_NOME,0)),"Sem categoria"))</f>
        <v/>
      </c>
      <c r="F479" s="76" t="n"/>
      <c r="G479" s="74" t="n"/>
      <c r="H479" s="74" t="n"/>
      <c r="I479" s="74" t="n"/>
      <c r="J479" s="77" t="n"/>
      <c r="K479" s="77" t="n"/>
      <c r="L479" s="74" t="n"/>
      <c r="M479" s="74" t="n"/>
      <c r="O479" s="78">
        <f>IF($A479="","",YEAR($A479)*100+MONTH($A479))</f>
        <v/>
      </c>
      <c r="P479" s="79">
        <f>IF(OR($F479="",$D479=""),"",IF($D479="Receita",$F479,IF($D479="Transferência",0,-$F479)))</f>
        <v/>
      </c>
    </row>
    <row r="480">
      <c r="A480" s="73" t="n"/>
      <c r="B480" s="74" t="n"/>
      <c r="C480" s="74" t="n"/>
      <c r="D480" s="75">
        <f>IF($C480="","",IFERROR(INDEX(CAT_TIPO,MATCH($C480,CAT_NOME,0)),"Sem categoria"))</f>
        <v/>
      </c>
      <c r="E480" s="75">
        <f>IF($C480="","",IFERROR(INDEX(CAT_GRUPO,MATCH($C480,CAT_NOME,0)),"Sem categoria"))</f>
        <v/>
      </c>
      <c r="F480" s="76" t="n"/>
      <c r="G480" s="74" t="n"/>
      <c r="H480" s="74" t="n"/>
      <c r="I480" s="74" t="n"/>
      <c r="J480" s="77" t="n"/>
      <c r="K480" s="77" t="n"/>
      <c r="L480" s="74" t="n"/>
      <c r="M480" s="74" t="n"/>
      <c r="O480" s="78">
        <f>IF($A480="","",YEAR($A480)*100+MONTH($A480))</f>
        <v/>
      </c>
      <c r="P480" s="79">
        <f>IF(OR($F480="",$D480=""),"",IF($D480="Receita",$F480,IF($D480="Transferência",0,-$F480)))</f>
        <v/>
      </c>
    </row>
    <row r="481">
      <c r="A481" s="73" t="n"/>
      <c r="B481" s="74" t="n"/>
      <c r="C481" s="74" t="n"/>
      <c r="D481" s="75">
        <f>IF($C481="","",IFERROR(INDEX(CAT_TIPO,MATCH($C481,CAT_NOME,0)),"Sem categoria"))</f>
        <v/>
      </c>
      <c r="E481" s="75">
        <f>IF($C481="","",IFERROR(INDEX(CAT_GRUPO,MATCH($C481,CAT_NOME,0)),"Sem categoria"))</f>
        <v/>
      </c>
      <c r="F481" s="76" t="n"/>
      <c r="G481" s="74" t="n"/>
      <c r="H481" s="74" t="n"/>
      <c r="I481" s="74" t="n"/>
      <c r="J481" s="77" t="n"/>
      <c r="K481" s="77" t="n"/>
      <c r="L481" s="74" t="n"/>
      <c r="M481" s="74" t="n"/>
      <c r="O481" s="78">
        <f>IF($A481="","",YEAR($A481)*100+MONTH($A481))</f>
        <v/>
      </c>
      <c r="P481" s="79">
        <f>IF(OR($F481="",$D481=""),"",IF($D481="Receita",$F481,IF($D481="Transferência",0,-$F481)))</f>
        <v/>
      </c>
    </row>
    <row r="482">
      <c r="A482" s="73" t="n"/>
      <c r="B482" s="74" t="n"/>
      <c r="C482" s="74" t="n"/>
      <c r="D482" s="75">
        <f>IF($C482="","",IFERROR(INDEX(CAT_TIPO,MATCH($C482,CAT_NOME,0)),"Sem categoria"))</f>
        <v/>
      </c>
      <c r="E482" s="75">
        <f>IF($C482="","",IFERROR(INDEX(CAT_GRUPO,MATCH($C482,CAT_NOME,0)),"Sem categoria"))</f>
        <v/>
      </c>
      <c r="F482" s="76" t="n"/>
      <c r="G482" s="74" t="n"/>
      <c r="H482" s="74" t="n"/>
      <c r="I482" s="74" t="n"/>
      <c r="J482" s="77" t="n"/>
      <c r="K482" s="77" t="n"/>
      <c r="L482" s="74" t="n"/>
      <c r="M482" s="74" t="n"/>
      <c r="O482" s="78">
        <f>IF($A482="","",YEAR($A482)*100+MONTH($A482))</f>
        <v/>
      </c>
      <c r="P482" s="79">
        <f>IF(OR($F482="",$D482=""),"",IF($D482="Receita",$F482,IF($D482="Transferência",0,-$F482)))</f>
        <v/>
      </c>
    </row>
    <row r="483">
      <c r="A483" s="73" t="n"/>
      <c r="B483" s="74" t="n"/>
      <c r="C483" s="74" t="n"/>
      <c r="D483" s="75">
        <f>IF($C483="","",IFERROR(INDEX(CAT_TIPO,MATCH($C483,CAT_NOME,0)),"Sem categoria"))</f>
        <v/>
      </c>
      <c r="E483" s="75">
        <f>IF($C483="","",IFERROR(INDEX(CAT_GRUPO,MATCH($C483,CAT_NOME,0)),"Sem categoria"))</f>
        <v/>
      </c>
      <c r="F483" s="76" t="n"/>
      <c r="G483" s="74" t="n"/>
      <c r="H483" s="74" t="n"/>
      <c r="I483" s="74" t="n"/>
      <c r="J483" s="77" t="n"/>
      <c r="K483" s="77" t="n"/>
      <c r="L483" s="74" t="n"/>
      <c r="M483" s="74" t="n"/>
      <c r="O483" s="78">
        <f>IF($A483="","",YEAR($A483)*100+MONTH($A483))</f>
        <v/>
      </c>
      <c r="P483" s="79">
        <f>IF(OR($F483="",$D483=""),"",IF($D483="Receita",$F483,IF($D483="Transferência",0,-$F483)))</f>
        <v/>
      </c>
    </row>
    <row r="484">
      <c r="A484" s="73" t="n"/>
      <c r="B484" s="74" t="n"/>
      <c r="C484" s="74" t="n"/>
      <c r="D484" s="75">
        <f>IF($C484="","",IFERROR(INDEX(CAT_TIPO,MATCH($C484,CAT_NOME,0)),"Sem categoria"))</f>
        <v/>
      </c>
      <c r="E484" s="75">
        <f>IF($C484="","",IFERROR(INDEX(CAT_GRUPO,MATCH($C484,CAT_NOME,0)),"Sem categoria"))</f>
        <v/>
      </c>
      <c r="F484" s="76" t="n"/>
      <c r="G484" s="74" t="n"/>
      <c r="H484" s="74" t="n"/>
      <c r="I484" s="74" t="n"/>
      <c r="J484" s="77" t="n"/>
      <c r="K484" s="77" t="n"/>
      <c r="L484" s="74" t="n"/>
      <c r="M484" s="74" t="n"/>
      <c r="O484" s="78">
        <f>IF($A484="","",YEAR($A484)*100+MONTH($A484))</f>
        <v/>
      </c>
      <c r="P484" s="79">
        <f>IF(OR($F484="",$D484=""),"",IF($D484="Receita",$F484,IF($D484="Transferência",0,-$F484)))</f>
        <v/>
      </c>
    </row>
    <row r="485">
      <c r="A485" s="73" t="n"/>
      <c r="B485" s="74" t="n"/>
      <c r="C485" s="74" t="n"/>
      <c r="D485" s="75">
        <f>IF($C485="","",IFERROR(INDEX(CAT_TIPO,MATCH($C485,CAT_NOME,0)),"Sem categoria"))</f>
        <v/>
      </c>
      <c r="E485" s="75">
        <f>IF($C485="","",IFERROR(INDEX(CAT_GRUPO,MATCH($C485,CAT_NOME,0)),"Sem categoria"))</f>
        <v/>
      </c>
      <c r="F485" s="76" t="n"/>
      <c r="G485" s="74" t="n"/>
      <c r="H485" s="74" t="n"/>
      <c r="I485" s="74" t="n"/>
      <c r="J485" s="77" t="n"/>
      <c r="K485" s="77" t="n"/>
      <c r="L485" s="74" t="n"/>
      <c r="M485" s="74" t="n"/>
      <c r="O485" s="78">
        <f>IF($A485="","",YEAR($A485)*100+MONTH($A485))</f>
        <v/>
      </c>
      <c r="P485" s="79">
        <f>IF(OR($F485="",$D485=""),"",IF($D485="Receita",$F485,IF($D485="Transferência",0,-$F485)))</f>
        <v/>
      </c>
    </row>
    <row r="486">
      <c r="A486" s="73" t="n"/>
      <c r="B486" s="74" t="n"/>
      <c r="C486" s="74" t="n"/>
      <c r="D486" s="75">
        <f>IF($C486="","",IFERROR(INDEX(CAT_TIPO,MATCH($C486,CAT_NOME,0)),"Sem categoria"))</f>
        <v/>
      </c>
      <c r="E486" s="75">
        <f>IF($C486="","",IFERROR(INDEX(CAT_GRUPO,MATCH($C486,CAT_NOME,0)),"Sem categoria"))</f>
        <v/>
      </c>
      <c r="F486" s="76" t="n"/>
      <c r="G486" s="74" t="n"/>
      <c r="H486" s="74" t="n"/>
      <c r="I486" s="74" t="n"/>
      <c r="J486" s="77" t="n"/>
      <c r="K486" s="77" t="n"/>
      <c r="L486" s="74" t="n"/>
      <c r="M486" s="74" t="n"/>
      <c r="O486" s="78">
        <f>IF($A486="","",YEAR($A486)*100+MONTH($A486))</f>
        <v/>
      </c>
      <c r="P486" s="79">
        <f>IF(OR($F486="",$D486=""),"",IF($D486="Receita",$F486,IF($D486="Transferência",0,-$F486)))</f>
        <v/>
      </c>
    </row>
    <row r="487">
      <c r="A487" s="73" t="n"/>
      <c r="B487" s="74" t="n"/>
      <c r="C487" s="74" t="n"/>
      <c r="D487" s="75">
        <f>IF($C487="","",IFERROR(INDEX(CAT_TIPO,MATCH($C487,CAT_NOME,0)),"Sem categoria"))</f>
        <v/>
      </c>
      <c r="E487" s="75">
        <f>IF($C487="","",IFERROR(INDEX(CAT_GRUPO,MATCH($C487,CAT_NOME,0)),"Sem categoria"))</f>
        <v/>
      </c>
      <c r="F487" s="76" t="n"/>
      <c r="G487" s="74" t="n"/>
      <c r="H487" s="74" t="n"/>
      <c r="I487" s="74" t="n"/>
      <c r="J487" s="77" t="n"/>
      <c r="K487" s="77" t="n"/>
      <c r="L487" s="74" t="n"/>
      <c r="M487" s="74" t="n"/>
      <c r="O487" s="78">
        <f>IF($A487="","",YEAR($A487)*100+MONTH($A487))</f>
        <v/>
      </c>
      <c r="P487" s="79">
        <f>IF(OR($F487="",$D487=""),"",IF($D487="Receita",$F487,IF($D487="Transferência",0,-$F487)))</f>
        <v/>
      </c>
    </row>
    <row r="488">
      <c r="A488" s="73" t="n"/>
      <c r="B488" s="74" t="n"/>
      <c r="C488" s="74" t="n"/>
      <c r="D488" s="75">
        <f>IF($C488="","",IFERROR(INDEX(CAT_TIPO,MATCH($C488,CAT_NOME,0)),"Sem categoria"))</f>
        <v/>
      </c>
      <c r="E488" s="75">
        <f>IF($C488="","",IFERROR(INDEX(CAT_GRUPO,MATCH($C488,CAT_NOME,0)),"Sem categoria"))</f>
        <v/>
      </c>
      <c r="F488" s="76" t="n"/>
      <c r="G488" s="74" t="n"/>
      <c r="H488" s="74" t="n"/>
      <c r="I488" s="74" t="n"/>
      <c r="J488" s="77" t="n"/>
      <c r="K488" s="77" t="n"/>
      <c r="L488" s="74" t="n"/>
      <c r="M488" s="74" t="n"/>
      <c r="O488" s="78">
        <f>IF($A488="","",YEAR($A488)*100+MONTH($A488))</f>
        <v/>
      </c>
      <c r="P488" s="79">
        <f>IF(OR($F488="",$D488=""),"",IF($D488="Receita",$F488,IF($D488="Transferência",0,-$F488)))</f>
        <v/>
      </c>
    </row>
    <row r="489">
      <c r="A489" s="73" t="n"/>
      <c r="B489" s="74" t="n"/>
      <c r="C489" s="74" t="n"/>
      <c r="D489" s="75">
        <f>IF($C489="","",IFERROR(INDEX(CAT_TIPO,MATCH($C489,CAT_NOME,0)),"Sem categoria"))</f>
        <v/>
      </c>
      <c r="E489" s="75">
        <f>IF($C489="","",IFERROR(INDEX(CAT_GRUPO,MATCH($C489,CAT_NOME,0)),"Sem categoria"))</f>
        <v/>
      </c>
      <c r="F489" s="76" t="n"/>
      <c r="G489" s="74" t="n"/>
      <c r="H489" s="74" t="n"/>
      <c r="I489" s="74" t="n"/>
      <c r="J489" s="77" t="n"/>
      <c r="K489" s="77" t="n"/>
      <c r="L489" s="74" t="n"/>
      <c r="M489" s="74" t="n"/>
      <c r="O489" s="78">
        <f>IF($A489="","",YEAR($A489)*100+MONTH($A489))</f>
        <v/>
      </c>
      <c r="P489" s="79">
        <f>IF(OR($F489="",$D489=""),"",IF($D489="Receita",$F489,IF($D489="Transferência",0,-$F489)))</f>
        <v/>
      </c>
    </row>
    <row r="490">
      <c r="A490" s="73" t="n"/>
      <c r="B490" s="74" t="n"/>
      <c r="C490" s="74" t="n"/>
      <c r="D490" s="75">
        <f>IF($C490="","",IFERROR(INDEX(CAT_TIPO,MATCH($C490,CAT_NOME,0)),"Sem categoria"))</f>
        <v/>
      </c>
      <c r="E490" s="75">
        <f>IF($C490="","",IFERROR(INDEX(CAT_GRUPO,MATCH($C490,CAT_NOME,0)),"Sem categoria"))</f>
        <v/>
      </c>
      <c r="F490" s="76" t="n"/>
      <c r="G490" s="74" t="n"/>
      <c r="H490" s="74" t="n"/>
      <c r="I490" s="74" t="n"/>
      <c r="J490" s="77" t="n"/>
      <c r="K490" s="77" t="n"/>
      <c r="L490" s="74" t="n"/>
      <c r="M490" s="74" t="n"/>
      <c r="O490" s="78">
        <f>IF($A490="","",YEAR($A490)*100+MONTH($A490))</f>
        <v/>
      </c>
      <c r="P490" s="79">
        <f>IF(OR($F490="",$D490=""),"",IF($D490="Receita",$F490,IF($D490="Transferência",0,-$F490)))</f>
        <v/>
      </c>
    </row>
    <row r="491">
      <c r="A491" s="73" t="n"/>
      <c r="B491" s="74" t="n"/>
      <c r="C491" s="74" t="n"/>
      <c r="D491" s="75">
        <f>IF($C491="","",IFERROR(INDEX(CAT_TIPO,MATCH($C491,CAT_NOME,0)),"Sem categoria"))</f>
        <v/>
      </c>
      <c r="E491" s="75">
        <f>IF($C491="","",IFERROR(INDEX(CAT_GRUPO,MATCH($C491,CAT_NOME,0)),"Sem categoria"))</f>
        <v/>
      </c>
      <c r="F491" s="76" t="n"/>
      <c r="G491" s="74" t="n"/>
      <c r="H491" s="74" t="n"/>
      <c r="I491" s="74" t="n"/>
      <c r="J491" s="77" t="n"/>
      <c r="K491" s="77" t="n"/>
      <c r="L491" s="74" t="n"/>
      <c r="M491" s="74" t="n"/>
      <c r="O491" s="78">
        <f>IF($A491="","",YEAR($A491)*100+MONTH($A491))</f>
        <v/>
      </c>
      <c r="P491" s="79">
        <f>IF(OR($F491="",$D491=""),"",IF($D491="Receita",$F491,IF($D491="Transferência",0,-$F491)))</f>
        <v/>
      </c>
    </row>
    <row r="492">
      <c r="A492" s="73" t="n"/>
      <c r="B492" s="74" t="n"/>
      <c r="C492" s="74" t="n"/>
      <c r="D492" s="75">
        <f>IF($C492="","",IFERROR(INDEX(CAT_TIPO,MATCH($C492,CAT_NOME,0)),"Sem categoria"))</f>
        <v/>
      </c>
      <c r="E492" s="75">
        <f>IF($C492="","",IFERROR(INDEX(CAT_GRUPO,MATCH($C492,CAT_NOME,0)),"Sem categoria"))</f>
        <v/>
      </c>
      <c r="F492" s="76" t="n"/>
      <c r="G492" s="74" t="n"/>
      <c r="H492" s="74" t="n"/>
      <c r="I492" s="74" t="n"/>
      <c r="J492" s="77" t="n"/>
      <c r="K492" s="77" t="n"/>
      <c r="L492" s="74" t="n"/>
      <c r="M492" s="74" t="n"/>
      <c r="O492" s="78">
        <f>IF($A492="","",YEAR($A492)*100+MONTH($A492))</f>
        <v/>
      </c>
      <c r="P492" s="79">
        <f>IF(OR($F492="",$D492=""),"",IF($D492="Receita",$F492,IF($D492="Transferência",0,-$F492)))</f>
        <v/>
      </c>
    </row>
    <row r="493">
      <c r="A493" s="73" t="n"/>
      <c r="B493" s="74" t="n"/>
      <c r="C493" s="74" t="n"/>
      <c r="D493" s="75">
        <f>IF($C493="","",IFERROR(INDEX(CAT_TIPO,MATCH($C493,CAT_NOME,0)),"Sem categoria"))</f>
        <v/>
      </c>
      <c r="E493" s="75">
        <f>IF($C493="","",IFERROR(INDEX(CAT_GRUPO,MATCH($C493,CAT_NOME,0)),"Sem categoria"))</f>
        <v/>
      </c>
      <c r="F493" s="76" t="n"/>
      <c r="G493" s="74" t="n"/>
      <c r="H493" s="74" t="n"/>
      <c r="I493" s="74" t="n"/>
      <c r="J493" s="77" t="n"/>
      <c r="K493" s="77" t="n"/>
      <c r="L493" s="74" t="n"/>
      <c r="M493" s="74" t="n"/>
      <c r="O493" s="78">
        <f>IF($A493="","",YEAR($A493)*100+MONTH($A493))</f>
        <v/>
      </c>
      <c r="P493" s="79">
        <f>IF(OR($F493="",$D493=""),"",IF($D493="Receita",$F493,IF($D493="Transferência",0,-$F493)))</f>
        <v/>
      </c>
    </row>
    <row r="494">
      <c r="A494" s="73" t="n"/>
      <c r="B494" s="74" t="n"/>
      <c r="C494" s="74" t="n"/>
      <c r="D494" s="75">
        <f>IF($C494="","",IFERROR(INDEX(CAT_TIPO,MATCH($C494,CAT_NOME,0)),"Sem categoria"))</f>
        <v/>
      </c>
      <c r="E494" s="75">
        <f>IF($C494="","",IFERROR(INDEX(CAT_GRUPO,MATCH($C494,CAT_NOME,0)),"Sem categoria"))</f>
        <v/>
      </c>
      <c r="F494" s="76" t="n"/>
      <c r="G494" s="74" t="n"/>
      <c r="H494" s="74" t="n"/>
      <c r="I494" s="74" t="n"/>
      <c r="J494" s="77" t="n"/>
      <c r="K494" s="77" t="n"/>
      <c r="L494" s="74" t="n"/>
      <c r="M494" s="74" t="n"/>
      <c r="O494" s="78">
        <f>IF($A494="","",YEAR($A494)*100+MONTH($A494))</f>
        <v/>
      </c>
      <c r="P494" s="79">
        <f>IF(OR($F494="",$D494=""),"",IF($D494="Receita",$F494,IF($D494="Transferência",0,-$F494)))</f>
        <v/>
      </c>
    </row>
    <row r="495">
      <c r="A495" s="73" t="n"/>
      <c r="B495" s="74" t="n"/>
      <c r="C495" s="74" t="n"/>
      <c r="D495" s="75">
        <f>IF($C495="","",IFERROR(INDEX(CAT_TIPO,MATCH($C495,CAT_NOME,0)),"Sem categoria"))</f>
        <v/>
      </c>
      <c r="E495" s="75">
        <f>IF($C495="","",IFERROR(INDEX(CAT_GRUPO,MATCH($C495,CAT_NOME,0)),"Sem categoria"))</f>
        <v/>
      </c>
      <c r="F495" s="76" t="n"/>
      <c r="G495" s="74" t="n"/>
      <c r="H495" s="74" t="n"/>
      <c r="I495" s="74" t="n"/>
      <c r="J495" s="77" t="n"/>
      <c r="K495" s="77" t="n"/>
      <c r="L495" s="74" t="n"/>
      <c r="M495" s="74" t="n"/>
      <c r="O495" s="78">
        <f>IF($A495="","",YEAR($A495)*100+MONTH($A495))</f>
        <v/>
      </c>
      <c r="P495" s="79">
        <f>IF(OR($F495="",$D495=""),"",IF($D495="Receita",$F495,IF($D495="Transferência",0,-$F495)))</f>
        <v/>
      </c>
    </row>
    <row r="496">
      <c r="A496" s="73" t="n"/>
      <c r="B496" s="74" t="n"/>
      <c r="C496" s="74" t="n"/>
      <c r="D496" s="75">
        <f>IF($C496="","",IFERROR(INDEX(CAT_TIPO,MATCH($C496,CAT_NOME,0)),"Sem categoria"))</f>
        <v/>
      </c>
      <c r="E496" s="75">
        <f>IF($C496="","",IFERROR(INDEX(CAT_GRUPO,MATCH($C496,CAT_NOME,0)),"Sem categoria"))</f>
        <v/>
      </c>
      <c r="F496" s="76" t="n"/>
      <c r="G496" s="74" t="n"/>
      <c r="H496" s="74" t="n"/>
      <c r="I496" s="74" t="n"/>
      <c r="J496" s="77" t="n"/>
      <c r="K496" s="77" t="n"/>
      <c r="L496" s="74" t="n"/>
      <c r="M496" s="74" t="n"/>
      <c r="O496" s="78">
        <f>IF($A496="","",YEAR($A496)*100+MONTH($A496))</f>
        <v/>
      </c>
      <c r="P496" s="79">
        <f>IF(OR($F496="",$D496=""),"",IF($D496="Receita",$F496,IF($D496="Transferência",0,-$F496)))</f>
        <v/>
      </c>
    </row>
    <row r="497">
      <c r="A497" s="73" t="n"/>
      <c r="B497" s="74" t="n"/>
      <c r="C497" s="74" t="n"/>
      <c r="D497" s="75">
        <f>IF($C497="","",IFERROR(INDEX(CAT_TIPO,MATCH($C497,CAT_NOME,0)),"Sem categoria"))</f>
        <v/>
      </c>
      <c r="E497" s="75">
        <f>IF($C497="","",IFERROR(INDEX(CAT_GRUPO,MATCH($C497,CAT_NOME,0)),"Sem categoria"))</f>
        <v/>
      </c>
      <c r="F497" s="76" t="n"/>
      <c r="G497" s="74" t="n"/>
      <c r="H497" s="74" t="n"/>
      <c r="I497" s="74" t="n"/>
      <c r="J497" s="77" t="n"/>
      <c r="K497" s="77" t="n"/>
      <c r="L497" s="74" t="n"/>
      <c r="M497" s="74" t="n"/>
      <c r="O497" s="78">
        <f>IF($A497="","",YEAR($A497)*100+MONTH($A497))</f>
        <v/>
      </c>
      <c r="P497" s="79">
        <f>IF(OR($F497="",$D497=""),"",IF($D497="Receita",$F497,IF($D497="Transferência",0,-$F497)))</f>
        <v/>
      </c>
    </row>
    <row r="498">
      <c r="A498" s="73" t="n"/>
      <c r="B498" s="74" t="n"/>
      <c r="C498" s="74" t="n"/>
      <c r="D498" s="75">
        <f>IF($C498="","",IFERROR(INDEX(CAT_TIPO,MATCH($C498,CAT_NOME,0)),"Sem categoria"))</f>
        <v/>
      </c>
      <c r="E498" s="75">
        <f>IF($C498="","",IFERROR(INDEX(CAT_GRUPO,MATCH($C498,CAT_NOME,0)),"Sem categoria"))</f>
        <v/>
      </c>
      <c r="F498" s="76" t="n"/>
      <c r="G498" s="74" t="n"/>
      <c r="H498" s="74" t="n"/>
      <c r="I498" s="74" t="n"/>
      <c r="J498" s="77" t="n"/>
      <c r="K498" s="77" t="n"/>
      <c r="L498" s="74" t="n"/>
      <c r="M498" s="74" t="n"/>
      <c r="O498" s="78">
        <f>IF($A498="","",YEAR($A498)*100+MONTH($A498))</f>
        <v/>
      </c>
      <c r="P498" s="79">
        <f>IF(OR($F498="",$D498=""),"",IF($D498="Receita",$F498,IF($D498="Transferência",0,-$F498)))</f>
        <v/>
      </c>
    </row>
    <row r="499">
      <c r="A499" s="73" t="n"/>
      <c r="B499" s="74" t="n"/>
      <c r="C499" s="74" t="n"/>
      <c r="D499" s="75">
        <f>IF($C499="","",IFERROR(INDEX(CAT_TIPO,MATCH($C499,CAT_NOME,0)),"Sem categoria"))</f>
        <v/>
      </c>
      <c r="E499" s="75">
        <f>IF($C499="","",IFERROR(INDEX(CAT_GRUPO,MATCH($C499,CAT_NOME,0)),"Sem categoria"))</f>
        <v/>
      </c>
      <c r="F499" s="76" t="n"/>
      <c r="G499" s="74" t="n"/>
      <c r="H499" s="74" t="n"/>
      <c r="I499" s="74" t="n"/>
      <c r="J499" s="77" t="n"/>
      <c r="K499" s="77" t="n"/>
      <c r="L499" s="74" t="n"/>
      <c r="M499" s="74" t="n"/>
      <c r="O499" s="78">
        <f>IF($A499="","",YEAR($A499)*100+MONTH($A499))</f>
        <v/>
      </c>
      <c r="P499" s="79">
        <f>IF(OR($F499="",$D499=""),"",IF($D499="Receita",$F499,IF($D499="Transferência",0,-$F499)))</f>
        <v/>
      </c>
    </row>
    <row r="500">
      <c r="A500" s="73" t="n"/>
      <c r="B500" s="74" t="n"/>
      <c r="C500" s="74" t="n"/>
      <c r="D500" s="75">
        <f>IF($C500="","",IFERROR(INDEX(CAT_TIPO,MATCH($C500,CAT_NOME,0)),"Sem categoria"))</f>
        <v/>
      </c>
      <c r="E500" s="75">
        <f>IF($C500="","",IFERROR(INDEX(CAT_GRUPO,MATCH($C500,CAT_NOME,0)),"Sem categoria"))</f>
        <v/>
      </c>
      <c r="F500" s="76" t="n"/>
      <c r="G500" s="74" t="n"/>
      <c r="H500" s="74" t="n"/>
      <c r="I500" s="74" t="n"/>
      <c r="J500" s="77" t="n"/>
      <c r="K500" s="77" t="n"/>
      <c r="L500" s="74" t="n"/>
      <c r="M500" s="74" t="n"/>
      <c r="O500" s="78">
        <f>IF($A500="","",YEAR($A500)*100+MONTH($A500))</f>
        <v/>
      </c>
      <c r="P500" s="79">
        <f>IF(OR($F500="",$D500=""),"",IF($D500="Receita",$F500,IF($D500="Transferência",0,-$F500)))</f>
        <v/>
      </c>
    </row>
    <row r="501">
      <c r="A501" s="73" t="n"/>
      <c r="B501" s="74" t="n"/>
      <c r="C501" s="74" t="n"/>
      <c r="D501" s="75">
        <f>IF($C501="","",IFERROR(INDEX(CAT_TIPO,MATCH($C501,CAT_NOME,0)),"Sem categoria"))</f>
        <v/>
      </c>
      <c r="E501" s="75">
        <f>IF($C501="","",IFERROR(INDEX(CAT_GRUPO,MATCH($C501,CAT_NOME,0)),"Sem categoria"))</f>
        <v/>
      </c>
      <c r="F501" s="76" t="n"/>
      <c r="G501" s="74" t="n"/>
      <c r="H501" s="74" t="n"/>
      <c r="I501" s="74" t="n"/>
      <c r="J501" s="77" t="n"/>
      <c r="K501" s="77" t="n"/>
      <c r="L501" s="74" t="n"/>
      <c r="M501" s="74" t="n"/>
      <c r="O501" s="78">
        <f>IF($A501="","",YEAR($A501)*100+MONTH($A501))</f>
        <v/>
      </c>
      <c r="P501" s="79">
        <f>IF(OR($F501="",$D501=""),"",IF($D501="Receita",$F501,IF($D501="Transferência",0,-$F501)))</f>
        <v/>
      </c>
    </row>
    <row r="502">
      <c r="A502" s="73" t="n"/>
      <c r="B502" s="74" t="n"/>
      <c r="C502" s="74" t="n"/>
      <c r="D502" s="75">
        <f>IF($C502="","",IFERROR(INDEX(CAT_TIPO,MATCH($C502,CAT_NOME,0)),"Sem categoria"))</f>
        <v/>
      </c>
      <c r="E502" s="75">
        <f>IF($C502="","",IFERROR(INDEX(CAT_GRUPO,MATCH($C502,CAT_NOME,0)),"Sem categoria"))</f>
        <v/>
      </c>
      <c r="F502" s="76" t="n"/>
      <c r="G502" s="74" t="n"/>
      <c r="H502" s="74" t="n"/>
      <c r="I502" s="74" t="n"/>
      <c r="J502" s="77" t="n"/>
      <c r="K502" s="77" t="n"/>
      <c r="L502" s="74" t="n"/>
      <c r="M502" s="74" t="n"/>
      <c r="O502" s="78">
        <f>IF($A502="","",YEAR($A502)*100+MONTH($A502))</f>
        <v/>
      </c>
      <c r="P502" s="79">
        <f>IF(OR($F502="",$D502=""),"",IF($D502="Receita",$F502,IF($D502="Transferência",0,-$F502)))</f>
        <v/>
      </c>
    </row>
    <row r="503">
      <c r="A503" s="73" t="n"/>
      <c r="B503" s="74" t="n"/>
      <c r="C503" s="74" t="n"/>
      <c r="D503" s="75">
        <f>IF($C503="","",IFERROR(INDEX(CAT_TIPO,MATCH($C503,CAT_NOME,0)),"Sem categoria"))</f>
        <v/>
      </c>
      <c r="E503" s="75">
        <f>IF($C503="","",IFERROR(INDEX(CAT_GRUPO,MATCH($C503,CAT_NOME,0)),"Sem categoria"))</f>
        <v/>
      </c>
      <c r="F503" s="76" t="n"/>
      <c r="G503" s="74" t="n"/>
      <c r="H503" s="74" t="n"/>
      <c r="I503" s="74" t="n"/>
      <c r="J503" s="77" t="n"/>
      <c r="K503" s="77" t="n"/>
      <c r="L503" s="74" t="n"/>
      <c r="M503" s="74" t="n"/>
      <c r="O503" s="78">
        <f>IF($A503="","",YEAR($A503)*100+MONTH($A503))</f>
        <v/>
      </c>
      <c r="P503" s="79">
        <f>IF(OR($F503="",$D503=""),"",IF($D503="Receita",$F503,IF($D503="Transferência",0,-$F503)))</f>
        <v/>
      </c>
    </row>
    <row r="504">
      <c r="A504" s="73" t="n"/>
      <c r="B504" s="74" t="n"/>
      <c r="C504" s="74" t="n"/>
      <c r="D504" s="75">
        <f>IF($C504="","",IFERROR(INDEX(CAT_TIPO,MATCH($C504,CAT_NOME,0)),"Sem categoria"))</f>
        <v/>
      </c>
      <c r="E504" s="75">
        <f>IF($C504="","",IFERROR(INDEX(CAT_GRUPO,MATCH($C504,CAT_NOME,0)),"Sem categoria"))</f>
        <v/>
      </c>
      <c r="F504" s="76" t="n"/>
      <c r="G504" s="74" t="n"/>
      <c r="H504" s="74" t="n"/>
      <c r="I504" s="74" t="n"/>
      <c r="J504" s="77" t="n"/>
      <c r="K504" s="77" t="n"/>
      <c r="L504" s="74" t="n"/>
      <c r="M504" s="74" t="n"/>
      <c r="O504" s="78">
        <f>IF($A504="","",YEAR($A504)*100+MONTH($A504))</f>
        <v/>
      </c>
      <c r="P504" s="79">
        <f>IF(OR($F504="",$D504=""),"",IF($D504="Receita",$F504,IF($D504="Transferência",0,-$F504)))</f>
        <v/>
      </c>
    </row>
    <row r="505">
      <c r="A505" s="73" t="n"/>
      <c r="B505" s="74" t="n"/>
      <c r="C505" s="74" t="n"/>
      <c r="D505" s="75">
        <f>IF($C505="","",IFERROR(INDEX(CAT_TIPO,MATCH($C505,CAT_NOME,0)),"Sem categoria"))</f>
        <v/>
      </c>
      <c r="E505" s="75">
        <f>IF($C505="","",IFERROR(INDEX(CAT_GRUPO,MATCH($C505,CAT_NOME,0)),"Sem categoria"))</f>
        <v/>
      </c>
      <c r="F505" s="76" t="n"/>
      <c r="G505" s="74" t="n"/>
      <c r="H505" s="74" t="n"/>
      <c r="I505" s="74" t="n"/>
      <c r="J505" s="77" t="n"/>
      <c r="K505" s="77" t="n"/>
      <c r="L505" s="74" t="n"/>
      <c r="M505" s="74" t="n"/>
      <c r="O505" s="78">
        <f>IF($A505="","",YEAR($A505)*100+MONTH($A505))</f>
        <v/>
      </c>
      <c r="P505" s="79">
        <f>IF(OR($F505="",$D505=""),"",IF($D505="Receita",$F505,IF($D505="Transferência",0,-$F505)))</f>
        <v/>
      </c>
    </row>
    <row r="506">
      <c r="A506" s="73" t="n"/>
      <c r="B506" s="74" t="n"/>
      <c r="C506" s="74" t="n"/>
      <c r="D506" s="75">
        <f>IF($C506="","",IFERROR(INDEX(CAT_TIPO,MATCH($C506,CAT_NOME,0)),"Sem categoria"))</f>
        <v/>
      </c>
      <c r="E506" s="75">
        <f>IF($C506="","",IFERROR(INDEX(CAT_GRUPO,MATCH($C506,CAT_NOME,0)),"Sem categoria"))</f>
        <v/>
      </c>
      <c r="F506" s="76" t="n"/>
      <c r="G506" s="74" t="n"/>
      <c r="H506" s="74" t="n"/>
      <c r="I506" s="74" t="n"/>
      <c r="J506" s="77" t="n"/>
      <c r="K506" s="77" t="n"/>
      <c r="L506" s="74" t="n"/>
      <c r="M506" s="74" t="n"/>
      <c r="O506" s="78">
        <f>IF($A506="","",YEAR($A506)*100+MONTH($A506))</f>
        <v/>
      </c>
      <c r="P506" s="79">
        <f>IF(OR($F506="",$D506=""),"",IF($D506="Receita",$F506,IF($D506="Transferência",0,-$F506)))</f>
        <v/>
      </c>
    </row>
    <row r="507">
      <c r="A507" s="73" t="n"/>
      <c r="B507" s="74" t="n"/>
      <c r="C507" s="74" t="n"/>
      <c r="D507" s="75">
        <f>IF($C507="","",IFERROR(INDEX(CAT_TIPO,MATCH($C507,CAT_NOME,0)),"Sem categoria"))</f>
        <v/>
      </c>
      <c r="E507" s="75">
        <f>IF($C507="","",IFERROR(INDEX(CAT_GRUPO,MATCH($C507,CAT_NOME,0)),"Sem categoria"))</f>
        <v/>
      </c>
      <c r="F507" s="76" t="n"/>
      <c r="G507" s="74" t="n"/>
      <c r="H507" s="74" t="n"/>
      <c r="I507" s="74" t="n"/>
      <c r="J507" s="77" t="n"/>
      <c r="K507" s="77" t="n"/>
      <c r="L507" s="74" t="n"/>
      <c r="M507" s="74" t="n"/>
      <c r="O507" s="78">
        <f>IF($A507="","",YEAR($A507)*100+MONTH($A507))</f>
        <v/>
      </c>
      <c r="P507" s="79">
        <f>IF(OR($F507="",$D507=""),"",IF($D507="Receita",$F507,IF($D507="Transferência",0,-$F507)))</f>
        <v/>
      </c>
    </row>
    <row r="508">
      <c r="A508" s="73" t="n"/>
      <c r="B508" s="74" t="n"/>
      <c r="C508" s="74" t="n"/>
      <c r="D508" s="75">
        <f>IF($C508="","",IFERROR(INDEX(CAT_TIPO,MATCH($C508,CAT_NOME,0)),"Sem categoria"))</f>
        <v/>
      </c>
      <c r="E508" s="75">
        <f>IF($C508="","",IFERROR(INDEX(CAT_GRUPO,MATCH($C508,CAT_NOME,0)),"Sem categoria"))</f>
        <v/>
      </c>
      <c r="F508" s="76" t="n"/>
      <c r="G508" s="74" t="n"/>
      <c r="H508" s="74" t="n"/>
      <c r="I508" s="74" t="n"/>
      <c r="J508" s="77" t="n"/>
      <c r="K508" s="77" t="n"/>
      <c r="L508" s="74" t="n"/>
      <c r="M508" s="74" t="n"/>
      <c r="O508" s="78">
        <f>IF($A508="","",YEAR($A508)*100+MONTH($A508))</f>
        <v/>
      </c>
      <c r="P508" s="79">
        <f>IF(OR($F508="",$D508=""),"",IF($D508="Receita",$F508,IF($D508="Transferência",0,-$F508)))</f>
        <v/>
      </c>
    </row>
    <row r="509">
      <c r="A509" s="73" t="n"/>
      <c r="B509" s="74" t="n"/>
      <c r="C509" s="74" t="n"/>
      <c r="D509" s="75">
        <f>IF($C509="","",IFERROR(INDEX(CAT_TIPO,MATCH($C509,CAT_NOME,0)),"Sem categoria"))</f>
        <v/>
      </c>
      <c r="E509" s="75">
        <f>IF($C509="","",IFERROR(INDEX(CAT_GRUPO,MATCH($C509,CAT_NOME,0)),"Sem categoria"))</f>
        <v/>
      </c>
      <c r="F509" s="76" t="n"/>
      <c r="G509" s="74" t="n"/>
      <c r="H509" s="74" t="n"/>
      <c r="I509" s="74" t="n"/>
      <c r="J509" s="77" t="n"/>
      <c r="K509" s="77" t="n"/>
      <c r="L509" s="74" t="n"/>
      <c r="M509" s="74" t="n"/>
      <c r="O509" s="78">
        <f>IF($A509="","",YEAR($A509)*100+MONTH($A509))</f>
        <v/>
      </c>
      <c r="P509" s="79">
        <f>IF(OR($F509="",$D509=""),"",IF($D509="Receita",$F509,IF($D509="Transferência",0,-$F509)))</f>
        <v/>
      </c>
    </row>
    <row r="510">
      <c r="A510" s="73" t="n"/>
      <c r="B510" s="74" t="n"/>
      <c r="C510" s="74" t="n"/>
      <c r="D510" s="75">
        <f>IF($C510="","",IFERROR(INDEX(CAT_TIPO,MATCH($C510,CAT_NOME,0)),"Sem categoria"))</f>
        <v/>
      </c>
      <c r="E510" s="75">
        <f>IF($C510="","",IFERROR(INDEX(CAT_GRUPO,MATCH($C510,CAT_NOME,0)),"Sem categoria"))</f>
        <v/>
      </c>
      <c r="F510" s="76" t="n"/>
      <c r="G510" s="74" t="n"/>
      <c r="H510" s="74" t="n"/>
      <c r="I510" s="74" t="n"/>
      <c r="J510" s="77" t="n"/>
      <c r="K510" s="77" t="n"/>
      <c r="L510" s="74" t="n"/>
      <c r="M510" s="74" t="n"/>
      <c r="O510" s="78">
        <f>IF($A510="","",YEAR($A510)*100+MONTH($A510))</f>
        <v/>
      </c>
      <c r="P510" s="79">
        <f>IF(OR($F510="",$D510=""),"",IF($D510="Receita",$F510,IF($D510="Transferência",0,-$F510)))</f>
        <v/>
      </c>
    </row>
    <row r="511">
      <c r="A511" s="73" t="n"/>
      <c r="B511" s="74" t="n"/>
      <c r="C511" s="74" t="n"/>
      <c r="D511" s="75">
        <f>IF($C511="","",IFERROR(INDEX(CAT_TIPO,MATCH($C511,CAT_NOME,0)),"Sem categoria"))</f>
        <v/>
      </c>
      <c r="E511" s="75">
        <f>IF($C511="","",IFERROR(INDEX(CAT_GRUPO,MATCH($C511,CAT_NOME,0)),"Sem categoria"))</f>
        <v/>
      </c>
      <c r="F511" s="76" t="n"/>
      <c r="G511" s="74" t="n"/>
      <c r="H511" s="74" t="n"/>
      <c r="I511" s="74" t="n"/>
      <c r="J511" s="77" t="n"/>
      <c r="K511" s="77" t="n"/>
      <c r="L511" s="74" t="n"/>
      <c r="M511" s="74" t="n"/>
      <c r="O511" s="78">
        <f>IF($A511="","",YEAR($A511)*100+MONTH($A511))</f>
        <v/>
      </c>
      <c r="P511" s="79">
        <f>IF(OR($F511="",$D511=""),"",IF($D511="Receita",$F511,IF($D511="Transferência",0,-$F511)))</f>
        <v/>
      </c>
    </row>
    <row r="512">
      <c r="A512" s="73" t="n"/>
      <c r="B512" s="74" t="n"/>
      <c r="C512" s="74" t="n"/>
      <c r="D512" s="75">
        <f>IF($C512="","",IFERROR(INDEX(CAT_TIPO,MATCH($C512,CAT_NOME,0)),"Sem categoria"))</f>
        <v/>
      </c>
      <c r="E512" s="75">
        <f>IF($C512="","",IFERROR(INDEX(CAT_GRUPO,MATCH($C512,CAT_NOME,0)),"Sem categoria"))</f>
        <v/>
      </c>
      <c r="F512" s="76" t="n"/>
      <c r="G512" s="74" t="n"/>
      <c r="H512" s="74" t="n"/>
      <c r="I512" s="74" t="n"/>
      <c r="J512" s="77" t="n"/>
      <c r="K512" s="77" t="n"/>
      <c r="L512" s="74" t="n"/>
      <c r="M512" s="74" t="n"/>
      <c r="O512" s="78">
        <f>IF($A512="","",YEAR($A512)*100+MONTH($A512))</f>
        <v/>
      </c>
      <c r="P512" s="79">
        <f>IF(OR($F512="",$D512=""),"",IF($D512="Receita",$F512,IF($D512="Transferência",0,-$F512)))</f>
        <v/>
      </c>
    </row>
    <row r="513">
      <c r="A513" s="73" t="n"/>
      <c r="B513" s="74" t="n"/>
      <c r="C513" s="74" t="n"/>
      <c r="D513" s="75">
        <f>IF($C513="","",IFERROR(INDEX(CAT_TIPO,MATCH($C513,CAT_NOME,0)),"Sem categoria"))</f>
        <v/>
      </c>
      <c r="E513" s="75">
        <f>IF($C513="","",IFERROR(INDEX(CAT_GRUPO,MATCH($C513,CAT_NOME,0)),"Sem categoria"))</f>
        <v/>
      </c>
      <c r="F513" s="76" t="n"/>
      <c r="G513" s="74" t="n"/>
      <c r="H513" s="74" t="n"/>
      <c r="I513" s="74" t="n"/>
      <c r="J513" s="77" t="n"/>
      <c r="K513" s="77" t="n"/>
      <c r="L513" s="74" t="n"/>
      <c r="M513" s="74" t="n"/>
      <c r="O513" s="78">
        <f>IF($A513="","",YEAR($A513)*100+MONTH($A513))</f>
        <v/>
      </c>
      <c r="P513" s="79">
        <f>IF(OR($F513="",$D513=""),"",IF($D513="Receita",$F513,IF($D513="Transferência",0,-$F513)))</f>
        <v/>
      </c>
    </row>
    <row r="514">
      <c r="A514" s="73" t="n"/>
      <c r="B514" s="74" t="n"/>
      <c r="C514" s="74" t="n"/>
      <c r="D514" s="75">
        <f>IF($C514="","",IFERROR(INDEX(CAT_TIPO,MATCH($C514,CAT_NOME,0)),"Sem categoria"))</f>
        <v/>
      </c>
      <c r="E514" s="75">
        <f>IF($C514="","",IFERROR(INDEX(CAT_GRUPO,MATCH($C514,CAT_NOME,0)),"Sem categoria"))</f>
        <v/>
      </c>
      <c r="F514" s="76" t="n"/>
      <c r="G514" s="74" t="n"/>
      <c r="H514" s="74" t="n"/>
      <c r="I514" s="74" t="n"/>
      <c r="J514" s="77" t="n"/>
      <c r="K514" s="77" t="n"/>
      <c r="L514" s="74" t="n"/>
      <c r="M514" s="74" t="n"/>
      <c r="O514" s="78">
        <f>IF($A514="","",YEAR($A514)*100+MONTH($A514))</f>
        <v/>
      </c>
      <c r="P514" s="79">
        <f>IF(OR($F514="",$D514=""),"",IF($D514="Receita",$F514,IF($D514="Transferência",0,-$F514)))</f>
        <v/>
      </c>
    </row>
    <row r="515">
      <c r="A515" s="73" t="n"/>
      <c r="B515" s="74" t="n"/>
      <c r="C515" s="74" t="n"/>
      <c r="D515" s="75">
        <f>IF($C515="","",IFERROR(INDEX(CAT_TIPO,MATCH($C515,CAT_NOME,0)),"Sem categoria"))</f>
        <v/>
      </c>
      <c r="E515" s="75">
        <f>IF($C515="","",IFERROR(INDEX(CAT_GRUPO,MATCH($C515,CAT_NOME,0)),"Sem categoria"))</f>
        <v/>
      </c>
      <c r="F515" s="76" t="n"/>
      <c r="G515" s="74" t="n"/>
      <c r="H515" s="74" t="n"/>
      <c r="I515" s="74" t="n"/>
      <c r="J515" s="77" t="n"/>
      <c r="K515" s="77" t="n"/>
      <c r="L515" s="74" t="n"/>
      <c r="M515" s="74" t="n"/>
      <c r="O515" s="78">
        <f>IF($A515="","",YEAR($A515)*100+MONTH($A515))</f>
        <v/>
      </c>
      <c r="P515" s="79">
        <f>IF(OR($F515="",$D515=""),"",IF($D515="Receita",$F515,IF($D515="Transferência",0,-$F515)))</f>
        <v/>
      </c>
    </row>
    <row r="516">
      <c r="A516" s="73" t="n"/>
      <c r="B516" s="74" t="n"/>
      <c r="C516" s="74" t="n"/>
      <c r="D516" s="75">
        <f>IF($C516="","",IFERROR(INDEX(CAT_TIPO,MATCH($C516,CAT_NOME,0)),"Sem categoria"))</f>
        <v/>
      </c>
      <c r="E516" s="75">
        <f>IF($C516="","",IFERROR(INDEX(CAT_GRUPO,MATCH($C516,CAT_NOME,0)),"Sem categoria"))</f>
        <v/>
      </c>
      <c r="F516" s="76" t="n"/>
      <c r="G516" s="74" t="n"/>
      <c r="H516" s="74" t="n"/>
      <c r="I516" s="74" t="n"/>
      <c r="J516" s="77" t="n"/>
      <c r="K516" s="77" t="n"/>
      <c r="L516" s="74" t="n"/>
      <c r="M516" s="74" t="n"/>
      <c r="O516" s="78">
        <f>IF($A516="","",YEAR($A516)*100+MONTH($A516))</f>
        <v/>
      </c>
      <c r="P516" s="79">
        <f>IF(OR($F516="",$D516=""),"",IF($D516="Receita",$F516,IF($D516="Transferência",0,-$F516)))</f>
        <v/>
      </c>
    </row>
    <row r="517">
      <c r="A517" s="73" t="n"/>
      <c r="B517" s="74" t="n"/>
      <c r="C517" s="74" t="n"/>
      <c r="D517" s="75">
        <f>IF($C517="","",IFERROR(INDEX(CAT_TIPO,MATCH($C517,CAT_NOME,0)),"Sem categoria"))</f>
        <v/>
      </c>
      <c r="E517" s="75">
        <f>IF($C517="","",IFERROR(INDEX(CAT_GRUPO,MATCH($C517,CAT_NOME,0)),"Sem categoria"))</f>
        <v/>
      </c>
      <c r="F517" s="76" t="n"/>
      <c r="G517" s="74" t="n"/>
      <c r="H517" s="74" t="n"/>
      <c r="I517" s="74" t="n"/>
      <c r="J517" s="77" t="n"/>
      <c r="K517" s="77" t="n"/>
      <c r="L517" s="74" t="n"/>
      <c r="M517" s="74" t="n"/>
      <c r="O517" s="78">
        <f>IF($A517="","",YEAR($A517)*100+MONTH($A517))</f>
        <v/>
      </c>
      <c r="P517" s="79">
        <f>IF(OR($F517="",$D517=""),"",IF($D517="Receita",$F517,IF($D517="Transferência",0,-$F517)))</f>
        <v/>
      </c>
    </row>
    <row r="518">
      <c r="A518" s="73" t="n"/>
      <c r="B518" s="74" t="n"/>
      <c r="C518" s="74" t="n"/>
      <c r="D518" s="75">
        <f>IF($C518="","",IFERROR(INDEX(CAT_TIPO,MATCH($C518,CAT_NOME,0)),"Sem categoria"))</f>
        <v/>
      </c>
      <c r="E518" s="75">
        <f>IF($C518="","",IFERROR(INDEX(CAT_GRUPO,MATCH($C518,CAT_NOME,0)),"Sem categoria"))</f>
        <v/>
      </c>
      <c r="F518" s="76" t="n"/>
      <c r="G518" s="74" t="n"/>
      <c r="H518" s="74" t="n"/>
      <c r="I518" s="74" t="n"/>
      <c r="J518" s="77" t="n"/>
      <c r="K518" s="77" t="n"/>
      <c r="L518" s="74" t="n"/>
      <c r="M518" s="74" t="n"/>
      <c r="O518" s="78">
        <f>IF($A518="","",YEAR($A518)*100+MONTH($A518))</f>
        <v/>
      </c>
      <c r="P518" s="79">
        <f>IF(OR($F518="",$D518=""),"",IF($D518="Receita",$F518,IF($D518="Transferência",0,-$F518)))</f>
        <v/>
      </c>
    </row>
    <row r="519">
      <c r="A519" s="73" t="n"/>
      <c r="B519" s="74" t="n"/>
      <c r="C519" s="74" t="n"/>
      <c r="D519" s="75">
        <f>IF($C519="","",IFERROR(INDEX(CAT_TIPO,MATCH($C519,CAT_NOME,0)),"Sem categoria"))</f>
        <v/>
      </c>
      <c r="E519" s="75">
        <f>IF($C519="","",IFERROR(INDEX(CAT_GRUPO,MATCH($C519,CAT_NOME,0)),"Sem categoria"))</f>
        <v/>
      </c>
      <c r="F519" s="76" t="n"/>
      <c r="G519" s="74" t="n"/>
      <c r="H519" s="74" t="n"/>
      <c r="I519" s="74" t="n"/>
      <c r="J519" s="77" t="n"/>
      <c r="K519" s="77" t="n"/>
      <c r="L519" s="74" t="n"/>
      <c r="M519" s="74" t="n"/>
      <c r="O519" s="78">
        <f>IF($A519="","",YEAR($A519)*100+MONTH($A519))</f>
        <v/>
      </c>
      <c r="P519" s="79">
        <f>IF(OR($F519="",$D519=""),"",IF($D519="Receita",$F519,IF($D519="Transferência",0,-$F519)))</f>
        <v/>
      </c>
    </row>
    <row r="520">
      <c r="A520" s="73" t="n"/>
      <c r="B520" s="74" t="n"/>
      <c r="C520" s="74" t="n"/>
      <c r="D520" s="75">
        <f>IF($C520="","",IFERROR(INDEX(CAT_TIPO,MATCH($C520,CAT_NOME,0)),"Sem categoria"))</f>
        <v/>
      </c>
      <c r="E520" s="75">
        <f>IF($C520="","",IFERROR(INDEX(CAT_GRUPO,MATCH($C520,CAT_NOME,0)),"Sem categoria"))</f>
        <v/>
      </c>
      <c r="F520" s="76" t="n"/>
      <c r="G520" s="74" t="n"/>
      <c r="H520" s="74" t="n"/>
      <c r="I520" s="74" t="n"/>
      <c r="J520" s="77" t="n"/>
      <c r="K520" s="77" t="n"/>
      <c r="L520" s="74" t="n"/>
      <c r="M520" s="74" t="n"/>
      <c r="O520" s="78">
        <f>IF($A520="","",YEAR($A520)*100+MONTH($A520))</f>
        <v/>
      </c>
      <c r="P520" s="79">
        <f>IF(OR($F520="",$D520=""),"",IF($D520="Receita",$F520,IF($D520="Transferência",0,-$F520)))</f>
        <v/>
      </c>
    </row>
    <row r="521">
      <c r="A521" s="73" t="n"/>
      <c r="B521" s="74" t="n"/>
      <c r="C521" s="74" t="n"/>
      <c r="D521" s="75">
        <f>IF($C521="","",IFERROR(INDEX(CAT_TIPO,MATCH($C521,CAT_NOME,0)),"Sem categoria"))</f>
        <v/>
      </c>
      <c r="E521" s="75">
        <f>IF($C521="","",IFERROR(INDEX(CAT_GRUPO,MATCH($C521,CAT_NOME,0)),"Sem categoria"))</f>
        <v/>
      </c>
      <c r="F521" s="76" t="n"/>
      <c r="G521" s="74" t="n"/>
      <c r="H521" s="74" t="n"/>
      <c r="I521" s="74" t="n"/>
      <c r="J521" s="77" t="n"/>
      <c r="K521" s="77" t="n"/>
      <c r="L521" s="74" t="n"/>
      <c r="M521" s="74" t="n"/>
      <c r="O521" s="78">
        <f>IF($A521="","",YEAR($A521)*100+MONTH($A521))</f>
        <v/>
      </c>
      <c r="P521" s="79">
        <f>IF(OR($F521="",$D521=""),"",IF($D521="Receita",$F521,IF($D521="Transferência",0,-$F521)))</f>
        <v/>
      </c>
    </row>
    <row r="522">
      <c r="A522" s="73" t="n"/>
      <c r="B522" s="74" t="n"/>
      <c r="C522" s="74" t="n"/>
      <c r="D522" s="75">
        <f>IF($C522="","",IFERROR(INDEX(CAT_TIPO,MATCH($C522,CAT_NOME,0)),"Sem categoria"))</f>
        <v/>
      </c>
      <c r="E522" s="75">
        <f>IF($C522="","",IFERROR(INDEX(CAT_GRUPO,MATCH($C522,CAT_NOME,0)),"Sem categoria"))</f>
        <v/>
      </c>
      <c r="F522" s="76" t="n"/>
      <c r="G522" s="74" t="n"/>
      <c r="H522" s="74" t="n"/>
      <c r="I522" s="74" t="n"/>
      <c r="J522" s="77" t="n"/>
      <c r="K522" s="77" t="n"/>
      <c r="L522" s="74" t="n"/>
      <c r="M522" s="74" t="n"/>
      <c r="O522" s="78">
        <f>IF($A522="","",YEAR($A522)*100+MONTH($A522))</f>
        <v/>
      </c>
      <c r="P522" s="79">
        <f>IF(OR($F522="",$D522=""),"",IF($D522="Receita",$F522,IF($D522="Transferência",0,-$F522)))</f>
        <v/>
      </c>
    </row>
    <row r="523">
      <c r="A523" s="73" t="n"/>
      <c r="B523" s="74" t="n"/>
      <c r="C523" s="74" t="n"/>
      <c r="D523" s="75">
        <f>IF($C523="","",IFERROR(INDEX(CAT_TIPO,MATCH($C523,CAT_NOME,0)),"Sem categoria"))</f>
        <v/>
      </c>
      <c r="E523" s="75">
        <f>IF($C523="","",IFERROR(INDEX(CAT_GRUPO,MATCH($C523,CAT_NOME,0)),"Sem categoria"))</f>
        <v/>
      </c>
      <c r="F523" s="76" t="n"/>
      <c r="G523" s="74" t="n"/>
      <c r="H523" s="74" t="n"/>
      <c r="I523" s="74" t="n"/>
      <c r="J523" s="77" t="n"/>
      <c r="K523" s="77" t="n"/>
      <c r="L523" s="74" t="n"/>
      <c r="M523" s="74" t="n"/>
      <c r="O523" s="78">
        <f>IF($A523="","",YEAR($A523)*100+MONTH($A523))</f>
        <v/>
      </c>
      <c r="P523" s="79">
        <f>IF(OR($F523="",$D523=""),"",IF($D523="Receita",$F523,IF($D523="Transferência",0,-$F523)))</f>
        <v/>
      </c>
    </row>
    <row r="524">
      <c r="A524" s="73" t="n"/>
      <c r="B524" s="74" t="n"/>
      <c r="C524" s="74" t="n"/>
      <c r="D524" s="75">
        <f>IF($C524="","",IFERROR(INDEX(CAT_TIPO,MATCH($C524,CAT_NOME,0)),"Sem categoria"))</f>
        <v/>
      </c>
      <c r="E524" s="75">
        <f>IF($C524="","",IFERROR(INDEX(CAT_GRUPO,MATCH($C524,CAT_NOME,0)),"Sem categoria"))</f>
        <v/>
      </c>
      <c r="F524" s="76" t="n"/>
      <c r="G524" s="74" t="n"/>
      <c r="H524" s="74" t="n"/>
      <c r="I524" s="74" t="n"/>
      <c r="J524" s="77" t="n"/>
      <c r="K524" s="77" t="n"/>
      <c r="L524" s="74" t="n"/>
      <c r="M524" s="74" t="n"/>
      <c r="O524" s="78">
        <f>IF($A524="","",YEAR($A524)*100+MONTH($A524))</f>
        <v/>
      </c>
      <c r="P524" s="79">
        <f>IF(OR($F524="",$D524=""),"",IF($D524="Receita",$F524,IF($D524="Transferência",0,-$F524)))</f>
        <v/>
      </c>
    </row>
    <row r="525">
      <c r="A525" s="73" t="n"/>
      <c r="B525" s="74" t="n"/>
      <c r="C525" s="74" t="n"/>
      <c r="D525" s="75">
        <f>IF($C525="","",IFERROR(INDEX(CAT_TIPO,MATCH($C525,CAT_NOME,0)),"Sem categoria"))</f>
        <v/>
      </c>
      <c r="E525" s="75">
        <f>IF($C525="","",IFERROR(INDEX(CAT_GRUPO,MATCH($C525,CAT_NOME,0)),"Sem categoria"))</f>
        <v/>
      </c>
      <c r="F525" s="76" t="n"/>
      <c r="G525" s="74" t="n"/>
      <c r="H525" s="74" t="n"/>
      <c r="I525" s="74" t="n"/>
      <c r="J525" s="77" t="n"/>
      <c r="K525" s="77" t="n"/>
      <c r="L525" s="74" t="n"/>
      <c r="M525" s="74" t="n"/>
      <c r="O525" s="78">
        <f>IF($A525="","",YEAR($A525)*100+MONTH($A525))</f>
        <v/>
      </c>
      <c r="P525" s="79">
        <f>IF(OR($F525="",$D525=""),"",IF($D525="Receita",$F525,IF($D525="Transferência",0,-$F525)))</f>
        <v/>
      </c>
    </row>
    <row r="526">
      <c r="A526" s="73" t="n"/>
      <c r="B526" s="74" t="n"/>
      <c r="C526" s="74" t="n"/>
      <c r="D526" s="75">
        <f>IF($C526="","",IFERROR(INDEX(CAT_TIPO,MATCH($C526,CAT_NOME,0)),"Sem categoria"))</f>
        <v/>
      </c>
      <c r="E526" s="75">
        <f>IF($C526="","",IFERROR(INDEX(CAT_GRUPO,MATCH($C526,CAT_NOME,0)),"Sem categoria"))</f>
        <v/>
      </c>
      <c r="F526" s="76" t="n"/>
      <c r="G526" s="74" t="n"/>
      <c r="H526" s="74" t="n"/>
      <c r="I526" s="74" t="n"/>
      <c r="J526" s="77" t="n"/>
      <c r="K526" s="77" t="n"/>
      <c r="L526" s="74" t="n"/>
      <c r="M526" s="74" t="n"/>
      <c r="O526" s="78">
        <f>IF($A526="","",YEAR($A526)*100+MONTH($A526))</f>
        <v/>
      </c>
      <c r="P526" s="79">
        <f>IF(OR($F526="",$D526=""),"",IF($D526="Receita",$F526,IF($D526="Transferência",0,-$F526)))</f>
        <v/>
      </c>
    </row>
    <row r="527">
      <c r="A527" s="73" t="n"/>
      <c r="B527" s="74" t="n"/>
      <c r="C527" s="74" t="n"/>
      <c r="D527" s="75">
        <f>IF($C527="","",IFERROR(INDEX(CAT_TIPO,MATCH($C527,CAT_NOME,0)),"Sem categoria"))</f>
        <v/>
      </c>
      <c r="E527" s="75">
        <f>IF($C527="","",IFERROR(INDEX(CAT_GRUPO,MATCH($C527,CAT_NOME,0)),"Sem categoria"))</f>
        <v/>
      </c>
      <c r="F527" s="76" t="n"/>
      <c r="G527" s="74" t="n"/>
      <c r="H527" s="74" t="n"/>
      <c r="I527" s="74" t="n"/>
      <c r="J527" s="77" t="n"/>
      <c r="K527" s="77" t="n"/>
      <c r="L527" s="74" t="n"/>
      <c r="M527" s="74" t="n"/>
      <c r="O527" s="78">
        <f>IF($A527="","",YEAR($A527)*100+MONTH($A527))</f>
        <v/>
      </c>
      <c r="P527" s="79">
        <f>IF(OR($F527="",$D527=""),"",IF($D527="Receita",$F527,IF($D527="Transferência",0,-$F527)))</f>
        <v/>
      </c>
    </row>
    <row r="528">
      <c r="A528" s="73" t="n"/>
      <c r="B528" s="74" t="n"/>
      <c r="C528" s="74" t="n"/>
      <c r="D528" s="75">
        <f>IF($C528="","",IFERROR(INDEX(CAT_TIPO,MATCH($C528,CAT_NOME,0)),"Sem categoria"))</f>
        <v/>
      </c>
      <c r="E528" s="75">
        <f>IF($C528="","",IFERROR(INDEX(CAT_GRUPO,MATCH($C528,CAT_NOME,0)),"Sem categoria"))</f>
        <v/>
      </c>
      <c r="F528" s="76" t="n"/>
      <c r="G528" s="74" t="n"/>
      <c r="H528" s="74" t="n"/>
      <c r="I528" s="74" t="n"/>
      <c r="J528" s="77" t="n"/>
      <c r="K528" s="77" t="n"/>
      <c r="L528" s="74" t="n"/>
      <c r="M528" s="74" t="n"/>
      <c r="O528" s="78">
        <f>IF($A528="","",YEAR($A528)*100+MONTH($A528))</f>
        <v/>
      </c>
      <c r="P528" s="79">
        <f>IF(OR($F528="",$D528=""),"",IF($D528="Receita",$F528,IF($D528="Transferência",0,-$F528)))</f>
        <v/>
      </c>
    </row>
    <row r="529">
      <c r="A529" s="73" t="n"/>
      <c r="B529" s="74" t="n"/>
      <c r="C529" s="74" t="n"/>
      <c r="D529" s="75">
        <f>IF($C529="","",IFERROR(INDEX(CAT_TIPO,MATCH($C529,CAT_NOME,0)),"Sem categoria"))</f>
        <v/>
      </c>
      <c r="E529" s="75">
        <f>IF($C529="","",IFERROR(INDEX(CAT_GRUPO,MATCH($C529,CAT_NOME,0)),"Sem categoria"))</f>
        <v/>
      </c>
      <c r="F529" s="76" t="n"/>
      <c r="G529" s="74" t="n"/>
      <c r="H529" s="74" t="n"/>
      <c r="I529" s="74" t="n"/>
      <c r="J529" s="77" t="n"/>
      <c r="K529" s="77" t="n"/>
      <c r="L529" s="74" t="n"/>
      <c r="M529" s="74" t="n"/>
      <c r="O529" s="78">
        <f>IF($A529="","",YEAR($A529)*100+MONTH($A529))</f>
        <v/>
      </c>
      <c r="P529" s="79">
        <f>IF(OR($F529="",$D529=""),"",IF($D529="Receita",$F529,IF($D529="Transferência",0,-$F529)))</f>
        <v/>
      </c>
    </row>
    <row r="530">
      <c r="A530" s="73" t="n"/>
      <c r="B530" s="74" t="n"/>
      <c r="C530" s="74" t="n"/>
      <c r="D530" s="75">
        <f>IF($C530="","",IFERROR(INDEX(CAT_TIPO,MATCH($C530,CAT_NOME,0)),"Sem categoria"))</f>
        <v/>
      </c>
      <c r="E530" s="75">
        <f>IF($C530="","",IFERROR(INDEX(CAT_GRUPO,MATCH($C530,CAT_NOME,0)),"Sem categoria"))</f>
        <v/>
      </c>
      <c r="F530" s="76" t="n"/>
      <c r="G530" s="74" t="n"/>
      <c r="H530" s="74" t="n"/>
      <c r="I530" s="74" t="n"/>
      <c r="J530" s="77" t="n"/>
      <c r="K530" s="77" t="n"/>
      <c r="L530" s="74" t="n"/>
      <c r="M530" s="74" t="n"/>
      <c r="O530" s="78">
        <f>IF($A530="","",YEAR($A530)*100+MONTH($A530))</f>
        <v/>
      </c>
      <c r="P530" s="79">
        <f>IF(OR($F530="",$D530=""),"",IF($D530="Receita",$F530,IF($D530="Transferência",0,-$F530)))</f>
        <v/>
      </c>
    </row>
    <row r="531">
      <c r="A531" s="73" t="n"/>
      <c r="B531" s="74" t="n"/>
      <c r="C531" s="74" t="n"/>
      <c r="D531" s="75">
        <f>IF($C531="","",IFERROR(INDEX(CAT_TIPO,MATCH($C531,CAT_NOME,0)),"Sem categoria"))</f>
        <v/>
      </c>
      <c r="E531" s="75">
        <f>IF($C531="","",IFERROR(INDEX(CAT_GRUPO,MATCH($C531,CAT_NOME,0)),"Sem categoria"))</f>
        <v/>
      </c>
      <c r="F531" s="76" t="n"/>
      <c r="G531" s="74" t="n"/>
      <c r="H531" s="74" t="n"/>
      <c r="I531" s="74" t="n"/>
      <c r="J531" s="77" t="n"/>
      <c r="K531" s="77" t="n"/>
      <c r="L531" s="74" t="n"/>
      <c r="M531" s="74" t="n"/>
      <c r="O531" s="78">
        <f>IF($A531="","",YEAR($A531)*100+MONTH($A531))</f>
        <v/>
      </c>
      <c r="P531" s="79">
        <f>IF(OR($F531="",$D531=""),"",IF($D531="Receita",$F531,IF($D531="Transferência",0,-$F531)))</f>
        <v/>
      </c>
    </row>
    <row r="532">
      <c r="A532" s="73" t="n"/>
      <c r="B532" s="74" t="n"/>
      <c r="C532" s="74" t="n"/>
      <c r="D532" s="75">
        <f>IF($C532="","",IFERROR(INDEX(CAT_TIPO,MATCH($C532,CAT_NOME,0)),"Sem categoria"))</f>
        <v/>
      </c>
      <c r="E532" s="75">
        <f>IF($C532="","",IFERROR(INDEX(CAT_GRUPO,MATCH($C532,CAT_NOME,0)),"Sem categoria"))</f>
        <v/>
      </c>
      <c r="F532" s="76" t="n"/>
      <c r="G532" s="74" t="n"/>
      <c r="H532" s="74" t="n"/>
      <c r="I532" s="74" t="n"/>
      <c r="J532" s="77" t="n"/>
      <c r="K532" s="77" t="n"/>
      <c r="L532" s="74" t="n"/>
      <c r="M532" s="74" t="n"/>
      <c r="O532" s="78">
        <f>IF($A532="","",YEAR($A532)*100+MONTH($A532))</f>
        <v/>
      </c>
      <c r="P532" s="79">
        <f>IF(OR($F532="",$D532=""),"",IF($D532="Receita",$F532,IF($D532="Transferência",0,-$F532)))</f>
        <v/>
      </c>
    </row>
    <row r="533">
      <c r="A533" s="73" t="n"/>
      <c r="B533" s="74" t="n"/>
      <c r="C533" s="74" t="n"/>
      <c r="D533" s="75">
        <f>IF($C533="","",IFERROR(INDEX(CAT_TIPO,MATCH($C533,CAT_NOME,0)),"Sem categoria"))</f>
        <v/>
      </c>
      <c r="E533" s="75">
        <f>IF($C533="","",IFERROR(INDEX(CAT_GRUPO,MATCH($C533,CAT_NOME,0)),"Sem categoria"))</f>
        <v/>
      </c>
      <c r="F533" s="76" t="n"/>
      <c r="G533" s="74" t="n"/>
      <c r="H533" s="74" t="n"/>
      <c r="I533" s="74" t="n"/>
      <c r="J533" s="77" t="n"/>
      <c r="K533" s="77" t="n"/>
      <c r="L533" s="74" t="n"/>
      <c r="M533" s="74" t="n"/>
      <c r="O533" s="78">
        <f>IF($A533="","",YEAR($A533)*100+MONTH($A533))</f>
        <v/>
      </c>
      <c r="P533" s="79">
        <f>IF(OR($F533="",$D533=""),"",IF($D533="Receita",$F533,IF($D533="Transferência",0,-$F533)))</f>
        <v/>
      </c>
    </row>
    <row r="534">
      <c r="A534" s="73" t="n"/>
      <c r="B534" s="74" t="n"/>
      <c r="C534" s="74" t="n"/>
      <c r="D534" s="75">
        <f>IF($C534="","",IFERROR(INDEX(CAT_TIPO,MATCH($C534,CAT_NOME,0)),"Sem categoria"))</f>
        <v/>
      </c>
      <c r="E534" s="75">
        <f>IF($C534="","",IFERROR(INDEX(CAT_GRUPO,MATCH($C534,CAT_NOME,0)),"Sem categoria"))</f>
        <v/>
      </c>
      <c r="F534" s="76" t="n"/>
      <c r="G534" s="74" t="n"/>
      <c r="H534" s="74" t="n"/>
      <c r="I534" s="74" t="n"/>
      <c r="J534" s="77" t="n"/>
      <c r="K534" s="77" t="n"/>
      <c r="L534" s="74" t="n"/>
      <c r="M534" s="74" t="n"/>
      <c r="O534" s="78">
        <f>IF($A534="","",YEAR($A534)*100+MONTH($A534))</f>
        <v/>
      </c>
      <c r="P534" s="79">
        <f>IF(OR($F534="",$D534=""),"",IF($D534="Receita",$F534,IF($D534="Transferência",0,-$F534)))</f>
        <v/>
      </c>
    </row>
    <row r="535">
      <c r="A535" s="73" t="n"/>
      <c r="B535" s="74" t="n"/>
      <c r="C535" s="74" t="n"/>
      <c r="D535" s="75">
        <f>IF($C535="","",IFERROR(INDEX(CAT_TIPO,MATCH($C535,CAT_NOME,0)),"Sem categoria"))</f>
        <v/>
      </c>
      <c r="E535" s="75">
        <f>IF($C535="","",IFERROR(INDEX(CAT_GRUPO,MATCH($C535,CAT_NOME,0)),"Sem categoria"))</f>
        <v/>
      </c>
      <c r="F535" s="76" t="n"/>
      <c r="G535" s="74" t="n"/>
      <c r="H535" s="74" t="n"/>
      <c r="I535" s="74" t="n"/>
      <c r="J535" s="77" t="n"/>
      <c r="K535" s="77" t="n"/>
      <c r="L535" s="74" t="n"/>
      <c r="M535" s="74" t="n"/>
      <c r="O535" s="78">
        <f>IF($A535="","",YEAR($A535)*100+MONTH($A535))</f>
        <v/>
      </c>
      <c r="P535" s="79">
        <f>IF(OR($F535="",$D535=""),"",IF($D535="Receita",$F535,IF($D535="Transferência",0,-$F535)))</f>
        <v/>
      </c>
    </row>
    <row r="536">
      <c r="A536" s="73" t="n"/>
      <c r="B536" s="74" t="n"/>
      <c r="C536" s="74" t="n"/>
      <c r="D536" s="75">
        <f>IF($C536="","",IFERROR(INDEX(CAT_TIPO,MATCH($C536,CAT_NOME,0)),"Sem categoria"))</f>
        <v/>
      </c>
      <c r="E536" s="75">
        <f>IF($C536="","",IFERROR(INDEX(CAT_GRUPO,MATCH($C536,CAT_NOME,0)),"Sem categoria"))</f>
        <v/>
      </c>
      <c r="F536" s="76" t="n"/>
      <c r="G536" s="74" t="n"/>
      <c r="H536" s="74" t="n"/>
      <c r="I536" s="74" t="n"/>
      <c r="J536" s="77" t="n"/>
      <c r="K536" s="77" t="n"/>
      <c r="L536" s="74" t="n"/>
      <c r="M536" s="74" t="n"/>
      <c r="O536" s="78">
        <f>IF($A536="","",YEAR($A536)*100+MONTH($A536))</f>
        <v/>
      </c>
      <c r="P536" s="79">
        <f>IF(OR($F536="",$D536=""),"",IF($D536="Receita",$F536,IF($D536="Transferência",0,-$F536)))</f>
        <v/>
      </c>
    </row>
    <row r="537">
      <c r="A537" s="73" t="n"/>
      <c r="B537" s="74" t="n"/>
      <c r="C537" s="74" t="n"/>
      <c r="D537" s="75">
        <f>IF($C537="","",IFERROR(INDEX(CAT_TIPO,MATCH($C537,CAT_NOME,0)),"Sem categoria"))</f>
        <v/>
      </c>
      <c r="E537" s="75">
        <f>IF($C537="","",IFERROR(INDEX(CAT_GRUPO,MATCH($C537,CAT_NOME,0)),"Sem categoria"))</f>
        <v/>
      </c>
      <c r="F537" s="76" t="n"/>
      <c r="G537" s="74" t="n"/>
      <c r="H537" s="74" t="n"/>
      <c r="I537" s="74" t="n"/>
      <c r="J537" s="77" t="n"/>
      <c r="K537" s="77" t="n"/>
      <c r="L537" s="74" t="n"/>
      <c r="M537" s="74" t="n"/>
      <c r="O537" s="78">
        <f>IF($A537="","",YEAR($A537)*100+MONTH($A537))</f>
        <v/>
      </c>
      <c r="P537" s="79">
        <f>IF(OR($F537="",$D537=""),"",IF($D537="Receita",$F537,IF($D537="Transferência",0,-$F537)))</f>
        <v/>
      </c>
    </row>
    <row r="538">
      <c r="A538" s="73" t="n"/>
      <c r="B538" s="74" t="n"/>
      <c r="C538" s="74" t="n"/>
      <c r="D538" s="75">
        <f>IF($C538="","",IFERROR(INDEX(CAT_TIPO,MATCH($C538,CAT_NOME,0)),"Sem categoria"))</f>
        <v/>
      </c>
      <c r="E538" s="75">
        <f>IF($C538="","",IFERROR(INDEX(CAT_GRUPO,MATCH($C538,CAT_NOME,0)),"Sem categoria"))</f>
        <v/>
      </c>
      <c r="F538" s="76" t="n"/>
      <c r="G538" s="74" t="n"/>
      <c r="H538" s="74" t="n"/>
      <c r="I538" s="74" t="n"/>
      <c r="J538" s="77" t="n"/>
      <c r="K538" s="77" t="n"/>
      <c r="L538" s="74" t="n"/>
      <c r="M538" s="74" t="n"/>
      <c r="O538" s="78">
        <f>IF($A538="","",YEAR($A538)*100+MONTH($A538))</f>
        <v/>
      </c>
      <c r="P538" s="79">
        <f>IF(OR($F538="",$D538=""),"",IF($D538="Receita",$F538,IF($D538="Transferência",0,-$F538)))</f>
        <v/>
      </c>
    </row>
    <row r="539">
      <c r="A539" s="73" t="n"/>
      <c r="B539" s="74" t="n"/>
      <c r="C539" s="74" t="n"/>
      <c r="D539" s="75">
        <f>IF($C539="","",IFERROR(INDEX(CAT_TIPO,MATCH($C539,CAT_NOME,0)),"Sem categoria"))</f>
        <v/>
      </c>
      <c r="E539" s="75">
        <f>IF($C539="","",IFERROR(INDEX(CAT_GRUPO,MATCH($C539,CAT_NOME,0)),"Sem categoria"))</f>
        <v/>
      </c>
      <c r="F539" s="76" t="n"/>
      <c r="G539" s="74" t="n"/>
      <c r="H539" s="74" t="n"/>
      <c r="I539" s="74" t="n"/>
      <c r="J539" s="77" t="n"/>
      <c r="K539" s="77" t="n"/>
      <c r="L539" s="74" t="n"/>
      <c r="M539" s="74" t="n"/>
      <c r="O539" s="78">
        <f>IF($A539="","",YEAR($A539)*100+MONTH($A539))</f>
        <v/>
      </c>
      <c r="P539" s="79">
        <f>IF(OR($F539="",$D539=""),"",IF($D539="Receita",$F539,IF($D539="Transferência",0,-$F539)))</f>
        <v/>
      </c>
    </row>
    <row r="540">
      <c r="A540" s="73" t="n"/>
      <c r="B540" s="74" t="n"/>
      <c r="C540" s="74" t="n"/>
      <c r="D540" s="75">
        <f>IF($C540="","",IFERROR(INDEX(CAT_TIPO,MATCH($C540,CAT_NOME,0)),"Sem categoria"))</f>
        <v/>
      </c>
      <c r="E540" s="75">
        <f>IF($C540="","",IFERROR(INDEX(CAT_GRUPO,MATCH($C540,CAT_NOME,0)),"Sem categoria"))</f>
        <v/>
      </c>
      <c r="F540" s="76" t="n"/>
      <c r="G540" s="74" t="n"/>
      <c r="H540" s="74" t="n"/>
      <c r="I540" s="74" t="n"/>
      <c r="J540" s="77" t="n"/>
      <c r="K540" s="77" t="n"/>
      <c r="L540" s="74" t="n"/>
      <c r="M540" s="74" t="n"/>
      <c r="O540" s="78">
        <f>IF($A540="","",YEAR($A540)*100+MONTH($A540))</f>
        <v/>
      </c>
      <c r="P540" s="79">
        <f>IF(OR($F540="",$D540=""),"",IF($D540="Receita",$F540,IF($D540="Transferência",0,-$F540)))</f>
        <v/>
      </c>
    </row>
    <row r="541">
      <c r="A541" s="73" t="n"/>
      <c r="B541" s="74" t="n"/>
      <c r="C541" s="74" t="n"/>
      <c r="D541" s="75">
        <f>IF($C541="","",IFERROR(INDEX(CAT_TIPO,MATCH($C541,CAT_NOME,0)),"Sem categoria"))</f>
        <v/>
      </c>
      <c r="E541" s="75">
        <f>IF($C541="","",IFERROR(INDEX(CAT_GRUPO,MATCH($C541,CAT_NOME,0)),"Sem categoria"))</f>
        <v/>
      </c>
      <c r="F541" s="76" t="n"/>
      <c r="G541" s="74" t="n"/>
      <c r="H541" s="74" t="n"/>
      <c r="I541" s="74" t="n"/>
      <c r="J541" s="77" t="n"/>
      <c r="K541" s="77" t="n"/>
      <c r="L541" s="74" t="n"/>
      <c r="M541" s="74" t="n"/>
      <c r="O541" s="78">
        <f>IF($A541="","",YEAR($A541)*100+MONTH($A541))</f>
        <v/>
      </c>
      <c r="P541" s="79">
        <f>IF(OR($F541="",$D541=""),"",IF($D541="Receita",$F541,IF($D541="Transferência",0,-$F541)))</f>
        <v/>
      </c>
    </row>
    <row r="542">
      <c r="A542" s="73" t="n"/>
      <c r="B542" s="74" t="n"/>
      <c r="C542" s="74" t="n"/>
      <c r="D542" s="75">
        <f>IF($C542="","",IFERROR(INDEX(CAT_TIPO,MATCH($C542,CAT_NOME,0)),"Sem categoria"))</f>
        <v/>
      </c>
      <c r="E542" s="75">
        <f>IF($C542="","",IFERROR(INDEX(CAT_GRUPO,MATCH($C542,CAT_NOME,0)),"Sem categoria"))</f>
        <v/>
      </c>
      <c r="F542" s="76" t="n"/>
      <c r="G542" s="74" t="n"/>
      <c r="H542" s="74" t="n"/>
      <c r="I542" s="74" t="n"/>
      <c r="J542" s="77" t="n"/>
      <c r="K542" s="77" t="n"/>
      <c r="L542" s="74" t="n"/>
      <c r="M542" s="74" t="n"/>
      <c r="O542" s="78">
        <f>IF($A542="","",YEAR($A542)*100+MONTH($A542))</f>
        <v/>
      </c>
      <c r="P542" s="79">
        <f>IF(OR($F542="",$D542=""),"",IF($D542="Receita",$F542,IF($D542="Transferência",0,-$F542)))</f>
        <v/>
      </c>
    </row>
    <row r="543">
      <c r="A543" s="73" t="n"/>
      <c r="B543" s="74" t="n"/>
      <c r="C543" s="74" t="n"/>
      <c r="D543" s="75">
        <f>IF($C543="","",IFERROR(INDEX(CAT_TIPO,MATCH($C543,CAT_NOME,0)),"Sem categoria"))</f>
        <v/>
      </c>
      <c r="E543" s="75">
        <f>IF($C543="","",IFERROR(INDEX(CAT_GRUPO,MATCH($C543,CAT_NOME,0)),"Sem categoria"))</f>
        <v/>
      </c>
      <c r="F543" s="76" t="n"/>
      <c r="G543" s="74" t="n"/>
      <c r="H543" s="74" t="n"/>
      <c r="I543" s="74" t="n"/>
      <c r="J543" s="77" t="n"/>
      <c r="K543" s="77" t="n"/>
      <c r="L543" s="74" t="n"/>
      <c r="M543" s="74" t="n"/>
      <c r="O543" s="78">
        <f>IF($A543="","",YEAR($A543)*100+MONTH($A543))</f>
        <v/>
      </c>
      <c r="P543" s="79">
        <f>IF(OR($F543="",$D543=""),"",IF($D543="Receita",$F543,IF($D543="Transferência",0,-$F543)))</f>
        <v/>
      </c>
    </row>
    <row r="544">
      <c r="A544" s="73" t="n"/>
      <c r="B544" s="74" t="n"/>
      <c r="C544" s="74" t="n"/>
      <c r="D544" s="75">
        <f>IF($C544="","",IFERROR(INDEX(CAT_TIPO,MATCH($C544,CAT_NOME,0)),"Sem categoria"))</f>
        <v/>
      </c>
      <c r="E544" s="75">
        <f>IF($C544="","",IFERROR(INDEX(CAT_GRUPO,MATCH($C544,CAT_NOME,0)),"Sem categoria"))</f>
        <v/>
      </c>
      <c r="F544" s="76" t="n"/>
      <c r="G544" s="74" t="n"/>
      <c r="H544" s="74" t="n"/>
      <c r="I544" s="74" t="n"/>
      <c r="J544" s="77" t="n"/>
      <c r="K544" s="77" t="n"/>
      <c r="L544" s="74" t="n"/>
      <c r="M544" s="74" t="n"/>
      <c r="O544" s="78">
        <f>IF($A544="","",YEAR($A544)*100+MONTH($A544))</f>
        <v/>
      </c>
      <c r="P544" s="79">
        <f>IF(OR($F544="",$D544=""),"",IF($D544="Receita",$F544,IF($D544="Transferência",0,-$F544)))</f>
        <v/>
      </c>
    </row>
    <row r="545">
      <c r="A545" s="73" t="n"/>
      <c r="B545" s="74" t="n"/>
      <c r="C545" s="74" t="n"/>
      <c r="D545" s="75">
        <f>IF($C545="","",IFERROR(INDEX(CAT_TIPO,MATCH($C545,CAT_NOME,0)),"Sem categoria"))</f>
        <v/>
      </c>
      <c r="E545" s="75">
        <f>IF($C545="","",IFERROR(INDEX(CAT_GRUPO,MATCH($C545,CAT_NOME,0)),"Sem categoria"))</f>
        <v/>
      </c>
      <c r="F545" s="76" t="n"/>
      <c r="G545" s="74" t="n"/>
      <c r="H545" s="74" t="n"/>
      <c r="I545" s="74" t="n"/>
      <c r="J545" s="77" t="n"/>
      <c r="K545" s="77" t="n"/>
      <c r="L545" s="74" t="n"/>
      <c r="M545" s="74" t="n"/>
      <c r="O545" s="78">
        <f>IF($A545="","",YEAR($A545)*100+MONTH($A545))</f>
        <v/>
      </c>
      <c r="P545" s="79">
        <f>IF(OR($F545="",$D545=""),"",IF($D545="Receita",$F545,IF($D545="Transferência",0,-$F545)))</f>
        <v/>
      </c>
    </row>
    <row r="546">
      <c r="A546" s="73" t="n"/>
      <c r="B546" s="74" t="n"/>
      <c r="C546" s="74" t="n"/>
      <c r="D546" s="75">
        <f>IF($C546="","",IFERROR(INDEX(CAT_TIPO,MATCH($C546,CAT_NOME,0)),"Sem categoria"))</f>
        <v/>
      </c>
      <c r="E546" s="75">
        <f>IF($C546="","",IFERROR(INDEX(CAT_GRUPO,MATCH($C546,CAT_NOME,0)),"Sem categoria"))</f>
        <v/>
      </c>
      <c r="F546" s="76" t="n"/>
      <c r="G546" s="74" t="n"/>
      <c r="H546" s="74" t="n"/>
      <c r="I546" s="74" t="n"/>
      <c r="J546" s="77" t="n"/>
      <c r="K546" s="77" t="n"/>
      <c r="L546" s="74" t="n"/>
      <c r="M546" s="74" t="n"/>
      <c r="O546" s="78">
        <f>IF($A546="","",YEAR($A546)*100+MONTH($A546))</f>
        <v/>
      </c>
      <c r="P546" s="79">
        <f>IF(OR($F546="",$D546=""),"",IF($D546="Receita",$F546,IF($D546="Transferência",0,-$F546)))</f>
        <v/>
      </c>
    </row>
    <row r="547">
      <c r="A547" s="73" t="n"/>
      <c r="B547" s="74" t="n"/>
      <c r="C547" s="74" t="n"/>
      <c r="D547" s="75">
        <f>IF($C547="","",IFERROR(INDEX(CAT_TIPO,MATCH($C547,CAT_NOME,0)),"Sem categoria"))</f>
        <v/>
      </c>
      <c r="E547" s="75">
        <f>IF($C547="","",IFERROR(INDEX(CAT_GRUPO,MATCH($C547,CAT_NOME,0)),"Sem categoria"))</f>
        <v/>
      </c>
      <c r="F547" s="76" t="n"/>
      <c r="G547" s="74" t="n"/>
      <c r="H547" s="74" t="n"/>
      <c r="I547" s="74" t="n"/>
      <c r="J547" s="77" t="n"/>
      <c r="K547" s="77" t="n"/>
      <c r="L547" s="74" t="n"/>
      <c r="M547" s="74" t="n"/>
      <c r="O547" s="78">
        <f>IF($A547="","",YEAR($A547)*100+MONTH($A547))</f>
        <v/>
      </c>
      <c r="P547" s="79">
        <f>IF(OR($F547="",$D547=""),"",IF($D547="Receita",$F547,IF($D547="Transferência",0,-$F547)))</f>
        <v/>
      </c>
    </row>
    <row r="548">
      <c r="A548" s="73" t="n"/>
      <c r="B548" s="74" t="n"/>
      <c r="C548" s="74" t="n"/>
      <c r="D548" s="75">
        <f>IF($C548="","",IFERROR(INDEX(CAT_TIPO,MATCH($C548,CAT_NOME,0)),"Sem categoria"))</f>
        <v/>
      </c>
      <c r="E548" s="75">
        <f>IF($C548="","",IFERROR(INDEX(CAT_GRUPO,MATCH($C548,CAT_NOME,0)),"Sem categoria"))</f>
        <v/>
      </c>
      <c r="F548" s="76" t="n"/>
      <c r="G548" s="74" t="n"/>
      <c r="H548" s="74" t="n"/>
      <c r="I548" s="74" t="n"/>
      <c r="J548" s="77" t="n"/>
      <c r="K548" s="77" t="n"/>
      <c r="L548" s="74" t="n"/>
      <c r="M548" s="74" t="n"/>
      <c r="O548" s="78">
        <f>IF($A548="","",YEAR($A548)*100+MONTH($A548))</f>
        <v/>
      </c>
      <c r="P548" s="79">
        <f>IF(OR($F548="",$D548=""),"",IF($D548="Receita",$F548,IF($D548="Transferência",0,-$F548)))</f>
        <v/>
      </c>
    </row>
    <row r="549">
      <c r="A549" s="73" t="n"/>
      <c r="B549" s="74" t="n"/>
      <c r="C549" s="74" t="n"/>
      <c r="D549" s="75">
        <f>IF($C549="","",IFERROR(INDEX(CAT_TIPO,MATCH($C549,CAT_NOME,0)),"Sem categoria"))</f>
        <v/>
      </c>
      <c r="E549" s="75">
        <f>IF($C549="","",IFERROR(INDEX(CAT_GRUPO,MATCH($C549,CAT_NOME,0)),"Sem categoria"))</f>
        <v/>
      </c>
      <c r="F549" s="76" t="n"/>
      <c r="G549" s="74" t="n"/>
      <c r="H549" s="74" t="n"/>
      <c r="I549" s="74" t="n"/>
      <c r="J549" s="77" t="n"/>
      <c r="K549" s="77" t="n"/>
      <c r="L549" s="74" t="n"/>
      <c r="M549" s="74" t="n"/>
      <c r="O549" s="78">
        <f>IF($A549="","",YEAR($A549)*100+MONTH($A549))</f>
        <v/>
      </c>
      <c r="P549" s="79">
        <f>IF(OR($F549="",$D549=""),"",IF($D549="Receita",$F549,IF($D549="Transferência",0,-$F549)))</f>
        <v/>
      </c>
    </row>
    <row r="550">
      <c r="A550" s="73" t="n"/>
      <c r="B550" s="74" t="n"/>
      <c r="C550" s="74" t="n"/>
      <c r="D550" s="75">
        <f>IF($C550="","",IFERROR(INDEX(CAT_TIPO,MATCH($C550,CAT_NOME,0)),"Sem categoria"))</f>
        <v/>
      </c>
      <c r="E550" s="75">
        <f>IF($C550="","",IFERROR(INDEX(CAT_GRUPO,MATCH($C550,CAT_NOME,0)),"Sem categoria"))</f>
        <v/>
      </c>
      <c r="F550" s="76" t="n"/>
      <c r="G550" s="74" t="n"/>
      <c r="H550" s="74" t="n"/>
      <c r="I550" s="74" t="n"/>
      <c r="J550" s="77" t="n"/>
      <c r="K550" s="77" t="n"/>
      <c r="L550" s="74" t="n"/>
      <c r="M550" s="74" t="n"/>
      <c r="O550" s="78">
        <f>IF($A550="","",YEAR($A550)*100+MONTH($A550))</f>
        <v/>
      </c>
      <c r="P550" s="79">
        <f>IF(OR($F550="",$D550=""),"",IF($D550="Receita",$F550,IF($D550="Transferência",0,-$F550)))</f>
        <v/>
      </c>
    </row>
    <row r="551">
      <c r="A551" s="73" t="n"/>
      <c r="B551" s="74" t="n"/>
      <c r="C551" s="74" t="n"/>
      <c r="D551" s="75">
        <f>IF($C551="","",IFERROR(INDEX(CAT_TIPO,MATCH($C551,CAT_NOME,0)),"Sem categoria"))</f>
        <v/>
      </c>
      <c r="E551" s="75">
        <f>IF($C551="","",IFERROR(INDEX(CAT_GRUPO,MATCH($C551,CAT_NOME,0)),"Sem categoria"))</f>
        <v/>
      </c>
      <c r="F551" s="76" t="n"/>
      <c r="G551" s="74" t="n"/>
      <c r="H551" s="74" t="n"/>
      <c r="I551" s="74" t="n"/>
      <c r="J551" s="77" t="n"/>
      <c r="K551" s="77" t="n"/>
      <c r="L551" s="74" t="n"/>
      <c r="M551" s="74" t="n"/>
      <c r="O551" s="78">
        <f>IF($A551="","",YEAR($A551)*100+MONTH($A551))</f>
        <v/>
      </c>
      <c r="P551" s="79">
        <f>IF(OR($F551="",$D551=""),"",IF($D551="Receita",$F551,IF($D551="Transferência",0,-$F551)))</f>
        <v/>
      </c>
    </row>
    <row r="552">
      <c r="A552" s="73" t="n"/>
      <c r="B552" s="74" t="n"/>
      <c r="C552" s="74" t="n"/>
      <c r="D552" s="75">
        <f>IF($C552="","",IFERROR(INDEX(CAT_TIPO,MATCH($C552,CAT_NOME,0)),"Sem categoria"))</f>
        <v/>
      </c>
      <c r="E552" s="75">
        <f>IF($C552="","",IFERROR(INDEX(CAT_GRUPO,MATCH($C552,CAT_NOME,0)),"Sem categoria"))</f>
        <v/>
      </c>
      <c r="F552" s="76" t="n"/>
      <c r="G552" s="74" t="n"/>
      <c r="H552" s="74" t="n"/>
      <c r="I552" s="74" t="n"/>
      <c r="J552" s="77" t="n"/>
      <c r="K552" s="77" t="n"/>
      <c r="L552" s="74" t="n"/>
      <c r="M552" s="74" t="n"/>
      <c r="O552" s="78">
        <f>IF($A552="","",YEAR($A552)*100+MONTH($A552))</f>
        <v/>
      </c>
      <c r="P552" s="79">
        <f>IF(OR($F552="",$D552=""),"",IF($D552="Receita",$F552,IF($D552="Transferência",0,-$F552)))</f>
        <v/>
      </c>
    </row>
    <row r="553">
      <c r="A553" s="73" t="n"/>
      <c r="B553" s="74" t="n"/>
      <c r="C553" s="74" t="n"/>
      <c r="D553" s="75">
        <f>IF($C553="","",IFERROR(INDEX(CAT_TIPO,MATCH($C553,CAT_NOME,0)),"Sem categoria"))</f>
        <v/>
      </c>
      <c r="E553" s="75">
        <f>IF($C553="","",IFERROR(INDEX(CAT_GRUPO,MATCH($C553,CAT_NOME,0)),"Sem categoria"))</f>
        <v/>
      </c>
      <c r="F553" s="76" t="n"/>
      <c r="G553" s="74" t="n"/>
      <c r="H553" s="74" t="n"/>
      <c r="I553" s="74" t="n"/>
      <c r="J553" s="77" t="n"/>
      <c r="K553" s="77" t="n"/>
      <c r="L553" s="74" t="n"/>
      <c r="M553" s="74" t="n"/>
      <c r="O553" s="78">
        <f>IF($A553="","",YEAR($A553)*100+MONTH($A553))</f>
        <v/>
      </c>
      <c r="P553" s="79">
        <f>IF(OR($F553="",$D553=""),"",IF($D553="Receita",$F553,IF($D553="Transferência",0,-$F553)))</f>
        <v/>
      </c>
    </row>
    <row r="554">
      <c r="A554" s="73" t="n"/>
      <c r="B554" s="74" t="n"/>
      <c r="C554" s="74" t="n"/>
      <c r="D554" s="75">
        <f>IF($C554="","",IFERROR(INDEX(CAT_TIPO,MATCH($C554,CAT_NOME,0)),"Sem categoria"))</f>
        <v/>
      </c>
      <c r="E554" s="75">
        <f>IF($C554="","",IFERROR(INDEX(CAT_GRUPO,MATCH($C554,CAT_NOME,0)),"Sem categoria"))</f>
        <v/>
      </c>
      <c r="F554" s="76" t="n"/>
      <c r="G554" s="74" t="n"/>
      <c r="H554" s="74" t="n"/>
      <c r="I554" s="74" t="n"/>
      <c r="J554" s="77" t="n"/>
      <c r="K554" s="77" t="n"/>
      <c r="L554" s="74" t="n"/>
      <c r="M554" s="74" t="n"/>
      <c r="O554" s="78">
        <f>IF($A554="","",YEAR($A554)*100+MONTH($A554))</f>
        <v/>
      </c>
      <c r="P554" s="79">
        <f>IF(OR($F554="",$D554=""),"",IF($D554="Receita",$F554,IF($D554="Transferência",0,-$F554)))</f>
        <v/>
      </c>
    </row>
    <row r="555">
      <c r="A555" s="73" t="n"/>
      <c r="B555" s="74" t="n"/>
      <c r="C555" s="74" t="n"/>
      <c r="D555" s="75">
        <f>IF($C555="","",IFERROR(INDEX(CAT_TIPO,MATCH($C555,CAT_NOME,0)),"Sem categoria"))</f>
        <v/>
      </c>
      <c r="E555" s="75">
        <f>IF($C555="","",IFERROR(INDEX(CAT_GRUPO,MATCH($C555,CAT_NOME,0)),"Sem categoria"))</f>
        <v/>
      </c>
      <c r="F555" s="76" t="n"/>
      <c r="G555" s="74" t="n"/>
      <c r="H555" s="74" t="n"/>
      <c r="I555" s="74" t="n"/>
      <c r="J555" s="77" t="n"/>
      <c r="K555" s="77" t="n"/>
      <c r="L555" s="74" t="n"/>
      <c r="M555" s="74" t="n"/>
      <c r="O555" s="78">
        <f>IF($A555="","",YEAR($A555)*100+MONTH($A555))</f>
        <v/>
      </c>
      <c r="P555" s="79">
        <f>IF(OR($F555="",$D555=""),"",IF($D555="Receita",$F555,IF($D555="Transferência",0,-$F555)))</f>
        <v/>
      </c>
    </row>
    <row r="556">
      <c r="A556" s="73" t="n"/>
      <c r="B556" s="74" t="n"/>
      <c r="C556" s="74" t="n"/>
      <c r="D556" s="75">
        <f>IF($C556="","",IFERROR(INDEX(CAT_TIPO,MATCH($C556,CAT_NOME,0)),"Sem categoria"))</f>
        <v/>
      </c>
      <c r="E556" s="75">
        <f>IF($C556="","",IFERROR(INDEX(CAT_GRUPO,MATCH($C556,CAT_NOME,0)),"Sem categoria"))</f>
        <v/>
      </c>
      <c r="F556" s="76" t="n"/>
      <c r="G556" s="74" t="n"/>
      <c r="H556" s="74" t="n"/>
      <c r="I556" s="74" t="n"/>
      <c r="J556" s="77" t="n"/>
      <c r="K556" s="77" t="n"/>
      <c r="L556" s="74" t="n"/>
      <c r="M556" s="74" t="n"/>
      <c r="O556" s="78">
        <f>IF($A556="","",YEAR($A556)*100+MONTH($A556))</f>
        <v/>
      </c>
      <c r="P556" s="79">
        <f>IF(OR($F556="",$D556=""),"",IF($D556="Receita",$F556,IF($D556="Transferência",0,-$F556)))</f>
        <v/>
      </c>
    </row>
    <row r="557">
      <c r="A557" s="73" t="n"/>
      <c r="B557" s="74" t="n"/>
      <c r="C557" s="74" t="n"/>
      <c r="D557" s="75">
        <f>IF($C557="","",IFERROR(INDEX(CAT_TIPO,MATCH($C557,CAT_NOME,0)),"Sem categoria"))</f>
        <v/>
      </c>
      <c r="E557" s="75">
        <f>IF($C557="","",IFERROR(INDEX(CAT_GRUPO,MATCH($C557,CAT_NOME,0)),"Sem categoria"))</f>
        <v/>
      </c>
      <c r="F557" s="76" t="n"/>
      <c r="G557" s="74" t="n"/>
      <c r="H557" s="74" t="n"/>
      <c r="I557" s="74" t="n"/>
      <c r="J557" s="77" t="n"/>
      <c r="K557" s="77" t="n"/>
      <c r="L557" s="74" t="n"/>
      <c r="M557" s="74" t="n"/>
      <c r="O557" s="78">
        <f>IF($A557="","",YEAR($A557)*100+MONTH($A557))</f>
        <v/>
      </c>
      <c r="P557" s="79">
        <f>IF(OR($F557="",$D557=""),"",IF($D557="Receita",$F557,IF($D557="Transferência",0,-$F557)))</f>
        <v/>
      </c>
    </row>
    <row r="558">
      <c r="A558" s="73" t="n"/>
      <c r="B558" s="74" t="n"/>
      <c r="C558" s="74" t="n"/>
      <c r="D558" s="75">
        <f>IF($C558="","",IFERROR(INDEX(CAT_TIPO,MATCH($C558,CAT_NOME,0)),"Sem categoria"))</f>
        <v/>
      </c>
      <c r="E558" s="75">
        <f>IF($C558="","",IFERROR(INDEX(CAT_GRUPO,MATCH($C558,CAT_NOME,0)),"Sem categoria"))</f>
        <v/>
      </c>
      <c r="F558" s="76" t="n"/>
      <c r="G558" s="74" t="n"/>
      <c r="H558" s="74" t="n"/>
      <c r="I558" s="74" t="n"/>
      <c r="J558" s="77" t="n"/>
      <c r="K558" s="77" t="n"/>
      <c r="L558" s="74" t="n"/>
      <c r="M558" s="74" t="n"/>
      <c r="O558" s="78">
        <f>IF($A558="","",YEAR($A558)*100+MONTH($A558))</f>
        <v/>
      </c>
      <c r="P558" s="79">
        <f>IF(OR($F558="",$D558=""),"",IF($D558="Receita",$F558,IF($D558="Transferência",0,-$F558)))</f>
        <v/>
      </c>
    </row>
    <row r="559">
      <c r="A559" s="73" t="n"/>
      <c r="B559" s="74" t="n"/>
      <c r="C559" s="74" t="n"/>
      <c r="D559" s="75">
        <f>IF($C559="","",IFERROR(INDEX(CAT_TIPO,MATCH($C559,CAT_NOME,0)),"Sem categoria"))</f>
        <v/>
      </c>
      <c r="E559" s="75">
        <f>IF($C559="","",IFERROR(INDEX(CAT_GRUPO,MATCH($C559,CAT_NOME,0)),"Sem categoria"))</f>
        <v/>
      </c>
      <c r="F559" s="76" t="n"/>
      <c r="G559" s="74" t="n"/>
      <c r="H559" s="74" t="n"/>
      <c r="I559" s="74" t="n"/>
      <c r="J559" s="77" t="n"/>
      <c r="K559" s="77" t="n"/>
      <c r="L559" s="74" t="n"/>
      <c r="M559" s="74" t="n"/>
      <c r="O559" s="78">
        <f>IF($A559="","",YEAR($A559)*100+MONTH($A559))</f>
        <v/>
      </c>
      <c r="P559" s="79">
        <f>IF(OR($F559="",$D559=""),"",IF($D559="Receita",$F559,IF($D559="Transferência",0,-$F559)))</f>
        <v/>
      </c>
    </row>
    <row r="560">
      <c r="A560" s="73" t="n"/>
      <c r="B560" s="74" t="n"/>
      <c r="C560" s="74" t="n"/>
      <c r="D560" s="75">
        <f>IF($C560="","",IFERROR(INDEX(CAT_TIPO,MATCH($C560,CAT_NOME,0)),"Sem categoria"))</f>
        <v/>
      </c>
      <c r="E560" s="75">
        <f>IF($C560="","",IFERROR(INDEX(CAT_GRUPO,MATCH($C560,CAT_NOME,0)),"Sem categoria"))</f>
        <v/>
      </c>
      <c r="F560" s="76" t="n"/>
      <c r="G560" s="74" t="n"/>
      <c r="H560" s="74" t="n"/>
      <c r="I560" s="74" t="n"/>
      <c r="J560" s="77" t="n"/>
      <c r="K560" s="77" t="n"/>
      <c r="L560" s="74" t="n"/>
      <c r="M560" s="74" t="n"/>
      <c r="O560" s="78">
        <f>IF($A560="","",YEAR($A560)*100+MONTH($A560))</f>
        <v/>
      </c>
      <c r="P560" s="79">
        <f>IF(OR($F560="",$D560=""),"",IF($D560="Receita",$F560,IF($D560="Transferência",0,-$F560)))</f>
        <v/>
      </c>
    </row>
    <row r="561">
      <c r="A561" s="73" t="n"/>
      <c r="B561" s="74" t="n"/>
      <c r="C561" s="74" t="n"/>
      <c r="D561" s="75">
        <f>IF($C561="","",IFERROR(INDEX(CAT_TIPO,MATCH($C561,CAT_NOME,0)),"Sem categoria"))</f>
        <v/>
      </c>
      <c r="E561" s="75">
        <f>IF($C561="","",IFERROR(INDEX(CAT_GRUPO,MATCH($C561,CAT_NOME,0)),"Sem categoria"))</f>
        <v/>
      </c>
      <c r="F561" s="76" t="n"/>
      <c r="G561" s="74" t="n"/>
      <c r="H561" s="74" t="n"/>
      <c r="I561" s="74" t="n"/>
      <c r="J561" s="77" t="n"/>
      <c r="K561" s="77" t="n"/>
      <c r="L561" s="74" t="n"/>
      <c r="M561" s="74" t="n"/>
      <c r="O561" s="78">
        <f>IF($A561="","",YEAR($A561)*100+MONTH($A561))</f>
        <v/>
      </c>
      <c r="P561" s="79">
        <f>IF(OR($F561="",$D561=""),"",IF($D561="Receita",$F561,IF($D561="Transferência",0,-$F561)))</f>
        <v/>
      </c>
    </row>
    <row r="562">
      <c r="A562" s="73" t="n"/>
      <c r="B562" s="74" t="n"/>
      <c r="C562" s="74" t="n"/>
      <c r="D562" s="75">
        <f>IF($C562="","",IFERROR(INDEX(CAT_TIPO,MATCH($C562,CAT_NOME,0)),"Sem categoria"))</f>
        <v/>
      </c>
      <c r="E562" s="75">
        <f>IF($C562="","",IFERROR(INDEX(CAT_GRUPO,MATCH($C562,CAT_NOME,0)),"Sem categoria"))</f>
        <v/>
      </c>
      <c r="F562" s="76" t="n"/>
      <c r="G562" s="74" t="n"/>
      <c r="H562" s="74" t="n"/>
      <c r="I562" s="74" t="n"/>
      <c r="J562" s="77" t="n"/>
      <c r="K562" s="77" t="n"/>
      <c r="L562" s="74" t="n"/>
      <c r="M562" s="74" t="n"/>
      <c r="O562" s="78">
        <f>IF($A562="","",YEAR($A562)*100+MONTH($A562))</f>
        <v/>
      </c>
      <c r="P562" s="79">
        <f>IF(OR($F562="",$D562=""),"",IF($D562="Receita",$F562,IF($D562="Transferência",0,-$F562)))</f>
        <v/>
      </c>
    </row>
    <row r="563">
      <c r="A563" s="73" t="n"/>
      <c r="B563" s="74" t="n"/>
      <c r="C563" s="74" t="n"/>
      <c r="D563" s="75">
        <f>IF($C563="","",IFERROR(INDEX(CAT_TIPO,MATCH($C563,CAT_NOME,0)),"Sem categoria"))</f>
        <v/>
      </c>
      <c r="E563" s="75">
        <f>IF($C563="","",IFERROR(INDEX(CAT_GRUPO,MATCH($C563,CAT_NOME,0)),"Sem categoria"))</f>
        <v/>
      </c>
      <c r="F563" s="76" t="n"/>
      <c r="G563" s="74" t="n"/>
      <c r="H563" s="74" t="n"/>
      <c r="I563" s="74" t="n"/>
      <c r="J563" s="77" t="n"/>
      <c r="K563" s="77" t="n"/>
      <c r="L563" s="74" t="n"/>
      <c r="M563" s="74" t="n"/>
      <c r="O563" s="78">
        <f>IF($A563="","",YEAR($A563)*100+MONTH($A563))</f>
        <v/>
      </c>
      <c r="P563" s="79">
        <f>IF(OR($F563="",$D563=""),"",IF($D563="Receita",$F563,IF($D563="Transferência",0,-$F563)))</f>
        <v/>
      </c>
    </row>
    <row r="564">
      <c r="A564" s="73" t="n"/>
      <c r="B564" s="74" t="n"/>
      <c r="C564" s="74" t="n"/>
      <c r="D564" s="75">
        <f>IF($C564="","",IFERROR(INDEX(CAT_TIPO,MATCH($C564,CAT_NOME,0)),"Sem categoria"))</f>
        <v/>
      </c>
      <c r="E564" s="75">
        <f>IF($C564="","",IFERROR(INDEX(CAT_GRUPO,MATCH($C564,CAT_NOME,0)),"Sem categoria"))</f>
        <v/>
      </c>
      <c r="F564" s="76" t="n"/>
      <c r="G564" s="74" t="n"/>
      <c r="H564" s="74" t="n"/>
      <c r="I564" s="74" t="n"/>
      <c r="J564" s="77" t="n"/>
      <c r="K564" s="77" t="n"/>
      <c r="L564" s="74" t="n"/>
      <c r="M564" s="74" t="n"/>
      <c r="O564" s="78">
        <f>IF($A564="","",YEAR($A564)*100+MONTH($A564))</f>
        <v/>
      </c>
      <c r="P564" s="79">
        <f>IF(OR($F564="",$D564=""),"",IF($D564="Receita",$F564,IF($D564="Transferência",0,-$F564)))</f>
        <v/>
      </c>
    </row>
    <row r="565">
      <c r="A565" s="73" t="n"/>
      <c r="B565" s="74" t="n"/>
      <c r="C565" s="74" t="n"/>
      <c r="D565" s="75">
        <f>IF($C565="","",IFERROR(INDEX(CAT_TIPO,MATCH($C565,CAT_NOME,0)),"Sem categoria"))</f>
        <v/>
      </c>
      <c r="E565" s="75">
        <f>IF($C565="","",IFERROR(INDEX(CAT_GRUPO,MATCH($C565,CAT_NOME,0)),"Sem categoria"))</f>
        <v/>
      </c>
      <c r="F565" s="76" t="n"/>
      <c r="G565" s="74" t="n"/>
      <c r="H565" s="74" t="n"/>
      <c r="I565" s="74" t="n"/>
      <c r="J565" s="77" t="n"/>
      <c r="K565" s="77" t="n"/>
      <c r="L565" s="74" t="n"/>
      <c r="M565" s="74" t="n"/>
      <c r="O565" s="78">
        <f>IF($A565="","",YEAR($A565)*100+MONTH($A565))</f>
        <v/>
      </c>
      <c r="P565" s="79">
        <f>IF(OR($F565="",$D565=""),"",IF($D565="Receita",$F565,IF($D565="Transferência",0,-$F565)))</f>
        <v/>
      </c>
    </row>
    <row r="566">
      <c r="A566" s="73" t="n"/>
      <c r="B566" s="74" t="n"/>
      <c r="C566" s="74" t="n"/>
      <c r="D566" s="75">
        <f>IF($C566="","",IFERROR(INDEX(CAT_TIPO,MATCH($C566,CAT_NOME,0)),"Sem categoria"))</f>
        <v/>
      </c>
      <c r="E566" s="75">
        <f>IF($C566="","",IFERROR(INDEX(CAT_GRUPO,MATCH($C566,CAT_NOME,0)),"Sem categoria"))</f>
        <v/>
      </c>
      <c r="F566" s="76" t="n"/>
      <c r="G566" s="74" t="n"/>
      <c r="H566" s="74" t="n"/>
      <c r="I566" s="74" t="n"/>
      <c r="J566" s="77" t="n"/>
      <c r="K566" s="77" t="n"/>
      <c r="L566" s="74" t="n"/>
      <c r="M566" s="74" t="n"/>
      <c r="O566" s="78">
        <f>IF($A566="","",YEAR($A566)*100+MONTH($A566))</f>
        <v/>
      </c>
      <c r="P566" s="79">
        <f>IF(OR($F566="",$D566=""),"",IF($D566="Receita",$F566,IF($D566="Transferência",0,-$F566)))</f>
        <v/>
      </c>
    </row>
    <row r="567">
      <c r="A567" s="73" t="n"/>
      <c r="B567" s="74" t="n"/>
      <c r="C567" s="74" t="n"/>
      <c r="D567" s="75">
        <f>IF($C567="","",IFERROR(INDEX(CAT_TIPO,MATCH($C567,CAT_NOME,0)),"Sem categoria"))</f>
        <v/>
      </c>
      <c r="E567" s="75">
        <f>IF($C567="","",IFERROR(INDEX(CAT_GRUPO,MATCH($C567,CAT_NOME,0)),"Sem categoria"))</f>
        <v/>
      </c>
      <c r="F567" s="76" t="n"/>
      <c r="G567" s="74" t="n"/>
      <c r="H567" s="74" t="n"/>
      <c r="I567" s="74" t="n"/>
      <c r="J567" s="77" t="n"/>
      <c r="K567" s="77" t="n"/>
      <c r="L567" s="74" t="n"/>
      <c r="M567" s="74" t="n"/>
      <c r="O567" s="78">
        <f>IF($A567="","",YEAR($A567)*100+MONTH($A567))</f>
        <v/>
      </c>
      <c r="P567" s="79">
        <f>IF(OR($F567="",$D567=""),"",IF($D567="Receita",$F567,IF($D567="Transferência",0,-$F567)))</f>
        <v/>
      </c>
    </row>
    <row r="568">
      <c r="A568" s="73" t="n"/>
      <c r="B568" s="74" t="n"/>
      <c r="C568" s="74" t="n"/>
      <c r="D568" s="75">
        <f>IF($C568="","",IFERROR(INDEX(CAT_TIPO,MATCH($C568,CAT_NOME,0)),"Sem categoria"))</f>
        <v/>
      </c>
      <c r="E568" s="75">
        <f>IF($C568="","",IFERROR(INDEX(CAT_GRUPO,MATCH($C568,CAT_NOME,0)),"Sem categoria"))</f>
        <v/>
      </c>
      <c r="F568" s="76" t="n"/>
      <c r="G568" s="74" t="n"/>
      <c r="H568" s="74" t="n"/>
      <c r="I568" s="74" t="n"/>
      <c r="J568" s="77" t="n"/>
      <c r="K568" s="77" t="n"/>
      <c r="L568" s="74" t="n"/>
      <c r="M568" s="74" t="n"/>
      <c r="O568" s="78">
        <f>IF($A568="","",YEAR($A568)*100+MONTH($A568))</f>
        <v/>
      </c>
      <c r="P568" s="79">
        <f>IF(OR($F568="",$D568=""),"",IF($D568="Receita",$F568,IF($D568="Transferência",0,-$F568)))</f>
        <v/>
      </c>
    </row>
    <row r="569">
      <c r="A569" s="73" t="n"/>
      <c r="B569" s="74" t="n"/>
      <c r="C569" s="74" t="n"/>
      <c r="D569" s="75">
        <f>IF($C569="","",IFERROR(INDEX(CAT_TIPO,MATCH($C569,CAT_NOME,0)),"Sem categoria"))</f>
        <v/>
      </c>
      <c r="E569" s="75">
        <f>IF($C569="","",IFERROR(INDEX(CAT_GRUPO,MATCH($C569,CAT_NOME,0)),"Sem categoria"))</f>
        <v/>
      </c>
      <c r="F569" s="76" t="n"/>
      <c r="G569" s="74" t="n"/>
      <c r="H569" s="74" t="n"/>
      <c r="I569" s="74" t="n"/>
      <c r="J569" s="77" t="n"/>
      <c r="K569" s="77" t="n"/>
      <c r="L569" s="74" t="n"/>
      <c r="M569" s="74" t="n"/>
      <c r="O569" s="78">
        <f>IF($A569="","",YEAR($A569)*100+MONTH($A569))</f>
        <v/>
      </c>
      <c r="P569" s="79">
        <f>IF(OR($F569="",$D569=""),"",IF($D569="Receita",$F569,IF($D569="Transferência",0,-$F569)))</f>
        <v/>
      </c>
    </row>
    <row r="570">
      <c r="A570" s="73" t="n"/>
      <c r="B570" s="74" t="n"/>
      <c r="C570" s="74" t="n"/>
      <c r="D570" s="75">
        <f>IF($C570="","",IFERROR(INDEX(CAT_TIPO,MATCH($C570,CAT_NOME,0)),"Sem categoria"))</f>
        <v/>
      </c>
      <c r="E570" s="75">
        <f>IF($C570="","",IFERROR(INDEX(CAT_GRUPO,MATCH($C570,CAT_NOME,0)),"Sem categoria"))</f>
        <v/>
      </c>
      <c r="F570" s="76" t="n"/>
      <c r="G570" s="74" t="n"/>
      <c r="H570" s="74" t="n"/>
      <c r="I570" s="74" t="n"/>
      <c r="J570" s="77" t="n"/>
      <c r="K570" s="77" t="n"/>
      <c r="L570" s="74" t="n"/>
      <c r="M570" s="74" t="n"/>
      <c r="O570" s="78">
        <f>IF($A570="","",YEAR($A570)*100+MONTH($A570))</f>
        <v/>
      </c>
      <c r="P570" s="79">
        <f>IF(OR($F570="",$D570=""),"",IF($D570="Receita",$F570,IF($D570="Transferência",0,-$F570)))</f>
        <v/>
      </c>
    </row>
    <row r="571">
      <c r="A571" s="73" t="n"/>
      <c r="B571" s="74" t="n"/>
      <c r="C571" s="74" t="n"/>
      <c r="D571" s="75">
        <f>IF($C571="","",IFERROR(INDEX(CAT_TIPO,MATCH($C571,CAT_NOME,0)),"Sem categoria"))</f>
        <v/>
      </c>
      <c r="E571" s="75">
        <f>IF($C571="","",IFERROR(INDEX(CAT_GRUPO,MATCH($C571,CAT_NOME,0)),"Sem categoria"))</f>
        <v/>
      </c>
      <c r="F571" s="76" t="n"/>
      <c r="G571" s="74" t="n"/>
      <c r="H571" s="74" t="n"/>
      <c r="I571" s="74" t="n"/>
      <c r="J571" s="77" t="n"/>
      <c r="K571" s="77" t="n"/>
      <c r="L571" s="74" t="n"/>
      <c r="M571" s="74" t="n"/>
      <c r="O571" s="78">
        <f>IF($A571="","",YEAR($A571)*100+MONTH($A571))</f>
        <v/>
      </c>
      <c r="P571" s="79">
        <f>IF(OR($F571="",$D571=""),"",IF($D571="Receita",$F571,IF($D571="Transferência",0,-$F571)))</f>
        <v/>
      </c>
    </row>
    <row r="572">
      <c r="A572" s="73" t="n"/>
      <c r="B572" s="74" t="n"/>
      <c r="C572" s="74" t="n"/>
      <c r="D572" s="75">
        <f>IF($C572="","",IFERROR(INDEX(CAT_TIPO,MATCH($C572,CAT_NOME,0)),"Sem categoria"))</f>
        <v/>
      </c>
      <c r="E572" s="75">
        <f>IF($C572="","",IFERROR(INDEX(CAT_GRUPO,MATCH($C572,CAT_NOME,0)),"Sem categoria"))</f>
        <v/>
      </c>
      <c r="F572" s="76" t="n"/>
      <c r="G572" s="74" t="n"/>
      <c r="H572" s="74" t="n"/>
      <c r="I572" s="74" t="n"/>
      <c r="J572" s="77" t="n"/>
      <c r="K572" s="77" t="n"/>
      <c r="L572" s="74" t="n"/>
      <c r="M572" s="74" t="n"/>
      <c r="O572" s="78">
        <f>IF($A572="","",YEAR($A572)*100+MONTH($A572))</f>
        <v/>
      </c>
      <c r="P572" s="79">
        <f>IF(OR($F572="",$D572=""),"",IF($D572="Receita",$F572,IF($D572="Transferência",0,-$F572)))</f>
        <v/>
      </c>
    </row>
    <row r="573">
      <c r="A573" s="73" t="n"/>
      <c r="B573" s="74" t="n"/>
      <c r="C573" s="74" t="n"/>
      <c r="D573" s="75">
        <f>IF($C573="","",IFERROR(INDEX(CAT_TIPO,MATCH($C573,CAT_NOME,0)),"Sem categoria"))</f>
        <v/>
      </c>
      <c r="E573" s="75">
        <f>IF($C573="","",IFERROR(INDEX(CAT_GRUPO,MATCH($C573,CAT_NOME,0)),"Sem categoria"))</f>
        <v/>
      </c>
      <c r="F573" s="76" t="n"/>
      <c r="G573" s="74" t="n"/>
      <c r="H573" s="74" t="n"/>
      <c r="I573" s="74" t="n"/>
      <c r="J573" s="77" t="n"/>
      <c r="K573" s="77" t="n"/>
      <c r="L573" s="74" t="n"/>
      <c r="M573" s="74" t="n"/>
      <c r="O573" s="78">
        <f>IF($A573="","",YEAR($A573)*100+MONTH($A573))</f>
        <v/>
      </c>
      <c r="P573" s="79">
        <f>IF(OR($F573="",$D573=""),"",IF($D573="Receita",$F573,IF($D573="Transferência",0,-$F573)))</f>
        <v/>
      </c>
    </row>
    <row r="574">
      <c r="A574" s="73" t="n"/>
      <c r="B574" s="74" t="n"/>
      <c r="C574" s="74" t="n"/>
      <c r="D574" s="75">
        <f>IF($C574="","",IFERROR(INDEX(CAT_TIPO,MATCH($C574,CAT_NOME,0)),"Sem categoria"))</f>
        <v/>
      </c>
      <c r="E574" s="75">
        <f>IF($C574="","",IFERROR(INDEX(CAT_GRUPO,MATCH($C574,CAT_NOME,0)),"Sem categoria"))</f>
        <v/>
      </c>
      <c r="F574" s="76" t="n"/>
      <c r="G574" s="74" t="n"/>
      <c r="H574" s="74" t="n"/>
      <c r="I574" s="74" t="n"/>
      <c r="J574" s="77" t="n"/>
      <c r="K574" s="77" t="n"/>
      <c r="L574" s="74" t="n"/>
      <c r="M574" s="74" t="n"/>
      <c r="O574" s="78">
        <f>IF($A574="","",YEAR($A574)*100+MONTH($A574))</f>
        <v/>
      </c>
      <c r="P574" s="79">
        <f>IF(OR($F574="",$D574=""),"",IF($D574="Receita",$F574,IF($D574="Transferência",0,-$F574)))</f>
        <v/>
      </c>
    </row>
    <row r="575">
      <c r="A575" s="73" t="n"/>
      <c r="B575" s="74" t="n"/>
      <c r="C575" s="74" t="n"/>
      <c r="D575" s="75">
        <f>IF($C575="","",IFERROR(INDEX(CAT_TIPO,MATCH($C575,CAT_NOME,0)),"Sem categoria"))</f>
        <v/>
      </c>
      <c r="E575" s="75">
        <f>IF($C575="","",IFERROR(INDEX(CAT_GRUPO,MATCH($C575,CAT_NOME,0)),"Sem categoria"))</f>
        <v/>
      </c>
      <c r="F575" s="76" t="n"/>
      <c r="G575" s="74" t="n"/>
      <c r="H575" s="74" t="n"/>
      <c r="I575" s="74" t="n"/>
      <c r="J575" s="77" t="n"/>
      <c r="K575" s="77" t="n"/>
      <c r="L575" s="74" t="n"/>
      <c r="M575" s="74" t="n"/>
      <c r="O575" s="78">
        <f>IF($A575="","",YEAR($A575)*100+MONTH($A575))</f>
        <v/>
      </c>
      <c r="P575" s="79">
        <f>IF(OR($F575="",$D575=""),"",IF($D575="Receita",$F575,IF($D575="Transferência",0,-$F575)))</f>
        <v/>
      </c>
    </row>
    <row r="576">
      <c r="A576" s="73" t="n"/>
      <c r="B576" s="74" t="n"/>
      <c r="C576" s="74" t="n"/>
      <c r="D576" s="75">
        <f>IF($C576="","",IFERROR(INDEX(CAT_TIPO,MATCH($C576,CAT_NOME,0)),"Sem categoria"))</f>
        <v/>
      </c>
      <c r="E576" s="75">
        <f>IF($C576="","",IFERROR(INDEX(CAT_GRUPO,MATCH($C576,CAT_NOME,0)),"Sem categoria"))</f>
        <v/>
      </c>
      <c r="F576" s="76" t="n"/>
      <c r="G576" s="74" t="n"/>
      <c r="H576" s="74" t="n"/>
      <c r="I576" s="74" t="n"/>
      <c r="J576" s="77" t="n"/>
      <c r="K576" s="77" t="n"/>
      <c r="L576" s="74" t="n"/>
      <c r="M576" s="74" t="n"/>
      <c r="O576" s="78">
        <f>IF($A576="","",YEAR($A576)*100+MONTH($A576))</f>
        <v/>
      </c>
      <c r="P576" s="79">
        <f>IF(OR($F576="",$D576=""),"",IF($D576="Receita",$F576,IF($D576="Transferência",0,-$F576)))</f>
        <v/>
      </c>
    </row>
    <row r="577">
      <c r="A577" s="73" t="n"/>
      <c r="B577" s="74" t="n"/>
      <c r="C577" s="74" t="n"/>
      <c r="D577" s="75">
        <f>IF($C577="","",IFERROR(INDEX(CAT_TIPO,MATCH($C577,CAT_NOME,0)),"Sem categoria"))</f>
        <v/>
      </c>
      <c r="E577" s="75">
        <f>IF($C577="","",IFERROR(INDEX(CAT_GRUPO,MATCH($C577,CAT_NOME,0)),"Sem categoria"))</f>
        <v/>
      </c>
      <c r="F577" s="76" t="n"/>
      <c r="G577" s="74" t="n"/>
      <c r="H577" s="74" t="n"/>
      <c r="I577" s="74" t="n"/>
      <c r="J577" s="77" t="n"/>
      <c r="K577" s="77" t="n"/>
      <c r="L577" s="74" t="n"/>
      <c r="M577" s="74" t="n"/>
      <c r="O577" s="78">
        <f>IF($A577="","",YEAR($A577)*100+MONTH($A577))</f>
        <v/>
      </c>
      <c r="P577" s="79">
        <f>IF(OR($F577="",$D577=""),"",IF($D577="Receita",$F577,IF($D577="Transferência",0,-$F577)))</f>
        <v/>
      </c>
    </row>
    <row r="578">
      <c r="A578" s="73" t="n"/>
      <c r="B578" s="74" t="n"/>
      <c r="C578" s="74" t="n"/>
      <c r="D578" s="75">
        <f>IF($C578="","",IFERROR(INDEX(CAT_TIPO,MATCH($C578,CAT_NOME,0)),"Sem categoria"))</f>
        <v/>
      </c>
      <c r="E578" s="75">
        <f>IF($C578="","",IFERROR(INDEX(CAT_GRUPO,MATCH($C578,CAT_NOME,0)),"Sem categoria"))</f>
        <v/>
      </c>
      <c r="F578" s="76" t="n"/>
      <c r="G578" s="74" t="n"/>
      <c r="H578" s="74" t="n"/>
      <c r="I578" s="74" t="n"/>
      <c r="J578" s="77" t="n"/>
      <c r="K578" s="77" t="n"/>
      <c r="L578" s="74" t="n"/>
      <c r="M578" s="74" t="n"/>
      <c r="O578" s="78">
        <f>IF($A578="","",YEAR($A578)*100+MONTH($A578))</f>
        <v/>
      </c>
      <c r="P578" s="79">
        <f>IF(OR($F578="",$D578=""),"",IF($D578="Receita",$F578,IF($D578="Transferência",0,-$F578)))</f>
        <v/>
      </c>
    </row>
    <row r="579">
      <c r="A579" s="73" t="n"/>
      <c r="B579" s="74" t="n"/>
      <c r="C579" s="74" t="n"/>
      <c r="D579" s="75">
        <f>IF($C579="","",IFERROR(INDEX(CAT_TIPO,MATCH($C579,CAT_NOME,0)),"Sem categoria"))</f>
        <v/>
      </c>
      <c r="E579" s="75">
        <f>IF($C579="","",IFERROR(INDEX(CAT_GRUPO,MATCH($C579,CAT_NOME,0)),"Sem categoria"))</f>
        <v/>
      </c>
      <c r="F579" s="76" t="n"/>
      <c r="G579" s="74" t="n"/>
      <c r="H579" s="74" t="n"/>
      <c r="I579" s="74" t="n"/>
      <c r="J579" s="77" t="n"/>
      <c r="K579" s="77" t="n"/>
      <c r="L579" s="74" t="n"/>
      <c r="M579" s="74" t="n"/>
      <c r="O579" s="78">
        <f>IF($A579="","",YEAR($A579)*100+MONTH($A579))</f>
        <v/>
      </c>
      <c r="P579" s="79">
        <f>IF(OR($F579="",$D579=""),"",IF($D579="Receita",$F579,IF($D579="Transferência",0,-$F579)))</f>
        <v/>
      </c>
    </row>
    <row r="580">
      <c r="A580" s="73" t="n"/>
      <c r="B580" s="74" t="n"/>
      <c r="C580" s="74" t="n"/>
      <c r="D580" s="75">
        <f>IF($C580="","",IFERROR(INDEX(CAT_TIPO,MATCH($C580,CAT_NOME,0)),"Sem categoria"))</f>
        <v/>
      </c>
      <c r="E580" s="75">
        <f>IF($C580="","",IFERROR(INDEX(CAT_GRUPO,MATCH($C580,CAT_NOME,0)),"Sem categoria"))</f>
        <v/>
      </c>
      <c r="F580" s="76" t="n"/>
      <c r="G580" s="74" t="n"/>
      <c r="H580" s="74" t="n"/>
      <c r="I580" s="74" t="n"/>
      <c r="J580" s="77" t="n"/>
      <c r="K580" s="77" t="n"/>
      <c r="L580" s="74" t="n"/>
      <c r="M580" s="74" t="n"/>
      <c r="O580" s="78">
        <f>IF($A580="","",YEAR($A580)*100+MONTH($A580))</f>
        <v/>
      </c>
      <c r="P580" s="79">
        <f>IF(OR($F580="",$D580=""),"",IF($D580="Receita",$F580,IF($D580="Transferência",0,-$F580)))</f>
        <v/>
      </c>
    </row>
    <row r="581">
      <c r="A581" s="73" t="n"/>
      <c r="B581" s="74" t="n"/>
      <c r="C581" s="74" t="n"/>
      <c r="D581" s="75">
        <f>IF($C581="","",IFERROR(INDEX(CAT_TIPO,MATCH($C581,CAT_NOME,0)),"Sem categoria"))</f>
        <v/>
      </c>
      <c r="E581" s="75">
        <f>IF($C581="","",IFERROR(INDEX(CAT_GRUPO,MATCH($C581,CAT_NOME,0)),"Sem categoria"))</f>
        <v/>
      </c>
      <c r="F581" s="76" t="n"/>
      <c r="G581" s="74" t="n"/>
      <c r="H581" s="74" t="n"/>
      <c r="I581" s="74" t="n"/>
      <c r="J581" s="77" t="n"/>
      <c r="K581" s="77" t="n"/>
      <c r="L581" s="74" t="n"/>
      <c r="M581" s="74" t="n"/>
      <c r="O581" s="78">
        <f>IF($A581="","",YEAR($A581)*100+MONTH($A581))</f>
        <v/>
      </c>
      <c r="P581" s="79">
        <f>IF(OR($F581="",$D581=""),"",IF($D581="Receita",$F581,IF($D581="Transferência",0,-$F581)))</f>
        <v/>
      </c>
    </row>
    <row r="582">
      <c r="A582" s="73" t="n"/>
      <c r="B582" s="74" t="n"/>
      <c r="C582" s="74" t="n"/>
      <c r="D582" s="75">
        <f>IF($C582="","",IFERROR(INDEX(CAT_TIPO,MATCH($C582,CAT_NOME,0)),"Sem categoria"))</f>
        <v/>
      </c>
      <c r="E582" s="75">
        <f>IF($C582="","",IFERROR(INDEX(CAT_GRUPO,MATCH($C582,CAT_NOME,0)),"Sem categoria"))</f>
        <v/>
      </c>
      <c r="F582" s="76" t="n"/>
      <c r="G582" s="74" t="n"/>
      <c r="H582" s="74" t="n"/>
      <c r="I582" s="74" t="n"/>
      <c r="J582" s="77" t="n"/>
      <c r="K582" s="77" t="n"/>
      <c r="L582" s="74" t="n"/>
      <c r="M582" s="74" t="n"/>
      <c r="O582" s="78">
        <f>IF($A582="","",YEAR($A582)*100+MONTH($A582))</f>
        <v/>
      </c>
      <c r="P582" s="79">
        <f>IF(OR($F582="",$D582=""),"",IF($D582="Receita",$F582,IF($D582="Transferência",0,-$F582)))</f>
        <v/>
      </c>
    </row>
    <row r="583">
      <c r="A583" s="73" t="n"/>
      <c r="B583" s="74" t="n"/>
      <c r="C583" s="74" t="n"/>
      <c r="D583" s="75">
        <f>IF($C583="","",IFERROR(INDEX(CAT_TIPO,MATCH($C583,CAT_NOME,0)),"Sem categoria"))</f>
        <v/>
      </c>
      <c r="E583" s="75">
        <f>IF($C583="","",IFERROR(INDEX(CAT_GRUPO,MATCH($C583,CAT_NOME,0)),"Sem categoria"))</f>
        <v/>
      </c>
      <c r="F583" s="76" t="n"/>
      <c r="G583" s="74" t="n"/>
      <c r="H583" s="74" t="n"/>
      <c r="I583" s="74" t="n"/>
      <c r="J583" s="77" t="n"/>
      <c r="K583" s="77" t="n"/>
      <c r="L583" s="74" t="n"/>
      <c r="M583" s="74" t="n"/>
      <c r="O583" s="78">
        <f>IF($A583="","",YEAR($A583)*100+MONTH($A583))</f>
        <v/>
      </c>
      <c r="P583" s="79">
        <f>IF(OR($F583="",$D583=""),"",IF($D583="Receita",$F583,IF($D583="Transferência",0,-$F583)))</f>
        <v/>
      </c>
    </row>
    <row r="584">
      <c r="A584" s="73" t="n"/>
      <c r="B584" s="74" t="n"/>
      <c r="C584" s="74" t="n"/>
      <c r="D584" s="75">
        <f>IF($C584="","",IFERROR(INDEX(CAT_TIPO,MATCH($C584,CAT_NOME,0)),"Sem categoria"))</f>
        <v/>
      </c>
      <c r="E584" s="75">
        <f>IF($C584="","",IFERROR(INDEX(CAT_GRUPO,MATCH($C584,CAT_NOME,0)),"Sem categoria"))</f>
        <v/>
      </c>
      <c r="F584" s="76" t="n"/>
      <c r="G584" s="74" t="n"/>
      <c r="H584" s="74" t="n"/>
      <c r="I584" s="74" t="n"/>
      <c r="J584" s="77" t="n"/>
      <c r="K584" s="77" t="n"/>
      <c r="L584" s="74" t="n"/>
      <c r="M584" s="74" t="n"/>
      <c r="O584" s="78">
        <f>IF($A584="","",YEAR($A584)*100+MONTH($A584))</f>
        <v/>
      </c>
      <c r="P584" s="79">
        <f>IF(OR($F584="",$D584=""),"",IF($D584="Receita",$F584,IF($D584="Transferência",0,-$F584)))</f>
        <v/>
      </c>
    </row>
    <row r="585">
      <c r="A585" s="73" t="n"/>
      <c r="B585" s="74" t="n"/>
      <c r="C585" s="74" t="n"/>
      <c r="D585" s="75">
        <f>IF($C585="","",IFERROR(INDEX(CAT_TIPO,MATCH($C585,CAT_NOME,0)),"Sem categoria"))</f>
        <v/>
      </c>
      <c r="E585" s="75">
        <f>IF($C585="","",IFERROR(INDEX(CAT_GRUPO,MATCH($C585,CAT_NOME,0)),"Sem categoria"))</f>
        <v/>
      </c>
      <c r="F585" s="76" t="n"/>
      <c r="G585" s="74" t="n"/>
      <c r="H585" s="74" t="n"/>
      <c r="I585" s="74" t="n"/>
      <c r="J585" s="77" t="n"/>
      <c r="K585" s="77" t="n"/>
      <c r="L585" s="74" t="n"/>
      <c r="M585" s="74" t="n"/>
      <c r="O585" s="78">
        <f>IF($A585="","",YEAR($A585)*100+MONTH($A585))</f>
        <v/>
      </c>
      <c r="P585" s="79">
        <f>IF(OR($F585="",$D585=""),"",IF($D585="Receita",$F585,IF($D585="Transferência",0,-$F585)))</f>
        <v/>
      </c>
    </row>
    <row r="586">
      <c r="A586" s="73" t="n"/>
      <c r="B586" s="74" t="n"/>
      <c r="C586" s="74" t="n"/>
      <c r="D586" s="75">
        <f>IF($C586="","",IFERROR(INDEX(CAT_TIPO,MATCH($C586,CAT_NOME,0)),"Sem categoria"))</f>
        <v/>
      </c>
      <c r="E586" s="75">
        <f>IF($C586="","",IFERROR(INDEX(CAT_GRUPO,MATCH($C586,CAT_NOME,0)),"Sem categoria"))</f>
        <v/>
      </c>
      <c r="F586" s="76" t="n"/>
      <c r="G586" s="74" t="n"/>
      <c r="H586" s="74" t="n"/>
      <c r="I586" s="74" t="n"/>
      <c r="J586" s="77" t="n"/>
      <c r="K586" s="77" t="n"/>
      <c r="L586" s="74" t="n"/>
      <c r="M586" s="74" t="n"/>
      <c r="O586" s="78">
        <f>IF($A586="","",YEAR($A586)*100+MONTH($A586))</f>
        <v/>
      </c>
      <c r="P586" s="79">
        <f>IF(OR($F586="",$D586=""),"",IF($D586="Receita",$F586,IF($D586="Transferência",0,-$F586)))</f>
        <v/>
      </c>
    </row>
    <row r="587">
      <c r="A587" s="73" t="n"/>
      <c r="B587" s="74" t="n"/>
      <c r="C587" s="74" t="n"/>
      <c r="D587" s="75">
        <f>IF($C587="","",IFERROR(INDEX(CAT_TIPO,MATCH($C587,CAT_NOME,0)),"Sem categoria"))</f>
        <v/>
      </c>
      <c r="E587" s="75">
        <f>IF($C587="","",IFERROR(INDEX(CAT_GRUPO,MATCH($C587,CAT_NOME,0)),"Sem categoria"))</f>
        <v/>
      </c>
      <c r="F587" s="76" t="n"/>
      <c r="G587" s="74" t="n"/>
      <c r="H587" s="74" t="n"/>
      <c r="I587" s="74" t="n"/>
      <c r="J587" s="77" t="n"/>
      <c r="K587" s="77" t="n"/>
      <c r="L587" s="74" t="n"/>
      <c r="M587" s="74" t="n"/>
      <c r="O587" s="78">
        <f>IF($A587="","",YEAR($A587)*100+MONTH($A587))</f>
        <v/>
      </c>
      <c r="P587" s="79">
        <f>IF(OR($F587="",$D587=""),"",IF($D587="Receita",$F587,IF($D587="Transferência",0,-$F587)))</f>
        <v/>
      </c>
    </row>
    <row r="588">
      <c r="A588" s="73" t="n"/>
      <c r="B588" s="74" t="n"/>
      <c r="C588" s="74" t="n"/>
      <c r="D588" s="75">
        <f>IF($C588="","",IFERROR(INDEX(CAT_TIPO,MATCH($C588,CAT_NOME,0)),"Sem categoria"))</f>
        <v/>
      </c>
      <c r="E588" s="75">
        <f>IF($C588="","",IFERROR(INDEX(CAT_GRUPO,MATCH($C588,CAT_NOME,0)),"Sem categoria"))</f>
        <v/>
      </c>
      <c r="F588" s="76" t="n"/>
      <c r="G588" s="74" t="n"/>
      <c r="H588" s="74" t="n"/>
      <c r="I588" s="74" t="n"/>
      <c r="J588" s="77" t="n"/>
      <c r="K588" s="77" t="n"/>
      <c r="L588" s="74" t="n"/>
      <c r="M588" s="74" t="n"/>
      <c r="O588" s="78">
        <f>IF($A588="","",YEAR($A588)*100+MONTH($A588))</f>
        <v/>
      </c>
      <c r="P588" s="79">
        <f>IF(OR($F588="",$D588=""),"",IF($D588="Receita",$F588,IF($D588="Transferência",0,-$F588)))</f>
        <v/>
      </c>
    </row>
    <row r="589">
      <c r="A589" s="73" t="n"/>
      <c r="B589" s="74" t="n"/>
      <c r="C589" s="74" t="n"/>
      <c r="D589" s="75">
        <f>IF($C589="","",IFERROR(INDEX(CAT_TIPO,MATCH($C589,CAT_NOME,0)),"Sem categoria"))</f>
        <v/>
      </c>
      <c r="E589" s="75">
        <f>IF($C589="","",IFERROR(INDEX(CAT_GRUPO,MATCH($C589,CAT_NOME,0)),"Sem categoria"))</f>
        <v/>
      </c>
      <c r="F589" s="76" t="n"/>
      <c r="G589" s="74" t="n"/>
      <c r="H589" s="74" t="n"/>
      <c r="I589" s="74" t="n"/>
      <c r="J589" s="77" t="n"/>
      <c r="K589" s="77" t="n"/>
      <c r="L589" s="74" t="n"/>
      <c r="M589" s="74" t="n"/>
      <c r="O589" s="78">
        <f>IF($A589="","",YEAR($A589)*100+MONTH($A589))</f>
        <v/>
      </c>
      <c r="P589" s="79">
        <f>IF(OR($F589="",$D589=""),"",IF($D589="Receita",$F589,IF($D589="Transferência",0,-$F589)))</f>
        <v/>
      </c>
    </row>
    <row r="590">
      <c r="A590" s="73" t="n"/>
      <c r="B590" s="74" t="n"/>
      <c r="C590" s="74" t="n"/>
      <c r="D590" s="75">
        <f>IF($C590="","",IFERROR(INDEX(CAT_TIPO,MATCH($C590,CAT_NOME,0)),"Sem categoria"))</f>
        <v/>
      </c>
      <c r="E590" s="75">
        <f>IF($C590="","",IFERROR(INDEX(CAT_GRUPO,MATCH($C590,CAT_NOME,0)),"Sem categoria"))</f>
        <v/>
      </c>
      <c r="F590" s="76" t="n"/>
      <c r="G590" s="74" t="n"/>
      <c r="H590" s="74" t="n"/>
      <c r="I590" s="74" t="n"/>
      <c r="J590" s="77" t="n"/>
      <c r="K590" s="77" t="n"/>
      <c r="L590" s="74" t="n"/>
      <c r="M590" s="74" t="n"/>
      <c r="O590" s="78">
        <f>IF($A590="","",YEAR($A590)*100+MONTH($A590))</f>
        <v/>
      </c>
      <c r="P590" s="79">
        <f>IF(OR($F590="",$D590=""),"",IF($D590="Receita",$F590,IF($D590="Transferência",0,-$F590)))</f>
        <v/>
      </c>
    </row>
    <row r="591">
      <c r="A591" s="73" t="n"/>
      <c r="B591" s="74" t="n"/>
      <c r="C591" s="74" t="n"/>
      <c r="D591" s="75">
        <f>IF($C591="","",IFERROR(INDEX(CAT_TIPO,MATCH($C591,CAT_NOME,0)),"Sem categoria"))</f>
        <v/>
      </c>
      <c r="E591" s="75">
        <f>IF($C591="","",IFERROR(INDEX(CAT_GRUPO,MATCH($C591,CAT_NOME,0)),"Sem categoria"))</f>
        <v/>
      </c>
      <c r="F591" s="76" t="n"/>
      <c r="G591" s="74" t="n"/>
      <c r="H591" s="74" t="n"/>
      <c r="I591" s="74" t="n"/>
      <c r="J591" s="77" t="n"/>
      <c r="K591" s="77" t="n"/>
      <c r="L591" s="74" t="n"/>
      <c r="M591" s="74" t="n"/>
      <c r="O591" s="78">
        <f>IF($A591="","",YEAR($A591)*100+MONTH($A591))</f>
        <v/>
      </c>
      <c r="P591" s="79">
        <f>IF(OR($F591="",$D591=""),"",IF($D591="Receita",$F591,IF($D591="Transferência",0,-$F591)))</f>
        <v/>
      </c>
    </row>
    <row r="592">
      <c r="A592" s="73" t="n"/>
      <c r="B592" s="74" t="n"/>
      <c r="C592" s="74" t="n"/>
      <c r="D592" s="75">
        <f>IF($C592="","",IFERROR(INDEX(CAT_TIPO,MATCH($C592,CAT_NOME,0)),"Sem categoria"))</f>
        <v/>
      </c>
      <c r="E592" s="75">
        <f>IF($C592="","",IFERROR(INDEX(CAT_GRUPO,MATCH($C592,CAT_NOME,0)),"Sem categoria"))</f>
        <v/>
      </c>
      <c r="F592" s="76" t="n"/>
      <c r="G592" s="74" t="n"/>
      <c r="H592" s="74" t="n"/>
      <c r="I592" s="74" t="n"/>
      <c r="J592" s="77" t="n"/>
      <c r="K592" s="77" t="n"/>
      <c r="L592" s="74" t="n"/>
      <c r="M592" s="74" t="n"/>
      <c r="O592" s="78">
        <f>IF($A592="","",YEAR($A592)*100+MONTH($A592))</f>
        <v/>
      </c>
      <c r="P592" s="79">
        <f>IF(OR($F592="",$D592=""),"",IF($D592="Receita",$F592,IF($D592="Transferência",0,-$F592)))</f>
        <v/>
      </c>
    </row>
    <row r="593">
      <c r="A593" s="73" t="n"/>
      <c r="B593" s="74" t="n"/>
      <c r="C593" s="74" t="n"/>
      <c r="D593" s="75">
        <f>IF($C593="","",IFERROR(INDEX(CAT_TIPO,MATCH($C593,CAT_NOME,0)),"Sem categoria"))</f>
        <v/>
      </c>
      <c r="E593" s="75">
        <f>IF($C593="","",IFERROR(INDEX(CAT_GRUPO,MATCH($C593,CAT_NOME,0)),"Sem categoria"))</f>
        <v/>
      </c>
      <c r="F593" s="76" t="n"/>
      <c r="G593" s="74" t="n"/>
      <c r="H593" s="74" t="n"/>
      <c r="I593" s="74" t="n"/>
      <c r="J593" s="77" t="n"/>
      <c r="K593" s="77" t="n"/>
      <c r="L593" s="74" t="n"/>
      <c r="M593" s="74" t="n"/>
      <c r="O593" s="78">
        <f>IF($A593="","",YEAR($A593)*100+MONTH($A593))</f>
        <v/>
      </c>
      <c r="P593" s="79">
        <f>IF(OR($F593="",$D593=""),"",IF($D593="Receita",$F593,IF($D593="Transferência",0,-$F593)))</f>
        <v/>
      </c>
    </row>
    <row r="594">
      <c r="A594" s="73" t="n"/>
      <c r="B594" s="74" t="n"/>
      <c r="C594" s="74" t="n"/>
      <c r="D594" s="75">
        <f>IF($C594="","",IFERROR(INDEX(CAT_TIPO,MATCH($C594,CAT_NOME,0)),"Sem categoria"))</f>
        <v/>
      </c>
      <c r="E594" s="75">
        <f>IF($C594="","",IFERROR(INDEX(CAT_GRUPO,MATCH($C594,CAT_NOME,0)),"Sem categoria"))</f>
        <v/>
      </c>
      <c r="F594" s="76" t="n"/>
      <c r="G594" s="74" t="n"/>
      <c r="H594" s="74" t="n"/>
      <c r="I594" s="74" t="n"/>
      <c r="J594" s="77" t="n"/>
      <c r="K594" s="77" t="n"/>
      <c r="L594" s="74" t="n"/>
      <c r="M594" s="74" t="n"/>
      <c r="O594" s="78">
        <f>IF($A594="","",YEAR($A594)*100+MONTH($A594))</f>
        <v/>
      </c>
      <c r="P594" s="79">
        <f>IF(OR($F594="",$D594=""),"",IF($D594="Receita",$F594,IF($D594="Transferência",0,-$F594)))</f>
        <v/>
      </c>
    </row>
    <row r="595">
      <c r="A595" s="73" t="n"/>
      <c r="B595" s="74" t="n"/>
      <c r="C595" s="74" t="n"/>
      <c r="D595" s="75">
        <f>IF($C595="","",IFERROR(INDEX(CAT_TIPO,MATCH($C595,CAT_NOME,0)),"Sem categoria"))</f>
        <v/>
      </c>
      <c r="E595" s="75">
        <f>IF($C595="","",IFERROR(INDEX(CAT_GRUPO,MATCH($C595,CAT_NOME,0)),"Sem categoria"))</f>
        <v/>
      </c>
      <c r="F595" s="76" t="n"/>
      <c r="G595" s="74" t="n"/>
      <c r="H595" s="74" t="n"/>
      <c r="I595" s="74" t="n"/>
      <c r="J595" s="77" t="n"/>
      <c r="K595" s="77" t="n"/>
      <c r="L595" s="74" t="n"/>
      <c r="M595" s="74" t="n"/>
      <c r="O595" s="78">
        <f>IF($A595="","",YEAR($A595)*100+MONTH($A595))</f>
        <v/>
      </c>
      <c r="P595" s="79">
        <f>IF(OR($F595="",$D595=""),"",IF($D595="Receita",$F595,IF($D595="Transferência",0,-$F595)))</f>
        <v/>
      </c>
    </row>
    <row r="596">
      <c r="A596" s="73" t="n"/>
      <c r="B596" s="74" t="n"/>
      <c r="C596" s="74" t="n"/>
      <c r="D596" s="75">
        <f>IF($C596="","",IFERROR(INDEX(CAT_TIPO,MATCH($C596,CAT_NOME,0)),"Sem categoria"))</f>
        <v/>
      </c>
      <c r="E596" s="75">
        <f>IF($C596="","",IFERROR(INDEX(CAT_GRUPO,MATCH($C596,CAT_NOME,0)),"Sem categoria"))</f>
        <v/>
      </c>
      <c r="F596" s="76" t="n"/>
      <c r="G596" s="74" t="n"/>
      <c r="H596" s="74" t="n"/>
      <c r="I596" s="74" t="n"/>
      <c r="J596" s="77" t="n"/>
      <c r="K596" s="77" t="n"/>
      <c r="L596" s="74" t="n"/>
      <c r="M596" s="74" t="n"/>
      <c r="O596" s="78">
        <f>IF($A596="","",YEAR($A596)*100+MONTH($A596))</f>
        <v/>
      </c>
      <c r="P596" s="79">
        <f>IF(OR($F596="",$D596=""),"",IF($D596="Receita",$F596,IF($D596="Transferência",0,-$F596)))</f>
        <v/>
      </c>
    </row>
    <row r="597">
      <c r="A597" s="73" t="n"/>
      <c r="B597" s="74" t="n"/>
      <c r="C597" s="74" t="n"/>
      <c r="D597" s="75">
        <f>IF($C597="","",IFERROR(INDEX(CAT_TIPO,MATCH($C597,CAT_NOME,0)),"Sem categoria"))</f>
        <v/>
      </c>
      <c r="E597" s="75">
        <f>IF($C597="","",IFERROR(INDEX(CAT_GRUPO,MATCH($C597,CAT_NOME,0)),"Sem categoria"))</f>
        <v/>
      </c>
      <c r="F597" s="76" t="n"/>
      <c r="G597" s="74" t="n"/>
      <c r="H597" s="74" t="n"/>
      <c r="I597" s="74" t="n"/>
      <c r="J597" s="77" t="n"/>
      <c r="K597" s="77" t="n"/>
      <c r="L597" s="74" t="n"/>
      <c r="M597" s="74" t="n"/>
      <c r="O597" s="78">
        <f>IF($A597="","",YEAR($A597)*100+MONTH($A597))</f>
        <v/>
      </c>
      <c r="P597" s="79">
        <f>IF(OR($F597="",$D597=""),"",IF($D597="Receita",$F597,IF($D597="Transferência",0,-$F597)))</f>
        <v/>
      </c>
    </row>
    <row r="598">
      <c r="A598" s="73" t="n"/>
      <c r="B598" s="74" t="n"/>
      <c r="C598" s="74" t="n"/>
      <c r="D598" s="75">
        <f>IF($C598="","",IFERROR(INDEX(CAT_TIPO,MATCH($C598,CAT_NOME,0)),"Sem categoria"))</f>
        <v/>
      </c>
      <c r="E598" s="75">
        <f>IF($C598="","",IFERROR(INDEX(CAT_GRUPO,MATCH($C598,CAT_NOME,0)),"Sem categoria"))</f>
        <v/>
      </c>
      <c r="F598" s="76" t="n"/>
      <c r="G598" s="74" t="n"/>
      <c r="H598" s="74" t="n"/>
      <c r="I598" s="74" t="n"/>
      <c r="J598" s="77" t="n"/>
      <c r="K598" s="77" t="n"/>
      <c r="L598" s="74" t="n"/>
      <c r="M598" s="74" t="n"/>
      <c r="O598" s="78">
        <f>IF($A598="","",YEAR($A598)*100+MONTH($A598))</f>
        <v/>
      </c>
      <c r="P598" s="79">
        <f>IF(OR($F598="",$D598=""),"",IF($D598="Receita",$F598,IF($D598="Transferência",0,-$F598)))</f>
        <v/>
      </c>
    </row>
    <row r="599">
      <c r="A599" s="73" t="n"/>
      <c r="B599" s="74" t="n"/>
      <c r="C599" s="74" t="n"/>
      <c r="D599" s="75">
        <f>IF($C599="","",IFERROR(INDEX(CAT_TIPO,MATCH($C599,CAT_NOME,0)),"Sem categoria"))</f>
        <v/>
      </c>
      <c r="E599" s="75">
        <f>IF($C599="","",IFERROR(INDEX(CAT_GRUPO,MATCH($C599,CAT_NOME,0)),"Sem categoria"))</f>
        <v/>
      </c>
      <c r="F599" s="76" t="n"/>
      <c r="G599" s="74" t="n"/>
      <c r="H599" s="74" t="n"/>
      <c r="I599" s="74" t="n"/>
      <c r="J599" s="77" t="n"/>
      <c r="K599" s="77" t="n"/>
      <c r="L599" s="74" t="n"/>
      <c r="M599" s="74" t="n"/>
      <c r="O599" s="78">
        <f>IF($A599="","",YEAR($A599)*100+MONTH($A599))</f>
        <v/>
      </c>
      <c r="P599" s="79">
        <f>IF(OR($F599="",$D599=""),"",IF($D599="Receita",$F599,IF($D599="Transferência",0,-$F599)))</f>
        <v/>
      </c>
    </row>
    <row r="600">
      <c r="A600" s="73" t="n"/>
      <c r="B600" s="74" t="n"/>
      <c r="C600" s="74" t="n"/>
      <c r="D600" s="75">
        <f>IF($C600="","",IFERROR(INDEX(CAT_TIPO,MATCH($C600,CAT_NOME,0)),"Sem categoria"))</f>
        <v/>
      </c>
      <c r="E600" s="75">
        <f>IF($C600="","",IFERROR(INDEX(CAT_GRUPO,MATCH($C600,CAT_NOME,0)),"Sem categoria"))</f>
        <v/>
      </c>
      <c r="F600" s="76" t="n"/>
      <c r="G600" s="74" t="n"/>
      <c r="H600" s="74" t="n"/>
      <c r="I600" s="74" t="n"/>
      <c r="J600" s="77" t="n"/>
      <c r="K600" s="77" t="n"/>
      <c r="L600" s="74" t="n"/>
      <c r="M600" s="74" t="n"/>
      <c r="O600" s="78">
        <f>IF($A600="","",YEAR($A600)*100+MONTH($A600))</f>
        <v/>
      </c>
      <c r="P600" s="79">
        <f>IF(OR($F600="",$D600=""),"",IF($D600="Receita",$F600,IF($D600="Transferência",0,-$F600)))</f>
        <v/>
      </c>
    </row>
    <row r="601">
      <c r="A601" s="73" t="n"/>
      <c r="B601" s="74" t="n"/>
      <c r="C601" s="74" t="n"/>
      <c r="D601" s="75">
        <f>IF($C601="","",IFERROR(INDEX(CAT_TIPO,MATCH($C601,CAT_NOME,0)),"Sem categoria"))</f>
        <v/>
      </c>
      <c r="E601" s="75">
        <f>IF($C601="","",IFERROR(INDEX(CAT_GRUPO,MATCH($C601,CAT_NOME,0)),"Sem categoria"))</f>
        <v/>
      </c>
      <c r="F601" s="76" t="n"/>
      <c r="G601" s="74" t="n"/>
      <c r="H601" s="74" t="n"/>
      <c r="I601" s="74" t="n"/>
      <c r="J601" s="77" t="n"/>
      <c r="K601" s="77" t="n"/>
      <c r="L601" s="74" t="n"/>
      <c r="M601" s="74" t="n"/>
      <c r="O601" s="78">
        <f>IF($A601="","",YEAR($A601)*100+MONTH($A601))</f>
        <v/>
      </c>
      <c r="P601" s="79">
        <f>IF(OR($F601="",$D601=""),"",IF($D601="Receita",$F601,IF($D601="Transferência",0,-$F601)))</f>
        <v/>
      </c>
    </row>
    <row r="602">
      <c r="A602" s="73" t="n"/>
      <c r="B602" s="74" t="n"/>
      <c r="C602" s="74" t="n"/>
      <c r="D602" s="75">
        <f>IF($C602="","",IFERROR(INDEX(CAT_TIPO,MATCH($C602,CAT_NOME,0)),"Sem categoria"))</f>
        <v/>
      </c>
      <c r="E602" s="75">
        <f>IF($C602="","",IFERROR(INDEX(CAT_GRUPO,MATCH($C602,CAT_NOME,0)),"Sem categoria"))</f>
        <v/>
      </c>
      <c r="F602" s="76" t="n"/>
      <c r="G602" s="74" t="n"/>
      <c r="H602" s="74" t="n"/>
      <c r="I602" s="74" t="n"/>
      <c r="J602" s="77" t="n"/>
      <c r="K602" s="77" t="n"/>
      <c r="L602" s="74" t="n"/>
      <c r="M602" s="74" t="n"/>
      <c r="O602" s="78">
        <f>IF($A602="","",YEAR($A602)*100+MONTH($A602))</f>
        <v/>
      </c>
      <c r="P602" s="79">
        <f>IF(OR($F602="",$D602=""),"",IF($D602="Receita",$F602,IF($D602="Transferência",0,-$F602)))</f>
        <v/>
      </c>
    </row>
    <row r="603">
      <c r="A603" s="73" t="n"/>
      <c r="B603" s="74" t="n"/>
      <c r="C603" s="74" t="n"/>
      <c r="D603" s="75">
        <f>IF($C603="","",IFERROR(INDEX(CAT_TIPO,MATCH($C603,CAT_NOME,0)),"Sem categoria"))</f>
        <v/>
      </c>
      <c r="E603" s="75">
        <f>IF($C603="","",IFERROR(INDEX(CAT_GRUPO,MATCH($C603,CAT_NOME,0)),"Sem categoria"))</f>
        <v/>
      </c>
      <c r="F603" s="76" t="n"/>
      <c r="G603" s="74" t="n"/>
      <c r="H603" s="74" t="n"/>
      <c r="I603" s="74" t="n"/>
      <c r="J603" s="77" t="n"/>
      <c r="K603" s="77" t="n"/>
      <c r="L603" s="74" t="n"/>
      <c r="M603" s="74" t="n"/>
      <c r="O603" s="78">
        <f>IF($A603="","",YEAR($A603)*100+MONTH($A603))</f>
        <v/>
      </c>
      <c r="P603" s="79">
        <f>IF(OR($F603="",$D603=""),"",IF($D603="Receita",$F603,IF($D603="Transferência",0,-$F603)))</f>
        <v/>
      </c>
    </row>
    <row r="604">
      <c r="A604" s="73" t="n"/>
      <c r="B604" s="74" t="n"/>
      <c r="C604" s="74" t="n"/>
      <c r="D604" s="75">
        <f>IF($C604="","",IFERROR(INDEX(CAT_TIPO,MATCH($C604,CAT_NOME,0)),"Sem categoria"))</f>
        <v/>
      </c>
      <c r="E604" s="75">
        <f>IF($C604="","",IFERROR(INDEX(CAT_GRUPO,MATCH($C604,CAT_NOME,0)),"Sem categoria"))</f>
        <v/>
      </c>
      <c r="F604" s="76" t="n"/>
      <c r="G604" s="74" t="n"/>
      <c r="H604" s="74" t="n"/>
      <c r="I604" s="74" t="n"/>
      <c r="J604" s="77" t="n"/>
      <c r="K604" s="77" t="n"/>
      <c r="L604" s="74" t="n"/>
      <c r="M604" s="74" t="n"/>
      <c r="O604" s="78">
        <f>IF($A604="","",YEAR($A604)*100+MONTH($A604))</f>
        <v/>
      </c>
      <c r="P604" s="79">
        <f>IF(OR($F604="",$D604=""),"",IF($D604="Receita",$F604,IF($D604="Transferência",0,-$F604)))</f>
        <v/>
      </c>
    </row>
    <row r="605">
      <c r="A605" s="73" t="n"/>
      <c r="B605" s="74" t="n"/>
      <c r="C605" s="74" t="n"/>
      <c r="D605" s="75">
        <f>IF($C605="","",IFERROR(INDEX(CAT_TIPO,MATCH($C605,CAT_NOME,0)),"Sem categoria"))</f>
        <v/>
      </c>
      <c r="E605" s="75">
        <f>IF($C605="","",IFERROR(INDEX(CAT_GRUPO,MATCH($C605,CAT_NOME,0)),"Sem categoria"))</f>
        <v/>
      </c>
      <c r="F605" s="76" t="n"/>
      <c r="G605" s="74" t="n"/>
      <c r="H605" s="74" t="n"/>
      <c r="I605" s="74" t="n"/>
      <c r="J605" s="77" t="n"/>
      <c r="K605" s="77" t="n"/>
      <c r="L605" s="74" t="n"/>
      <c r="M605" s="74" t="n"/>
      <c r="O605" s="78">
        <f>IF($A605="","",YEAR($A605)*100+MONTH($A605))</f>
        <v/>
      </c>
      <c r="P605" s="79">
        <f>IF(OR($F605="",$D605=""),"",IF($D605="Receita",$F605,IF($D605="Transferência",0,-$F605)))</f>
        <v/>
      </c>
    </row>
    <row r="606">
      <c r="A606" s="73" t="n"/>
      <c r="B606" s="74" t="n"/>
      <c r="C606" s="74" t="n"/>
      <c r="D606" s="75">
        <f>IF($C606="","",IFERROR(INDEX(CAT_TIPO,MATCH($C606,CAT_NOME,0)),"Sem categoria"))</f>
        <v/>
      </c>
      <c r="E606" s="75">
        <f>IF($C606="","",IFERROR(INDEX(CAT_GRUPO,MATCH($C606,CAT_NOME,0)),"Sem categoria"))</f>
        <v/>
      </c>
      <c r="F606" s="76" t="n"/>
      <c r="G606" s="74" t="n"/>
      <c r="H606" s="74" t="n"/>
      <c r="I606" s="74" t="n"/>
      <c r="J606" s="77" t="n"/>
      <c r="K606" s="77" t="n"/>
      <c r="L606" s="74" t="n"/>
      <c r="M606" s="74" t="n"/>
      <c r="O606" s="78">
        <f>IF($A606="","",YEAR($A606)*100+MONTH($A606))</f>
        <v/>
      </c>
      <c r="P606" s="79">
        <f>IF(OR($F606="",$D606=""),"",IF($D606="Receita",$F606,IF($D606="Transferência",0,-$F606)))</f>
        <v/>
      </c>
    </row>
    <row r="607">
      <c r="A607" s="73" t="n"/>
      <c r="B607" s="74" t="n"/>
      <c r="C607" s="74" t="n"/>
      <c r="D607" s="75">
        <f>IF($C607="","",IFERROR(INDEX(CAT_TIPO,MATCH($C607,CAT_NOME,0)),"Sem categoria"))</f>
        <v/>
      </c>
      <c r="E607" s="75">
        <f>IF($C607="","",IFERROR(INDEX(CAT_GRUPO,MATCH($C607,CAT_NOME,0)),"Sem categoria"))</f>
        <v/>
      </c>
      <c r="F607" s="76" t="n"/>
      <c r="G607" s="74" t="n"/>
      <c r="H607" s="74" t="n"/>
      <c r="I607" s="74" t="n"/>
      <c r="J607" s="77" t="n"/>
      <c r="K607" s="77" t="n"/>
      <c r="L607" s="74" t="n"/>
      <c r="M607" s="74" t="n"/>
      <c r="O607" s="78">
        <f>IF($A607="","",YEAR($A607)*100+MONTH($A607))</f>
        <v/>
      </c>
      <c r="P607" s="79">
        <f>IF(OR($F607="",$D607=""),"",IF($D607="Receita",$F607,IF($D607="Transferência",0,-$F607)))</f>
        <v/>
      </c>
    </row>
    <row r="608">
      <c r="A608" s="73" t="n"/>
      <c r="B608" s="74" t="n"/>
      <c r="C608" s="74" t="n"/>
      <c r="D608" s="75">
        <f>IF($C608="","",IFERROR(INDEX(CAT_TIPO,MATCH($C608,CAT_NOME,0)),"Sem categoria"))</f>
        <v/>
      </c>
      <c r="E608" s="75">
        <f>IF($C608="","",IFERROR(INDEX(CAT_GRUPO,MATCH($C608,CAT_NOME,0)),"Sem categoria"))</f>
        <v/>
      </c>
      <c r="F608" s="76" t="n"/>
      <c r="G608" s="74" t="n"/>
      <c r="H608" s="74" t="n"/>
      <c r="I608" s="74" t="n"/>
      <c r="J608" s="77" t="n"/>
      <c r="K608" s="77" t="n"/>
      <c r="L608" s="74" t="n"/>
      <c r="M608" s="74" t="n"/>
      <c r="O608" s="78">
        <f>IF($A608="","",YEAR($A608)*100+MONTH($A608))</f>
        <v/>
      </c>
      <c r="P608" s="79">
        <f>IF(OR($F608="",$D608=""),"",IF($D608="Receita",$F608,IF($D608="Transferência",0,-$F608)))</f>
        <v/>
      </c>
    </row>
    <row r="609">
      <c r="A609" s="73" t="n"/>
      <c r="B609" s="74" t="n"/>
      <c r="C609" s="74" t="n"/>
      <c r="D609" s="75">
        <f>IF($C609="","",IFERROR(INDEX(CAT_TIPO,MATCH($C609,CAT_NOME,0)),"Sem categoria"))</f>
        <v/>
      </c>
      <c r="E609" s="75">
        <f>IF($C609="","",IFERROR(INDEX(CAT_GRUPO,MATCH($C609,CAT_NOME,0)),"Sem categoria"))</f>
        <v/>
      </c>
      <c r="F609" s="76" t="n"/>
      <c r="G609" s="74" t="n"/>
      <c r="H609" s="74" t="n"/>
      <c r="I609" s="74" t="n"/>
      <c r="J609" s="77" t="n"/>
      <c r="K609" s="77" t="n"/>
      <c r="L609" s="74" t="n"/>
      <c r="M609" s="74" t="n"/>
      <c r="O609" s="78">
        <f>IF($A609="","",YEAR($A609)*100+MONTH($A609))</f>
        <v/>
      </c>
      <c r="P609" s="79">
        <f>IF(OR($F609="",$D609=""),"",IF($D609="Receita",$F609,IF($D609="Transferência",0,-$F609)))</f>
        <v/>
      </c>
    </row>
    <row r="610">
      <c r="A610" s="73" t="n"/>
      <c r="B610" s="74" t="n"/>
      <c r="C610" s="74" t="n"/>
      <c r="D610" s="75">
        <f>IF($C610="","",IFERROR(INDEX(CAT_TIPO,MATCH($C610,CAT_NOME,0)),"Sem categoria"))</f>
        <v/>
      </c>
      <c r="E610" s="75">
        <f>IF($C610="","",IFERROR(INDEX(CAT_GRUPO,MATCH($C610,CAT_NOME,0)),"Sem categoria"))</f>
        <v/>
      </c>
      <c r="F610" s="76" t="n"/>
      <c r="G610" s="74" t="n"/>
      <c r="H610" s="74" t="n"/>
      <c r="I610" s="74" t="n"/>
      <c r="J610" s="77" t="n"/>
      <c r="K610" s="77" t="n"/>
      <c r="L610" s="74" t="n"/>
      <c r="M610" s="74" t="n"/>
      <c r="O610" s="78">
        <f>IF($A610="","",YEAR($A610)*100+MONTH($A610))</f>
        <v/>
      </c>
      <c r="P610" s="79">
        <f>IF(OR($F610="",$D610=""),"",IF($D610="Receita",$F610,IF($D610="Transferência",0,-$F610)))</f>
        <v/>
      </c>
    </row>
    <row r="611">
      <c r="A611" s="73" t="n"/>
      <c r="B611" s="74" t="n"/>
      <c r="C611" s="74" t="n"/>
      <c r="D611" s="75">
        <f>IF($C611="","",IFERROR(INDEX(CAT_TIPO,MATCH($C611,CAT_NOME,0)),"Sem categoria"))</f>
        <v/>
      </c>
      <c r="E611" s="75">
        <f>IF($C611="","",IFERROR(INDEX(CAT_GRUPO,MATCH($C611,CAT_NOME,0)),"Sem categoria"))</f>
        <v/>
      </c>
      <c r="F611" s="76" t="n"/>
      <c r="G611" s="74" t="n"/>
      <c r="H611" s="74" t="n"/>
      <c r="I611" s="74" t="n"/>
      <c r="J611" s="77" t="n"/>
      <c r="K611" s="77" t="n"/>
      <c r="L611" s="74" t="n"/>
      <c r="M611" s="74" t="n"/>
      <c r="O611" s="78">
        <f>IF($A611="","",YEAR($A611)*100+MONTH($A611))</f>
        <v/>
      </c>
      <c r="P611" s="79">
        <f>IF(OR($F611="",$D611=""),"",IF($D611="Receita",$F611,IF($D611="Transferência",0,-$F611)))</f>
        <v/>
      </c>
    </row>
    <row r="612">
      <c r="A612" s="73" t="n"/>
      <c r="B612" s="74" t="n"/>
      <c r="C612" s="74" t="n"/>
      <c r="D612" s="75">
        <f>IF($C612="","",IFERROR(INDEX(CAT_TIPO,MATCH($C612,CAT_NOME,0)),"Sem categoria"))</f>
        <v/>
      </c>
      <c r="E612" s="75">
        <f>IF($C612="","",IFERROR(INDEX(CAT_GRUPO,MATCH($C612,CAT_NOME,0)),"Sem categoria"))</f>
        <v/>
      </c>
      <c r="F612" s="76" t="n"/>
      <c r="G612" s="74" t="n"/>
      <c r="H612" s="74" t="n"/>
      <c r="I612" s="74" t="n"/>
      <c r="J612" s="77" t="n"/>
      <c r="K612" s="77" t="n"/>
      <c r="L612" s="74" t="n"/>
      <c r="M612" s="74" t="n"/>
      <c r="O612" s="78">
        <f>IF($A612="","",YEAR($A612)*100+MONTH($A612))</f>
        <v/>
      </c>
      <c r="P612" s="79">
        <f>IF(OR($F612="",$D612=""),"",IF($D612="Receita",$F612,IF($D612="Transferência",0,-$F612)))</f>
        <v/>
      </c>
    </row>
    <row r="613">
      <c r="A613" s="73" t="n"/>
      <c r="B613" s="74" t="n"/>
      <c r="C613" s="74" t="n"/>
      <c r="D613" s="75">
        <f>IF($C613="","",IFERROR(INDEX(CAT_TIPO,MATCH($C613,CAT_NOME,0)),"Sem categoria"))</f>
        <v/>
      </c>
      <c r="E613" s="75">
        <f>IF($C613="","",IFERROR(INDEX(CAT_GRUPO,MATCH($C613,CAT_NOME,0)),"Sem categoria"))</f>
        <v/>
      </c>
      <c r="F613" s="76" t="n"/>
      <c r="G613" s="74" t="n"/>
      <c r="H613" s="74" t="n"/>
      <c r="I613" s="74" t="n"/>
      <c r="J613" s="77" t="n"/>
      <c r="K613" s="77" t="n"/>
      <c r="L613" s="74" t="n"/>
      <c r="M613" s="74" t="n"/>
      <c r="O613" s="78">
        <f>IF($A613="","",YEAR($A613)*100+MONTH($A613))</f>
        <v/>
      </c>
      <c r="P613" s="79">
        <f>IF(OR($F613="",$D613=""),"",IF($D613="Receita",$F613,IF($D613="Transferência",0,-$F613)))</f>
        <v/>
      </c>
    </row>
    <row r="614">
      <c r="A614" s="73" t="n"/>
      <c r="B614" s="74" t="n"/>
      <c r="C614" s="74" t="n"/>
      <c r="D614" s="75">
        <f>IF($C614="","",IFERROR(INDEX(CAT_TIPO,MATCH($C614,CAT_NOME,0)),"Sem categoria"))</f>
        <v/>
      </c>
      <c r="E614" s="75">
        <f>IF($C614="","",IFERROR(INDEX(CAT_GRUPO,MATCH($C614,CAT_NOME,0)),"Sem categoria"))</f>
        <v/>
      </c>
      <c r="F614" s="76" t="n"/>
      <c r="G614" s="74" t="n"/>
      <c r="H614" s="74" t="n"/>
      <c r="I614" s="74" t="n"/>
      <c r="J614" s="77" t="n"/>
      <c r="K614" s="77" t="n"/>
      <c r="L614" s="74" t="n"/>
      <c r="M614" s="74" t="n"/>
      <c r="O614" s="78">
        <f>IF($A614="","",YEAR($A614)*100+MONTH($A614))</f>
        <v/>
      </c>
      <c r="P614" s="79">
        <f>IF(OR($F614="",$D614=""),"",IF($D614="Receita",$F614,IF($D614="Transferência",0,-$F614)))</f>
        <v/>
      </c>
    </row>
    <row r="615">
      <c r="A615" s="73" t="n"/>
      <c r="B615" s="74" t="n"/>
      <c r="C615" s="74" t="n"/>
      <c r="D615" s="75">
        <f>IF($C615="","",IFERROR(INDEX(CAT_TIPO,MATCH($C615,CAT_NOME,0)),"Sem categoria"))</f>
        <v/>
      </c>
      <c r="E615" s="75">
        <f>IF($C615="","",IFERROR(INDEX(CAT_GRUPO,MATCH($C615,CAT_NOME,0)),"Sem categoria"))</f>
        <v/>
      </c>
      <c r="F615" s="76" t="n"/>
      <c r="G615" s="74" t="n"/>
      <c r="H615" s="74" t="n"/>
      <c r="I615" s="74" t="n"/>
      <c r="J615" s="77" t="n"/>
      <c r="K615" s="77" t="n"/>
      <c r="L615" s="74" t="n"/>
      <c r="M615" s="74" t="n"/>
      <c r="O615" s="78">
        <f>IF($A615="","",YEAR($A615)*100+MONTH($A615))</f>
        <v/>
      </c>
      <c r="P615" s="79">
        <f>IF(OR($F615="",$D615=""),"",IF($D615="Receita",$F615,IF($D615="Transferência",0,-$F615)))</f>
        <v/>
      </c>
    </row>
    <row r="616">
      <c r="A616" s="73" t="n"/>
      <c r="B616" s="74" t="n"/>
      <c r="C616" s="74" t="n"/>
      <c r="D616" s="75">
        <f>IF($C616="","",IFERROR(INDEX(CAT_TIPO,MATCH($C616,CAT_NOME,0)),"Sem categoria"))</f>
        <v/>
      </c>
      <c r="E616" s="75">
        <f>IF($C616="","",IFERROR(INDEX(CAT_GRUPO,MATCH($C616,CAT_NOME,0)),"Sem categoria"))</f>
        <v/>
      </c>
      <c r="F616" s="76" t="n"/>
      <c r="G616" s="74" t="n"/>
      <c r="H616" s="74" t="n"/>
      <c r="I616" s="74" t="n"/>
      <c r="J616" s="77" t="n"/>
      <c r="K616" s="77" t="n"/>
      <c r="L616" s="74" t="n"/>
      <c r="M616" s="74" t="n"/>
      <c r="O616" s="78">
        <f>IF($A616="","",YEAR($A616)*100+MONTH($A616))</f>
        <v/>
      </c>
      <c r="P616" s="79">
        <f>IF(OR($F616="",$D616=""),"",IF($D616="Receita",$F616,IF($D616="Transferência",0,-$F616)))</f>
        <v/>
      </c>
    </row>
    <row r="617">
      <c r="A617" s="73" t="n"/>
      <c r="B617" s="74" t="n"/>
      <c r="C617" s="74" t="n"/>
      <c r="D617" s="75">
        <f>IF($C617="","",IFERROR(INDEX(CAT_TIPO,MATCH($C617,CAT_NOME,0)),"Sem categoria"))</f>
        <v/>
      </c>
      <c r="E617" s="75">
        <f>IF($C617="","",IFERROR(INDEX(CAT_GRUPO,MATCH($C617,CAT_NOME,0)),"Sem categoria"))</f>
        <v/>
      </c>
      <c r="F617" s="76" t="n"/>
      <c r="G617" s="74" t="n"/>
      <c r="H617" s="74" t="n"/>
      <c r="I617" s="74" t="n"/>
      <c r="J617" s="77" t="n"/>
      <c r="K617" s="77" t="n"/>
      <c r="L617" s="74" t="n"/>
      <c r="M617" s="74" t="n"/>
      <c r="O617" s="78">
        <f>IF($A617="","",YEAR($A617)*100+MONTH($A617))</f>
        <v/>
      </c>
      <c r="P617" s="79">
        <f>IF(OR($F617="",$D617=""),"",IF($D617="Receita",$F617,IF($D617="Transferência",0,-$F617)))</f>
        <v/>
      </c>
    </row>
    <row r="618">
      <c r="A618" s="73" t="n"/>
      <c r="B618" s="74" t="n"/>
      <c r="C618" s="74" t="n"/>
      <c r="D618" s="75">
        <f>IF($C618="","",IFERROR(INDEX(CAT_TIPO,MATCH($C618,CAT_NOME,0)),"Sem categoria"))</f>
        <v/>
      </c>
      <c r="E618" s="75">
        <f>IF($C618="","",IFERROR(INDEX(CAT_GRUPO,MATCH($C618,CAT_NOME,0)),"Sem categoria"))</f>
        <v/>
      </c>
      <c r="F618" s="76" t="n"/>
      <c r="G618" s="74" t="n"/>
      <c r="H618" s="74" t="n"/>
      <c r="I618" s="74" t="n"/>
      <c r="J618" s="77" t="n"/>
      <c r="K618" s="77" t="n"/>
      <c r="L618" s="74" t="n"/>
      <c r="M618" s="74" t="n"/>
      <c r="O618" s="78">
        <f>IF($A618="","",YEAR($A618)*100+MONTH($A618))</f>
        <v/>
      </c>
      <c r="P618" s="79">
        <f>IF(OR($F618="",$D618=""),"",IF($D618="Receita",$F618,IF($D618="Transferência",0,-$F618)))</f>
        <v/>
      </c>
    </row>
    <row r="619">
      <c r="A619" s="73" t="n"/>
      <c r="B619" s="74" t="n"/>
      <c r="C619" s="74" t="n"/>
      <c r="D619" s="75">
        <f>IF($C619="","",IFERROR(INDEX(CAT_TIPO,MATCH($C619,CAT_NOME,0)),"Sem categoria"))</f>
        <v/>
      </c>
      <c r="E619" s="75">
        <f>IF($C619="","",IFERROR(INDEX(CAT_GRUPO,MATCH($C619,CAT_NOME,0)),"Sem categoria"))</f>
        <v/>
      </c>
      <c r="F619" s="76" t="n"/>
      <c r="G619" s="74" t="n"/>
      <c r="H619" s="74" t="n"/>
      <c r="I619" s="74" t="n"/>
      <c r="J619" s="77" t="n"/>
      <c r="K619" s="77" t="n"/>
      <c r="L619" s="74" t="n"/>
      <c r="M619" s="74" t="n"/>
      <c r="O619" s="78">
        <f>IF($A619="","",YEAR($A619)*100+MONTH($A619))</f>
        <v/>
      </c>
      <c r="P619" s="79">
        <f>IF(OR($F619="",$D619=""),"",IF($D619="Receita",$F619,IF($D619="Transferência",0,-$F619)))</f>
        <v/>
      </c>
    </row>
    <row r="620">
      <c r="A620" s="73" t="n"/>
      <c r="B620" s="74" t="n"/>
      <c r="C620" s="74" t="n"/>
      <c r="D620" s="75">
        <f>IF($C620="","",IFERROR(INDEX(CAT_TIPO,MATCH($C620,CAT_NOME,0)),"Sem categoria"))</f>
        <v/>
      </c>
      <c r="E620" s="75">
        <f>IF($C620="","",IFERROR(INDEX(CAT_GRUPO,MATCH($C620,CAT_NOME,0)),"Sem categoria"))</f>
        <v/>
      </c>
      <c r="F620" s="76" t="n"/>
      <c r="G620" s="74" t="n"/>
      <c r="H620" s="74" t="n"/>
      <c r="I620" s="74" t="n"/>
      <c r="J620" s="77" t="n"/>
      <c r="K620" s="77" t="n"/>
      <c r="L620" s="74" t="n"/>
      <c r="M620" s="74" t="n"/>
      <c r="O620" s="78">
        <f>IF($A620="","",YEAR($A620)*100+MONTH($A620))</f>
        <v/>
      </c>
      <c r="P620" s="79">
        <f>IF(OR($F620="",$D620=""),"",IF($D620="Receita",$F620,IF($D620="Transferência",0,-$F620)))</f>
        <v/>
      </c>
    </row>
    <row r="621">
      <c r="A621" s="73" t="n"/>
      <c r="B621" s="74" t="n"/>
      <c r="C621" s="74" t="n"/>
      <c r="D621" s="75">
        <f>IF($C621="","",IFERROR(INDEX(CAT_TIPO,MATCH($C621,CAT_NOME,0)),"Sem categoria"))</f>
        <v/>
      </c>
      <c r="E621" s="75">
        <f>IF($C621="","",IFERROR(INDEX(CAT_GRUPO,MATCH($C621,CAT_NOME,0)),"Sem categoria"))</f>
        <v/>
      </c>
      <c r="F621" s="76" t="n"/>
      <c r="G621" s="74" t="n"/>
      <c r="H621" s="74" t="n"/>
      <c r="I621" s="74" t="n"/>
      <c r="J621" s="77" t="n"/>
      <c r="K621" s="77" t="n"/>
      <c r="L621" s="74" t="n"/>
      <c r="M621" s="74" t="n"/>
      <c r="O621" s="78">
        <f>IF($A621="","",YEAR($A621)*100+MONTH($A621))</f>
        <v/>
      </c>
      <c r="P621" s="79">
        <f>IF(OR($F621="",$D621=""),"",IF($D621="Receita",$F621,IF($D621="Transferência",0,-$F621)))</f>
        <v/>
      </c>
    </row>
    <row r="622">
      <c r="A622" s="73" t="n"/>
      <c r="B622" s="74" t="n"/>
      <c r="C622" s="74" t="n"/>
      <c r="D622" s="75">
        <f>IF($C622="","",IFERROR(INDEX(CAT_TIPO,MATCH($C622,CAT_NOME,0)),"Sem categoria"))</f>
        <v/>
      </c>
      <c r="E622" s="75">
        <f>IF($C622="","",IFERROR(INDEX(CAT_GRUPO,MATCH($C622,CAT_NOME,0)),"Sem categoria"))</f>
        <v/>
      </c>
      <c r="F622" s="76" t="n"/>
      <c r="G622" s="74" t="n"/>
      <c r="H622" s="74" t="n"/>
      <c r="I622" s="74" t="n"/>
      <c r="J622" s="77" t="n"/>
      <c r="K622" s="77" t="n"/>
      <c r="L622" s="74" t="n"/>
      <c r="M622" s="74" t="n"/>
      <c r="O622" s="78">
        <f>IF($A622="","",YEAR($A622)*100+MONTH($A622))</f>
        <v/>
      </c>
      <c r="P622" s="79">
        <f>IF(OR($F622="",$D622=""),"",IF($D622="Receita",$F622,IF($D622="Transferência",0,-$F622)))</f>
        <v/>
      </c>
    </row>
    <row r="623">
      <c r="A623" s="73" t="n"/>
      <c r="B623" s="74" t="n"/>
      <c r="C623" s="74" t="n"/>
      <c r="D623" s="75">
        <f>IF($C623="","",IFERROR(INDEX(CAT_TIPO,MATCH($C623,CAT_NOME,0)),"Sem categoria"))</f>
        <v/>
      </c>
      <c r="E623" s="75">
        <f>IF($C623="","",IFERROR(INDEX(CAT_GRUPO,MATCH($C623,CAT_NOME,0)),"Sem categoria"))</f>
        <v/>
      </c>
      <c r="F623" s="76" t="n"/>
      <c r="G623" s="74" t="n"/>
      <c r="H623" s="74" t="n"/>
      <c r="I623" s="74" t="n"/>
      <c r="J623" s="77" t="n"/>
      <c r="K623" s="77" t="n"/>
      <c r="L623" s="74" t="n"/>
      <c r="M623" s="74" t="n"/>
      <c r="O623" s="78">
        <f>IF($A623="","",YEAR($A623)*100+MONTH($A623))</f>
        <v/>
      </c>
      <c r="P623" s="79">
        <f>IF(OR($F623="",$D623=""),"",IF($D623="Receita",$F623,IF($D623="Transferência",0,-$F623)))</f>
        <v/>
      </c>
    </row>
    <row r="624">
      <c r="A624" s="73" t="n"/>
      <c r="B624" s="74" t="n"/>
      <c r="C624" s="74" t="n"/>
      <c r="D624" s="75">
        <f>IF($C624="","",IFERROR(INDEX(CAT_TIPO,MATCH($C624,CAT_NOME,0)),"Sem categoria"))</f>
        <v/>
      </c>
      <c r="E624" s="75">
        <f>IF($C624="","",IFERROR(INDEX(CAT_GRUPO,MATCH($C624,CAT_NOME,0)),"Sem categoria"))</f>
        <v/>
      </c>
      <c r="F624" s="76" t="n"/>
      <c r="G624" s="74" t="n"/>
      <c r="H624" s="74" t="n"/>
      <c r="I624" s="74" t="n"/>
      <c r="J624" s="77" t="n"/>
      <c r="K624" s="77" t="n"/>
      <c r="L624" s="74" t="n"/>
      <c r="M624" s="74" t="n"/>
      <c r="O624" s="78">
        <f>IF($A624="","",YEAR($A624)*100+MONTH($A624))</f>
        <v/>
      </c>
      <c r="P624" s="79">
        <f>IF(OR($F624="",$D624=""),"",IF($D624="Receita",$F624,IF($D624="Transferência",0,-$F624)))</f>
        <v/>
      </c>
    </row>
    <row r="625">
      <c r="A625" s="73" t="n"/>
      <c r="B625" s="74" t="n"/>
      <c r="C625" s="74" t="n"/>
      <c r="D625" s="75">
        <f>IF($C625="","",IFERROR(INDEX(CAT_TIPO,MATCH($C625,CAT_NOME,0)),"Sem categoria"))</f>
        <v/>
      </c>
      <c r="E625" s="75">
        <f>IF($C625="","",IFERROR(INDEX(CAT_GRUPO,MATCH($C625,CAT_NOME,0)),"Sem categoria"))</f>
        <v/>
      </c>
      <c r="F625" s="76" t="n"/>
      <c r="G625" s="74" t="n"/>
      <c r="H625" s="74" t="n"/>
      <c r="I625" s="74" t="n"/>
      <c r="J625" s="77" t="n"/>
      <c r="K625" s="77" t="n"/>
      <c r="L625" s="74" t="n"/>
      <c r="M625" s="74" t="n"/>
      <c r="O625" s="78">
        <f>IF($A625="","",YEAR($A625)*100+MONTH($A625))</f>
        <v/>
      </c>
      <c r="P625" s="79">
        <f>IF(OR($F625="",$D625=""),"",IF($D625="Receita",$F625,IF($D625="Transferência",0,-$F625)))</f>
        <v/>
      </c>
    </row>
    <row r="626">
      <c r="A626" s="73" t="n"/>
      <c r="B626" s="74" t="n"/>
      <c r="C626" s="74" t="n"/>
      <c r="D626" s="75">
        <f>IF($C626="","",IFERROR(INDEX(CAT_TIPO,MATCH($C626,CAT_NOME,0)),"Sem categoria"))</f>
        <v/>
      </c>
      <c r="E626" s="75">
        <f>IF($C626="","",IFERROR(INDEX(CAT_GRUPO,MATCH($C626,CAT_NOME,0)),"Sem categoria"))</f>
        <v/>
      </c>
      <c r="F626" s="76" t="n"/>
      <c r="G626" s="74" t="n"/>
      <c r="H626" s="74" t="n"/>
      <c r="I626" s="74" t="n"/>
      <c r="J626" s="77" t="n"/>
      <c r="K626" s="77" t="n"/>
      <c r="L626" s="74" t="n"/>
      <c r="M626" s="74" t="n"/>
      <c r="O626" s="78">
        <f>IF($A626="","",YEAR($A626)*100+MONTH($A626))</f>
        <v/>
      </c>
      <c r="P626" s="79">
        <f>IF(OR($F626="",$D626=""),"",IF($D626="Receita",$F626,IF($D626="Transferência",0,-$F626)))</f>
        <v/>
      </c>
    </row>
    <row r="627">
      <c r="A627" s="73" t="n"/>
      <c r="B627" s="74" t="n"/>
      <c r="C627" s="74" t="n"/>
      <c r="D627" s="75">
        <f>IF($C627="","",IFERROR(INDEX(CAT_TIPO,MATCH($C627,CAT_NOME,0)),"Sem categoria"))</f>
        <v/>
      </c>
      <c r="E627" s="75">
        <f>IF($C627="","",IFERROR(INDEX(CAT_GRUPO,MATCH($C627,CAT_NOME,0)),"Sem categoria"))</f>
        <v/>
      </c>
      <c r="F627" s="76" t="n"/>
      <c r="G627" s="74" t="n"/>
      <c r="H627" s="74" t="n"/>
      <c r="I627" s="74" t="n"/>
      <c r="J627" s="77" t="n"/>
      <c r="K627" s="77" t="n"/>
      <c r="L627" s="74" t="n"/>
      <c r="M627" s="74" t="n"/>
      <c r="O627" s="78">
        <f>IF($A627="","",YEAR($A627)*100+MONTH($A627))</f>
        <v/>
      </c>
      <c r="P627" s="79">
        <f>IF(OR($F627="",$D627=""),"",IF($D627="Receita",$F627,IF($D627="Transferência",0,-$F627)))</f>
        <v/>
      </c>
    </row>
    <row r="628">
      <c r="A628" s="73" t="n"/>
      <c r="B628" s="74" t="n"/>
      <c r="C628" s="74" t="n"/>
      <c r="D628" s="75">
        <f>IF($C628="","",IFERROR(INDEX(CAT_TIPO,MATCH($C628,CAT_NOME,0)),"Sem categoria"))</f>
        <v/>
      </c>
      <c r="E628" s="75">
        <f>IF($C628="","",IFERROR(INDEX(CAT_GRUPO,MATCH($C628,CAT_NOME,0)),"Sem categoria"))</f>
        <v/>
      </c>
      <c r="F628" s="76" t="n"/>
      <c r="G628" s="74" t="n"/>
      <c r="H628" s="74" t="n"/>
      <c r="I628" s="74" t="n"/>
      <c r="J628" s="77" t="n"/>
      <c r="K628" s="77" t="n"/>
      <c r="L628" s="74" t="n"/>
      <c r="M628" s="74" t="n"/>
      <c r="O628" s="78">
        <f>IF($A628="","",YEAR($A628)*100+MONTH($A628))</f>
        <v/>
      </c>
      <c r="P628" s="79">
        <f>IF(OR($F628="",$D628=""),"",IF($D628="Receita",$F628,IF($D628="Transferência",0,-$F628)))</f>
        <v/>
      </c>
    </row>
    <row r="629">
      <c r="A629" s="73" t="n"/>
      <c r="B629" s="74" t="n"/>
      <c r="C629" s="74" t="n"/>
      <c r="D629" s="75">
        <f>IF($C629="","",IFERROR(INDEX(CAT_TIPO,MATCH($C629,CAT_NOME,0)),"Sem categoria"))</f>
        <v/>
      </c>
      <c r="E629" s="75">
        <f>IF($C629="","",IFERROR(INDEX(CAT_GRUPO,MATCH($C629,CAT_NOME,0)),"Sem categoria"))</f>
        <v/>
      </c>
      <c r="F629" s="76" t="n"/>
      <c r="G629" s="74" t="n"/>
      <c r="H629" s="74" t="n"/>
      <c r="I629" s="74" t="n"/>
      <c r="J629" s="77" t="n"/>
      <c r="K629" s="77" t="n"/>
      <c r="L629" s="74" t="n"/>
      <c r="M629" s="74" t="n"/>
      <c r="O629" s="78">
        <f>IF($A629="","",YEAR($A629)*100+MONTH($A629))</f>
        <v/>
      </c>
      <c r="P629" s="79">
        <f>IF(OR($F629="",$D629=""),"",IF($D629="Receita",$F629,IF($D629="Transferência",0,-$F629)))</f>
        <v/>
      </c>
    </row>
    <row r="630">
      <c r="A630" s="73" t="n"/>
      <c r="B630" s="74" t="n"/>
      <c r="C630" s="74" t="n"/>
      <c r="D630" s="75">
        <f>IF($C630="","",IFERROR(INDEX(CAT_TIPO,MATCH($C630,CAT_NOME,0)),"Sem categoria"))</f>
        <v/>
      </c>
      <c r="E630" s="75">
        <f>IF($C630="","",IFERROR(INDEX(CAT_GRUPO,MATCH($C630,CAT_NOME,0)),"Sem categoria"))</f>
        <v/>
      </c>
      <c r="F630" s="76" t="n"/>
      <c r="G630" s="74" t="n"/>
      <c r="H630" s="74" t="n"/>
      <c r="I630" s="74" t="n"/>
      <c r="J630" s="77" t="n"/>
      <c r="K630" s="77" t="n"/>
      <c r="L630" s="74" t="n"/>
      <c r="M630" s="74" t="n"/>
      <c r="O630" s="78">
        <f>IF($A630="","",YEAR($A630)*100+MONTH($A630))</f>
        <v/>
      </c>
      <c r="P630" s="79">
        <f>IF(OR($F630="",$D630=""),"",IF($D630="Receita",$F630,IF($D630="Transferência",0,-$F630)))</f>
        <v/>
      </c>
    </row>
    <row r="631">
      <c r="A631" s="73" t="n"/>
      <c r="B631" s="74" t="n"/>
      <c r="C631" s="74" t="n"/>
      <c r="D631" s="75">
        <f>IF($C631="","",IFERROR(INDEX(CAT_TIPO,MATCH($C631,CAT_NOME,0)),"Sem categoria"))</f>
        <v/>
      </c>
      <c r="E631" s="75">
        <f>IF($C631="","",IFERROR(INDEX(CAT_GRUPO,MATCH($C631,CAT_NOME,0)),"Sem categoria"))</f>
        <v/>
      </c>
      <c r="F631" s="76" t="n"/>
      <c r="G631" s="74" t="n"/>
      <c r="H631" s="74" t="n"/>
      <c r="I631" s="74" t="n"/>
      <c r="J631" s="77" t="n"/>
      <c r="K631" s="77" t="n"/>
      <c r="L631" s="74" t="n"/>
      <c r="M631" s="74" t="n"/>
      <c r="O631" s="78">
        <f>IF($A631="","",YEAR($A631)*100+MONTH($A631))</f>
        <v/>
      </c>
      <c r="P631" s="79">
        <f>IF(OR($F631="",$D631=""),"",IF($D631="Receita",$F631,IF($D631="Transferência",0,-$F631)))</f>
        <v/>
      </c>
    </row>
    <row r="632">
      <c r="A632" s="73" t="n"/>
      <c r="B632" s="74" t="n"/>
      <c r="C632" s="74" t="n"/>
      <c r="D632" s="75">
        <f>IF($C632="","",IFERROR(INDEX(CAT_TIPO,MATCH($C632,CAT_NOME,0)),"Sem categoria"))</f>
        <v/>
      </c>
      <c r="E632" s="75">
        <f>IF($C632="","",IFERROR(INDEX(CAT_GRUPO,MATCH($C632,CAT_NOME,0)),"Sem categoria"))</f>
        <v/>
      </c>
      <c r="F632" s="76" t="n"/>
      <c r="G632" s="74" t="n"/>
      <c r="H632" s="74" t="n"/>
      <c r="I632" s="74" t="n"/>
      <c r="J632" s="77" t="n"/>
      <c r="K632" s="77" t="n"/>
      <c r="L632" s="74" t="n"/>
      <c r="M632" s="74" t="n"/>
      <c r="O632" s="78">
        <f>IF($A632="","",YEAR($A632)*100+MONTH($A632))</f>
        <v/>
      </c>
      <c r="P632" s="79">
        <f>IF(OR($F632="",$D632=""),"",IF($D632="Receita",$F632,IF($D632="Transferência",0,-$F632)))</f>
        <v/>
      </c>
    </row>
    <row r="633">
      <c r="A633" s="73" t="n"/>
      <c r="B633" s="74" t="n"/>
      <c r="C633" s="74" t="n"/>
      <c r="D633" s="75">
        <f>IF($C633="","",IFERROR(INDEX(CAT_TIPO,MATCH($C633,CAT_NOME,0)),"Sem categoria"))</f>
        <v/>
      </c>
      <c r="E633" s="75">
        <f>IF($C633="","",IFERROR(INDEX(CAT_GRUPO,MATCH($C633,CAT_NOME,0)),"Sem categoria"))</f>
        <v/>
      </c>
      <c r="F633" s="76" t="n"/>
      <c r="G633" s="74" t="n"/>
      <c r="H633" s="74" t="n"/>
      <c r="I633" s="74" t="n"/>
      <c r="J633" s="77" t="n"/>
      <c r="K633" s="77" t="n"/>
      <c r="L633" s="74" t="n"/>
      <c r="M633" s="74" t="n"/>
      <c r="O633" s="78">
        <f>IF($A633="","",YEAR($A633)*100+MONTH($A633))</f>
        <v/>
      </c>
      <c r="P633" s="79">
        <f>IF(OR($F633="",$D633=""),"",IF($D633="Receita",$F633,IF($D633="Transferência",0,-$F633)))</f>
        <v/>
      </c>
    </row>
    <row r="634">
      <c r="A634" s="73" t="n"/>
      <c r="B634" s="74" t="n"/>
      <c r="C634" s="74" t="n"/>
      <c r="D634" s="75">
        <f>IF($C634="","",IFERROR(INDEX(CAT_TIPO,MATCH($C634,CAT_NOME,0)),"Sem categoria"))</f>
        <v/>
      </c>
      <c r="E634" s="75">
        <f>IF($C634="","",IFERROR(INDEX(CAT_GRUPO,MATCH($C634,CAT_NOME,0)),"Sem categoria"))</f>
        <v/>
      </c>
      <c r="F634" s="76" t="n"/>
      <c r="G634" s="74" t="n"/>
      <c r="H634" s="74" t="n"/>
      <c r="I634" s="74" t="n"/>
      <c r="J634" s="77" t="n"/>
      <c r="K634" s="77" t="n"/>
      <c r="L634" s="74" t="n"/>
      <c r="M634" s="74" t="n"/>
      <c r="O634" s="78">
        <f>IF($A634="","",YEAR($A634)*100+MONTH($A634))</f>
        <v/>
      </c>
      <c r="P634" s="79">
        <f>IF(OR($F634="",$D634=""),"",IF($D634="Receita",$F634,IF($D634="Transferência",0,-$F634)))</f>
        <v/>
      </c>
    </row>
    <row r="635">
      <c r="A635" s="73" t="n"/>
      <c r="B635" s="74" t="n"/>
      <c r="C635" s="74" t="n"/>
      <c r="D635" s="75">
        <f>IF($C635="","",IFERROR(INDEX(CAT_TIPO,MATCH($C635,CAT_NOME,0)),"Sem categoria"))</f>
        <v/>
      </c>
      <c r="E635" s="75">
        <f>IF($C635="","",IFERROR(INDEX(CAT_GRUPO,MATCH($C635,CAT_NOME,0)),"Sem categoria"))</f>
        <v/>
      </c>
      <c r="F635" s="76" t="n"/>
      <c r="G635" s="74" t="n"/>
      <c r="H635" s="74" t="n"/>
      <c r="I635" s="74" t="n"/>
      <c r="J635" s="77" t="n"/>
      <c r="K635" s="77" t="n"/>
      <c r="L635" s="74" t="n"/>
      <c r="M635" s="74" t="n"/>
      <c r="O635" s="78">
        <f>IF($A635="","",YEAR($A635)*100+MONTH($A635))</f>
        <v/>
      </c>
      <c r="P635" s="79">
        <f>IF(OR($F635="",$D635=""),"",IF($D635="Receita",$F635,IF($D635="Transferência",0,-$F635)))</f>
        <v/>
      </c>
    </row>
    <row r="636">
      <c r="A636" s="73" t="n"/>
      <c r="B636" s="74" t="n"/>
      <c r="C636" s="74" t="n"/>
      <c r="D636" s="75">
        <f>IF($C636="","",IFERROR(INDEX(CAT_TIPO,MATCH($C636,CAT_NOME,0)),"Sem categoria"))</f>
        <v/>
      </c>
      <c r="E636" s="75">
        <f>IF($C636="","",IFERROR(INDEX(CAT_GRUPO,MATCH($C636,CAT_NOME,0)),"Sem categoria"))</f>
        <v/>
      </c>
      <c r="F636" s="76" t="n"/>
      <c r="G636" s="74" t="n"/>
      <c r="H636" s="74" t="n"/>
      <c r="I636" s="74" t="n"/>
      <c r="J636" s="77" t="n"/>
      <c r="K636" s="77" t="n"/>
      <c r="L636" s="74" t="n"/>
      <c r="M636" s="74" t="n"/>
      <c r="O636" s="78">
        <f>IF($A636="","",YEAR($A636)*100+MONTH($A636))</f>
        <v/>
      </c>
      <c r="P636" s="79">
        <f>IF(OR($F636="",$D636=""),"",IF($D636="Receita",$F636,IF($D636="Transferência",0,-$F636)))</f>
        <v/>
      </c>
    </row>
    <row r="637">
      <c r="A637" s="73" t="n"/>
      <c r="B637" s="74" t="n"/>
      <c r="C637" s="74" t="n"/>
      <c r="D637" s="75">
        <f>IF($C637="","",IFERROR(INDEX(CAT_TIPO,MATCH($C637,CAT_NOME,0)),"Sem categoria"))</f>
        <v/>
      </c>
      <c r="E637" s="75">
        <f>IF($C637="","",IFERROR(INDEX(CAT_GRUPO,MATCH($C637,CAT_NOME,0)),"Sem categoria"))</f>
        <v/>
      </c>
      <c r="F637" s="76" t="n"/>
      <c r="G637" s="74" t="n"/>
      <c r="H637" s="74" t="n"/>
      <c r="I637" s="74" t="n"/>
      <c r="J637" s="77" t="n"/>
      <c r="K637" s="77" t="n"/>
      <c r="L637" s="74" t="n"/>
      <c r="M637" s="74" t="n"/>
      <c r="O637" s="78">
        <f>IF($A637="","",YEAR($A637)*100+MONTH($A637))</f>
        <v/>
      </c>
      <c r="P637" s="79">
        <f>IF(OR($F637="",$D637=""),"",IF($D637="Receita",$F637,IF($D637="Transferência",0,-$F637)))</f>
        <v/>
      </c>
    </row>
    <row r="638">
      <c r="A638" s="73" t="n"/>
      <c r="B638" s="74" t="n"/>
      <c r="C638" s="74" t="n"/>
      <c r="D638" s="75">
        <f>IF($C638="","",IFERROR(INDEX(CAT_TIPO,MATCH($C638,CAT_NOME,0)),"Sem categoria"))</f>
        <v/>
      </c>
      <c r="E638" s="75">
        <f>IF($C638="","",IFERROR(INDEX(CAT_GRUPO,MATCH($C638,CAT_NOME,0)),"Sem categoria"))</f>
        <v/>
      </c>
      <c r="F638" s="76" t="n"/>
      <c r="G638" s="74" t="n"/>
      <c r="H638" s="74" t="n"/>
      <c r="I638" s="74" t="n"/>
      <c r="J638" s="77" t="n"/>
      <c r="K638" s="77" t="n"/>
      <c r="L638" s="74" t="n"/>
      <c r="M638" s="74" t="n"/>
      <c r="O638" s="78">
        <f>IF($A638="","",YEAR($A638)*100+MONTH($A638))</f>
        <v/>
      </c>
      <c r="P638" s="79">
        <f>IF(OR($F638="",$D638=""),"",IF($D638="Receita",$F638,IF($D638="Transferência",0,-$F638)))</f>
        <v/>
      </c>
    </row>
    <row r="639">
      <c r="A639" s="73" t="n"/>
      <c r="B639" s="74" t="n"/>
      <c r="C639" s="74" t="n"/>
      <c r="D639" s="75">
        <f>IF($C639="","",IFERROR(INDEX(CAT_TIPO,MATCH($C639,CAT_NOME,0)),"Sem categoria"))</f>
        <v/>
      </c>
      <c r="E639" s="75">
        <f>IF($C639="","",IFERROR(INDEX(CAT_GRUPO,MATCH($C639,CAT_NOME,0)),"Sem categoria"))</f>
        <v/>
      </c>
      <c r="F639" s="76" t="n"/>
      <c r="G639" s="74" t="n"/>
      <c r="H639" s="74" t="n"/>
      <c r="I639" s="74" t="n"/>
      <c r="J639" s="77" t="n"/>
      <c r="K639" s="77" t="n"/>
      <c r="L639" s="74" t="n"/>
      <c r="M639" s="74" t="n"/>
      <c r="O639" s="78">
        <f>IF($A639="","",YEAR($A639)*100+MONTH($A639))</f>
        <v/>
      </c>
      <c r="P639" s="79">
        <f>IF(OR($F639="",$D639=""),"",IF($D639="Receita",$F639,IF($D639="Transferência",0,-$F639)))</f>
        <v/>
      </c>
    </row>
    <row r="640">
      <c r="A640" s="73" t="n"/>
      <c r="B640" s="74" t="n"/>
      <c r="C640" s="74" t="n"/>
      <c r="D640" s="75">
        <f>IF($C640="","",IFERROR(INDEX(CAT_TIPO,MATCH($C640,CAT_NOME,0)),"Sem categoria"))</f>
        <v/>
      </c>
      <c r="E640" s="75">
        <f>IF($C640="","",IFERROR(INDEX(CAT_GRUPO,MATCH($C640,CAT_NOME,0)),"Sem categoria"))</f>
        <v/>
      </c>
      <c r="F640" s="76" t="n"/>
      <c r="G640" s="74" t="n"/>
      <c r="H640" s="74" t="n"/>
      <c r="I640" s="74" t="n"/>
      <c r="J640" s="77" t="n"/>
      <c r="K640" s="77" t="n"/>
      <c r="L640" s="74" t="n"/>
      <c r="M640" s="74" t="n"/>
      <c r="O640" s="78">
        <f>IF($A640="","",YEAR($A640)*100+MONTH($A640))</f>
        <v/>
      </c>
      <c r="P640" s="79">
        <f>IF(OR($F640="",$D640=""),"",IF($D640="Receita",$F640,IF($D640="Transferência",0,-$F640)))</f>
        <v/>
      </c>
    </row>
    <row r="641">
      <c r="A641" s="73" t="n"/>
      <c r="B641" s="74" t="n"/>
      <c r="C641" s="74" t="n"/>
      <c r="D641" s="75">
        <f>IF($C641="","",IFERROR(INDEX(CAT_TIPO,MATCH($C641,CAT_NOME,0)),"Sem categoria"))</f>
        <v/>
      </c>
      <c r="E641" s="75">
        <f>IF($C641="","",IFERROR(INDEX(CAT_GRUPO,MATCH($C641,CAT_NOME,0)),"Sem categoria"))</f>
        <v/>
      </c>
      <c r="F641" s="76" t="n"/>
      <c r="G641" s="74" t="n"/>
      <c r="H641" s="74" t="n"/>
      <c r="I641" s="74" t="n"/>
      <c r="J641" s="77" t="n"/>
      <c r="K641" s="77" t="n"/>
      <c r="L641" s="74" t="n"/>
      <c r="M641" s="74" t="n"/>
      <c r="O641" s="78">
        <f>IF($A641="","",YEAR($A641)*100+MONTH($A641))</f>
        <v/>
      </c>
      <c r="P641" s="79">
        <f>IF(OR($F641="",$D641=""),"",IF($D641="Receita",$F641,IF($D641="Transferência",0,-$F641)))</f>
        <v/>
      </c>
    </row>
    <row r="642">
      <c r="A642" s="73" t="n"/>
      <c r="B642" s="74" t="n"/>
      <c r="C642" s="74" t="n"/>
      <c r="D642" s="75">
        <f>IF($C642="","",IFERROR(INDEX(CAT_TIPO,MATCH($C642,CAT_NOME,0)),"Sem categoria"))</f>
        <v/>
      </c>
      <c r="E642" s="75">
        <f>IF($C642="","",IFERROR(INDEX(CAT_GRUPO,MATCH($C642,CAT_NOME,0)),"Sem categoria"))</f>
        <v/>
      </c>
      <c r="F642" s="76" t="n"/>
      <c r="G642" s="74" t="n"/>
      <c r="H642" s="74" t="n"/>
      <c r="I642" s="74" t="n"/>
      <c r="J642" s="77" t="n"/>
      <c r="K642" s="77" t="n"/>
      <c r="L642" s="74" t="n"/>
      <c r="M642" s="74" t="n"/>
      <c r="O642" s="78">
        <f>IF($A642="","",YEAR($A642)*100+MONTH($A642))</f>
        <v/>
      </c>
      <c r="P642" s="79">
        <f>IF(OR($F642="",$D642=""),"",IF($D642="Receita",$F642,IF($D642="Transferência",0,-$F642)))</f>
        <v/>
      </c>
    </row>
    <row r="643">
      <c r="A643" s="73" t="n"/>
      <c r="B643" s="74" t="n"/>
      <c r="C643" s="74" t="n"/>
      <c r="D643" s="75">
        <f>IF($C643="","",IFERROR(INDEX(CAT_TIPO,MATCH($C643,CAT_NOME,0)),"Sem categoria"))</f>
        <v/>
      </c>
      <c r="E643" s="75">
        <f>IF($C643="","",IFERROR(INDEX(CAT_GRUPO,MATCH($C643,CAT_NOME,0)),"Sem categoria"))</f>
        <v/>
      </c>
      <c r="F643" s="76" t="n"/>
      <c r="G643" s="74" t="n"/>
      <c r="H643" s="74" t="n"/>
      <c r="I643" s="74" t="n"/>
      <c r="J643" s="77" t="n"/>
      <c r="K643" s="77" t="n"/>
      <c r="L643" s="74" t="n"/>
      <c r="M643" s="74" t="n"/>
      <c r="O643" s="78">
        <f>IF($A643="","",YEAR($A643)*100+MONTH($A643))</f>
        <v/>
      </c>
      <c r="P643" s="79">
        <f>IF(OR($F643="",$D643=""),"",IF($D643="Receita",$F643,IF($D643="Transferência",0,-$F643)))</f>
        <v/>
      </c>
    </row>
    <row r="644">
      <c r="A644" s="73" t="n"/>
      <c r="B644" s="74" t="n"/>
      <c r="C644" s="74" t="n"/>
      <c r="D644" s="75">
        <f>IF($C644="","",IFERROR(INDEX(CAT_TIPO,MATCH($C644,CAT_NOME,0)),"Sem categoria"))</f>
        <v/>
      </c>
      <c r="E644" s="75">
        <f>IF($C644="","",IFERROR(INDEX(CAT_GRUPO,MATCH($C644,CAT_NOME,0)),"Sem categoria"))</f>
        <v/>
      </c>
      <c r="F644" s="76" t="n"/>
      <c r="G644" s="74" t="n"/>
      <c r="H644" s="74" t="n"/>
      <c r="I644" s="74" t="n"/>
      <c r="J644" s="77" t="n"/>
      <c r="K644" s="77" t="n"/>
      <c r="L644" s="74" t="n"/>
      <c r="M644" s="74" t="n"/>
      <c r="O644" s="78">
        <f>IF($A644="","",YEAR($A644)*100+MONTH($A644))</f>
        <v/>
      </c>
      <c r="P644" s="79">
        <f>IF(OR($F644="",$D644=""),"",IF($D644="Receita",$F644,IF($D644="Transferência",0,-$F644)))</f>
        <v/>
      </c>
    </row>
    <row r="645">
      <c r="A645" s="73" t="n"/>
      <c r="B645" s="74" t="n"/>
      <c r="C645" s="74" t="n"/>
      <c r="D645" s="75">
        <f>IF($C645="","",IFERROR(INDEX(CAT_TIPO,MATCH($C645,CAT_NOME,0)),"Sem categoria"))</f>
        <v/>
      </c>
      <c r="E645" s="75">
        <f>IF($C645="","",IFERROR(INDEX(CAT_GRUPO,MATCH($C645,CAT_NOME,0)),"Sem categoria"))</f>
        <v/>
      </c>
      <c r="F645" s="76" t="n"/>
      <c r="G645" s="74" t="n"/>
      <c r="H645" s="74" t="n"/>
      <c r="I645" s="74" t="n"/>
      <c r="J645" s="77" t="n"/>
      <c r="K645" s="77" t="n"/>
      <c r="L645" s="74" t="n"/>
      <c r="M645" s="74" t="n"/>
      <c r="O645" s="78">
        <f>IF($A645="","",YEAR($A645)*100+MONTH($A645))</f>
        <v/>
      </c>
      <c r="P645" s="79">
        <f>IF(OR($F645="",$D645=""),"",IF($D645="Receita",$F645,IF($D645="Transferência",0,-$F645)))</f>
        <v/>
      </c>
    </row>
    <row r="646">
      <c r="A646" s="73" t="n"/>
      <c r="B646" s="74" t="n"/>
      <c r="C646" s="74" t="n"/>
      <c r="D646" s="75">
        <f>IF($C646="","",IFERROR(INDEX(CAT_TIPO,MATCH($C646,CAT_NOME,0)),"Sem categoria"))</f>
        <v/>
      </c>
      <c r="E646" s="75">
        <f>IF($C646="","",IFERROR(INDEX(CAT_GRUPO,MATCH($C646,CAT_NOME,0)),"Sem categoria"))</f>
        <v/>
      </c>
      <c r="F646" s="76" t="n"/>
      <c r="G646" s="74" t="n"/>
      <c r="H646" s="74" t="n"/>
      <c r="I646" s="74" t="n"/>
      <c r="J646" s="77" t="n"/>
      <c r="K646" s="77" t="n"/>
      <c r="L646" s="74" t="n"/>
      <c r="M646" s="74" t="n"/>
      <c r="O646" s="78">
        <f>IF($A646="","",YEAR($A646)*100+MONTH($A646))</f>
        <v/>
      </c>
      <c r="P646" s="79">
        <f>IF(OR($F646="",$D646=""),"",IF($D646="Receita",$F646,IF($D646="Transferência",0,-$F646)))</f>
        <v/>
      </c>
    </row>
    <row r="647">
      <c r="A647" s="73" t="n"/>
      <c r="B647" s="74" t="n"/>
      <c r="C647" s="74" t="n"/>
      <c r="D647" s="75">
        <f>IF($C647="","",IFERROR(INDEX(CAT_TIPO,MATCH($C647,CAT_NOME,0)),"Sem categoria"))</f>
        <v/>
      </c>
      <c r="E647" s="75">
        <f>IF($C647="","",IFERROR(INDEX(CAT_GRUPO,MATCH($C647,CAT_NOME,0)),"Sem categoria"))</f>
        <v/>
      </c>
      <c r="F647" s="76" t="n"/>
      <c r="G647" s="74" t="n"/>
      <c r="H647" s="74" t="n"/>
      <c r="I647" s="74" t="n"/>
      <c r="J647" s="77" t="n"/>
      <c r="K647" s="77" t="n"/>
      <c r="L647" s="74" t="n"/>
      <c r="M647" s="74" t="n"/>
      <c r="O647" s="78">
        <f>IF($A647="","",YEAR($A647)*100+MONTH($A647))</f>
        <v/>
      </c>
      <c r="P647" s="79">
        <f>IF(OR($F647="",$D647=""),"",IF($D647="Receita",$F647,IF($D647="Transferência",0,-$F647)))</f>
        <v/>
      </c>
    </row>
    <row r="648">
      <c r="A648" s="73" t="n"/>
      <c r="B648" s="74" t="n"/>
      <c r="C648" s="74" t="n"/>
      <c r="D648" s="75">
        <f>IF($C648="","",IFERROR(INDEX(CAT_TIPO,MATCH($C648,CAT_NOME,0)),"Sem categoria"))</f>
        <v/>
      </c>
      <c r="E648" s="75">
        <f>IF($C648="","",IFERROR(INDEX(CAT_GRUPO,MATCH($C648,CAT_NOME,0)),"Sem categoria"))</f>
        <v/>
      </c>
      <c r="F648" s="76" t="n"/>
      <c r="G648" s="74" t="n"/>
      <c r="H648" s="74" t="n"/>
      <c r="I648" s="74" t="n"/>
      <c r="J648" s="77" t="n"/>
      <c r="K648" s="77" t="n"/>
      <c r="L648" s="74" t="n"/>
      <c r="M648" s="74" t="n"/>
      <c r="O648" s="78">
        <f>IF($A648="","",YEAR($A648)*100+MONTH($A648))</f>
        <v/>
      </c>
      <c r="P648" s="79">
        <f>IF(OR($F648="",$D648=""),"",IF($D648="Receita",$F648,IF($D648="Transferência",0,-$F648)))</f>
        <v/>
      </c>
    </row>
    <row r="649">
      <c r="A649" s="73" t="n"/>
      <c r="B649" s="74" t="n"/>
      <c r="C649" s="74" t="n"/>
      <c r="D649" s="75">
        <f>IF($C649="","",IFERROR(INDEX(CAT_TIPO,MATCH($C649,CAT_NOME,0)),"Sem categoria"))</f>
        <v/>
      </c>
      <c r="E649" s="75">
        <f>IF($C649="","",IFERROR(INDEX(CAT_GRUPO,MATCH($C649,CAT_NOME,0)),"Sem categoria"))</f>
        <v/>
      </c>
      <c r="F649" s="76" t="n"/>
      <c r="G649" s="74" t="n"/>
      <c r="H649" s="74" t="n"/>
      <c r="I649" s="74" t="n"/>
      <c r="J649" s="77" t="n"/>
      <c r="K649" s="77" t="n"/>
      <c r="L649" s="74" t="n"/>
      <c r="M649" s="74" t="n"/>
      <c r="O649" s="78">
        <f>IF($A649="","",YEAR($A649)*100+MONTH($A649))</f>
        <v/>
      </c>
      <c r="P649" s="79">
        <f>IF(OR($F649="",$D649=""),"",IF($D649="Receita",$F649,IF($D649="Transferência",0,-$F649)))</f>
        <v/>
      </c>
    </row>
    <row r="650">
      <c r="A650" s="73" t="n"/>
      <c r="B650" s="74" t="n"/>
      <c r="C650" s="74" t="n"/>
      <c r="D650" s="75">
        <f>IF($C650="","",IFERROR(INDEX(CAT_TIPO,MATCH($C650,CAT_NOME,0)),"Sem categoria"))</f>
        <v/>
      </c>
      <c r="E650" s="75">
        <f>IF($C650="","",IFERROR(INDEX(CAT_GRUPO,MATCH($C650,CAT_NOME,0)),"Sem categoria"))</f>
        <v/>
      </c>
      <c r="F650" s="76" t="n"/>
      <c r="G650" s="74" t="n"/>
      <c r="H650" s="74" t="n"/>
      <c r="I650" s="74" t="n"/>
      <c r="J650" s="77" t="n"/>
      <c r="K650" s="77" t="n"/>
      <c r="L650" s="74" t="n"/>
      <c r="M650" s="74" t="n"/>
      <c r="O650" s="78">
        <f>IF($A650="","",YEAR($A650)*100+MONTH($A650))</f>
        <v/>
      </c>
      <c r="P650" s="79">
        <f>IF(OR($F650="",$D650=""),"",IF($D650="Receita",$F650,IF($D650="Transferência",0,-$F650)))</f>
        <v/>
      </c>
    </row>
    <row r="651">
      <c r="A651" s="73" t="n"/>
      <c r="B651" s="74" t="n"/>
      <c r="C651" s="74" t="n"/>
      <c r="D651" s="75">
        <f>IF($C651="","",IFERROR(INDEX(CAT_TIPO,MATCH($C651,CAT_NOME,0)),"Sem categoria"))</f>
        <v/>
      </c>
      <c r="E651" s="75">
        <f>IF($C651="","",IFERROR(INDEX(CAT_GRUPO,MATCH($C651,CAT_NOME,0)),"Sem categoria"))</f>
        <v/>
      </c>
      <c r="F651" s="76" t="n"/>
      <c r="G651" s="74" t="n"/>
      <c r="H651" s="74" t="n"/>
      <c r="I651" s="74" t="n"/>
      <c r="J651" s="77" t="n"/>
      <c r="K651" s="77" t="n"/>
      <c r="L651" s="74" t="n"/>
      <c r="M651" s="74" t="n"/>
      <c r="O651" s="78">
        <f>IF($A651="","",YEAR($A651)*100+MONTH($A651))</f>
        <v/>
      </c>
      <c r="P651" s="79">
        <f>IF(OR($F651="",$D651=""),"",IF($D651="Receita",$F651,IF($D651="Transferência",0,-$F651)))</f>
        <v/>
      </c>
    </row>
    <row r="652">
      <c r="A652" s="73" t="n"/>
      <c r="B652" s="74" t="n"/>
      <c r="C652" s="74" t="n"/>
      <c r="D652" s="75">
        <f>IF($C652="","",IFERROR(INDEX(CAT_TIPO,MATCH($C652,CAT_NOME,0)),"Sem categoria"))</f>
        <v/>
      </c>
      <c r="E652" s="75">
        <f>IF($C652="","",IFERROR(INDEX(CAT_GRUPO,MATCH($C652,CAT_NOME,0)),"Sem categoria"))</f>
        <v/>
      </c>
      <c r="F652" s="76" t="n"/>
      <c r="G652" s="74" t="n"/>
      <c r="H652" s="74" t="n"/>
      <c r="I652" s="74" t="n"/>
      <c r="J652" s="77" t="n"/>
      <c r="K652" s="77" t="n"/>
      <c r="L652" s="74" t="n"/>
      <c r="M652" s="74" t="n"/>
      <c r="O652" s="78">
        <f>IF($A652="","",YEAR($A652)*100+MONTH($A652))</f>
        <v/>
      </c>
      <c r="P652" s="79">
        <f>IF(OR($F652="",$D652=""),"",IF($D652="Receita",$F652,IF($D652="Transferência",0,-$F652)))</f>
        <v/>
      </c>
    </row>
    <row r="653">
      <c r="A653" s="73" t="n"/>
      <c r="B653" s="74" t="n"/>
      <c r="C653" s="74" t="n"/>
      <c r="D653" s="75">
        <f>IF($C653="","",IFERROR(INDEX(CAT_TIPO,MATCH($C653,CAT_NOME,0)),"Sem categoria"))</f>
        <v/>
      </c>
      <c r="E653" s="75">
        <f>IF($C653="","",IFERROR(INDEX(CAT_GRUPO,MATCH($C653,CAT_NOME,0)),"Sem categoria"))</f>
        <v/>
      </c>
      <c r="F653" s="76" t="n"/>
      <c r="G653" s="74" t="n"/>
      <c r="H653" s="74" t="n"/>
      <c r="I653" s="74" t="n"/>
      <c r="J653" s="77" t="n"/>
      <c r="K653" s="77" t="n"/>
      <c r="L653" s="74" t="n"/>
      <c r="M653" s="74" t="n"/>
      <c r="O653" s="78">
        <f>IF($A653="","",YEAR($A653)*100+MONTH($A653))</f>
        <v/>
      </c>
      <c r="P653" s="79">
        <f>IF(OR($F653="",$D653=""),"",IF($D653="Receita",$F653,IF($D653="Transferência",0,-$F653)))</f>
        <v/>
      </c>
    </row>
    <row r="654">
      <c r="A654" s="73" t="n"/>
      <c r="B654" s="74" t="n"/>
      <c r="C654" s="74" t="n"/>
      <c r="D654" s="75">
        <f>IF($C654="","",IFERROR(INDEX(CAT_TIPO,MATCH($C654,CAT_NOME,0)),"Sem categoria"))</f>
        <v/>
      </c>
      <c r="E654" s="75">
        <f>IF($C654="","",IFERROR(INDEX(CAT_GRUPO,MATCH($C654,CAT_NOME,0)),"Sem categoria"))</f>
        <v/>
      </c>
      <c r="F654" s="76" t="n"/>
      <c r="G654" s="74" t="n"/>
      <c r="H654" s="74" t="n"/>
      <c r="I654" s="74" t="n"/>
      <c r="J654" s="77" t="n"/>
      <c r="K654" s="77" t="n"/>
      <c r="L654" s="74" t="n"/>
      <c r="M654" s="74" t="n"/>
      <c r="O654" s="78">
        <f>IF($A654="","",YEAR($A654)*100+MONTH($A654))</f>
        <v/>
      </c>
      <c r="P654" s="79">
        <f>IF(OR($F654="",$D654=""),"",IF($D654="Receita",$F654,IF($D654="Transferência",0,-$F654)))</f>
        <v/>
      </c>
    </row>
    <row r="655">
      <c r="A655" s="73" t="n"/>
      <c r="B655" s="74" t="n"/>
      <c r="C655" s="74" t="n"/>
      <c r="D655" s="75">
        <f>IF($C655="","",IFERROR(INDEX(CAT_TIPO,MATCH($C655,CAT_NOME,0)),"Sem categoria"))</f>
        <v/>
      </c>
      <c r="E655" s="75">
        <f>IF($C655="","",IFERROR(INDEX(CAT_GRUPO,MATCH($C655,CAT_NOME,0)),"Sem categoria"))</f>
        <v/>
      </c>
      <c r="F655" s="76" t="n"/>
      <c r="G655" s="74" t="n"/>
      <c r="H655" s="74" t="n"/>
      <c r="I655" s="74" t="n"/>
      <c r="J655" s="77" t="n"/>
      <c r="K655" s="77" t="n"/>
      <c r="L655" s="74" t="n"/>
      <c r="M655" s="74" t="n"/>
      <c r="O655" s="78">
        <f>IF($A655="","",YEAR($A655)*100+MONTH($A655))</f>
        <v/>
      </c>
      <c r="P655" s="79">
        <f>IF(OR($F655="",$D655=""),"",IF($D655="Receita",$F655,IF($D655="Transferência",0,-$F655)))</f>
        <v/>
      </c>
    </row>
    <row r="656">
      <c r="A656" s="73" t="n"/>
      <c r="B656" s="74" t="n"/>
      <c r="C656" s="74" t="n"/>
      <c r="D656" s="75">
        <f>IF($C656="","",IFERROR(INDEX(CAT_TIPO,MATCH($C656,CAT_NOME,0)),"Sem categoria"))</f>
        <v/>
      </c>
      <c r="E656" s="75">
        <f>IF($C656="","",IFERROR(INDEX(CAT_GRUPO,MATCH($C656,CAT_NOME,0)),"Sem categoria"))</f>
        <v/>
      </c>
      <c r="F656" s="76" t="n"/>
      <c r="G656" s="74" t="n"/>
      <c r="H656" s="74" t="n"/>
      <c r="I656" s="74" t="n"/>
      <c r="J656" s="77" t="n"/>
      <c r="K656" s="77" t="n"/>
      <c r="L656" s="74" t="n"/>
      <c r="M656" s="74" t="n"/>
      <c r="O656" s="78">
        <f>IF($A656="","",YEAR($A656)*100+MONTH($A656))</f>
        <v/>
      </c>
      <c r="P656" s="79">
        <f>IF(OR($F656="",$D656=""),"",IF($D656="Receita",$F656,IF($D656="Transferência",0,-$F656)))</f>
        <v/>
      </c>
    </row>
    <row r="657">
      <c r="A657" s="73" t="n"/>
      <c r="B657" s="74" t="n"/>
      <c r="C657" s="74" t="n"/>
      <c r="D657" s="75">
        <f>IF($C657="","",IFERROR(INDEX(CAT_TIPO,MATCH($C657,CAT_NOME,0)),"Sem categoria"))</f>
        <v/>
      </c>
      <c r="E657" s="75">
        <f>IF($C657="","",IFERROR(INDEX(CAT_GRUPO,MATCH($C657,CAT_NOME,0)),"Sem categoria"))</f>
        <v/>
      </c>
      <c r="F657" s="76" t="n"/>
      <c r="G657" s="74" t="n"/>
      <c r="H657" s="74" t="n"/>
      <c r="I657" s="74" t="n"/>
      <c r="J657" s="77" t="n"/>
      <c r="K657" s="77" t="n"/>
      <c r="L657" s="74" t="n"/>
      <c r="M657" s="74" t="n"/>
      <c r="O657" s="78">
        <f>IF($A657="","",YEAR($A657)*100+MONTH($A657))</f>
        <v/>
      </c>
      <c r="P657" s="79">
        <f>IF(OR($F657="",$D657=""),"",IF($D657="Receita",$F657,IF($D657="Transferência",0,-$F657)))</f>
        <v/>
      </c>
    </row>
    <row r="658">
      <c r="A658" s="73" t="n"/>
      <c r="B658" s="74" t="n"/>
      <c r="C658" s="74" t="n"/>
      <c r="D658" s="75">
        <f>IF($C658="","",IFERROR(INDEX(CAT_TIPO,MATCH($C658,CAT_NOME,0)),"Sem categoria"))</f>
        <v/>
      </c>
      <c r="E658" s="75">
        <f>IF($C658="","",IFERROR(INDEX(CAT_GRUPO,MATCH($C658,CAT_NOME,0)),"Sem categoria"))</f>
        <v/>
      </c>
      <c r="F658" s="76" t="n"/>
      <c r="G658" s="74" t="n"/>
      <c r="H658" s="74" t="n"/>
      <c r="I658" s="74" t="n"/>
      <c r="J658" s="77" t="n"/>
      <c r="K658" s="77" t="n"/>
      <c r="L658" s="74" t="n"/>
      <c r="M658" s="74" t="n"/>
      <c r="O658" s="78">
        <f>IF($A658="","",YEAR($A658)*100+MONTH($A658))</f>
        <v/>
      </c>
      <c r="P658" s="79">
        <f>IF(OR($F658="",$D658=""),"",IF($D658="Receita",$F658,IF($D658="Transferência",0,-$F658)))</f>
        <v/>
      </c>
    </row>
    <row r="659">
      <c r="A659" s="73" t="n"/>
      <c r="B659" s="74" t="n"/>
      <c r="C659" s="74" t="n"/>
      <c r="D659" s="75">
        <f>IF($C659="","",IFERROR(INDEX(CAT_TIPO,MATCH($C659,CAT_NOME,0)),"Sem categoria"))</f>
        <v/>
      </c>
      <c r="E659" s="75">
        <f>IF($C659="","",IFERROR(INDEX(CAT_GRUPO,MATCH($C659,CAT_NOME,0)),"Sem categoria"))</f>
        <v/>
      </c>
      <c r="F659" s="76" t="n"/>
      <c r="G659" s="74" t="n"/>
      <c r="H659" s="74" t="n"/>
      <c r="I659" s="74" t="n"/>
      <c r="J659" s="77" t="n"/>
      <c r="K659" s="77" t="n"/>
      <c r="L659" s="74" t="n"/>
      <c r="M659" s="74" t="n"/>
      <c r="O659" s="78">
        <f>IF($A659="","",YEAR($A659)*100+MONTH($A659))</f>
        <v/>
      </c>
      <c r="P659" s="79">
        <f>IF(OR($F659="",$D659=""),"",IF($D659="Receita",$F659,IF($D659="Transferência",0,-$F659)))</f>
        <v/>
      </c>
    </row>
    <row r="660">
      <c r="A660" s="73" t="n"/>
      <c r="B660" s="74" t="n"/>
      <c r="C660" s="74" t="n"/>
      <c r="D660" s="75">
        <f>IF($C660="","",IFERROR(INDEX(CAT_TIPO,MATCH($C660,CAT_NOME,0)),"Sem categoria"))</f>
        <v/>
      </c>
      <c r="E660" s="75">
        <f>IF($C660="","",IFERROR(INDEX(CAT_GRUPO,MATCH($C660,CAT_NOME,0)),"Sem categoria"))</f>
        <v/>
      </c>
      <c r="F660" s="76" t="n"/>
      <c r="G660" s="74" t="n"/>
      <c r="H660" s="74" t="n"/>
      <c r="I660" s="74" t="n"/>
      <c r="J660" s="77" t="n"/>
      <c r="K660" s="77" t="n"/>
      <c r="L660" s="74" t="n"/>
      <c r="M660" s="74" t="n"/>
      <c r="O660" s="78">
        <f>IF($A660="","",YEAR($A660)*100+MONTH($A660))</f>
        <v/>
      </c>
      <c r="P660" s="79">
        <f>IF(OR($F660="",$D660=""),"",IF($D660="Receita",$F660,IF($D660="Transferência",0,-$F660)))</f>
        <v/>
      </c>
    </row>
    <row r="661">
      <c r="A661" s="73" t="n"/>
      <c r="B661" s="74" t="n"/>
      <c r="C661" s="74" t="n"/>
      <c r="D661" s="75">
        <f>IF($C661="","",IFERROR(INDEX(CAT_TIPO,MATCH($C661,CAT_NOME,0)),"Sem categoria"))</f>
        <v/>
      </c>
      <c r="E661" s="75">
        <f>IF($C661="","",IFERROR(INDEX(CAT_GRUPO,MATCH($C661,CAT_NOME,0)),"Sem categoria"))</f>
        <v/>
      </c>
      <c r="F661" s="76" t="n"/>
      <c r="G661" s="74" t="n"/>
      <c r="H661" s="74" t="n"/>
      <c r="I661" s="74" t="n"/>
      <c r="J661" s="77" t="n"/>
      <c r="K661" s="77" t="n"/>
      <c r="L661" s="74" t="n"/>
      <c r="M661" s="74" t="n"/>
      <c r="O661" s="78">
        <f>IF($A661="","",YEAR($A661)*100+MONTH($A661))</f>
        <v/>
      </c>
      <c r="P661" s="79">
        <f>IF(OR($F661="",$D661=""),"",IF($D661="Receita",$F661,IF($D661="Transferência",0,-$F661)))</f>
        <v/>
      </c>
    </row>
    <row r="662">
      <c r="A662" s="73" t="n"/>
      <c r="B662" s="74" t="n"/>
      <c r="C662" s="74" t="n"/>
      <c r="D662" s="75">
        <f>IF($C662="","",IFERROR(INDEX(CAT_TIPO,MATCH($C662,CAT_NOME,0)),"Sem categoria"))</f>
        <v/>
      </c>
      <c r="E662" s="75">
        <f>IF($C662="","",IFERROR(INDEX(CAT_GRUPO,MATCH($C662,CAT_NOME,0)),"Sem categoria"))</f>
        <v/>
      </c>
      <c r="F662" s="76" t="n"/>
      <c r="G662" s="74" t="n"/>
      <c r="H662" s="74" t="n"/>
      <c r="I662" s="74" t="n"/>
      <c r="J662" s="77" t="n"/>
      <c r="K662" s="77" t="n"/>
      <c r="L662" s="74" t="n"/>
      <c r="M662" s="74" t="n"/>
      <c r="O662" s="78">
        <f>IF($A662="","",YEAR($A662)*100+MONTH($A662))</f>
        <v/>
      </c>
      <c r="P662" s="79">
        <f>IF(OR($F662="",$D662=""),"",IF($D662="Receita",$F662,IF($D662="Transferência",0,-$F662)))</f>
        <v/>
      </c>
    </row>
    <row r="663">
      <c r="A663" s="73" t="n"/>
      <c r="B663" s="74" t="n"/>
      <c r="C663" s="74" t="n"/>
      <c r="D663" s="75">
        <f>IF($C663="","",IFERROR(INDEX(CAT_TIPO,MATCH($C663,CAT_NOME,0)),"Sem categoria"))</f>
        <v/>
      </c>
      <c r="E663" s="75">
        <f>IF($C663="","",IFERROR(INDEX(CAT_GRUPO,MATCH($C663,CAT_NOME,0)),"Sem categoria"))</f>
        <v/>
      </c>
      <c r="F663" s="76" t="n"/>
      <c r="G663" s="74" t="n"/>
      <c r="H663" s="74" t="n"/>
      <c r="I663" s="74" t="n"/>
      <c r="J663" s="77" t="n"/>
      <c r="K663" s="77" t="n"/>
      <c r="L663" s="74" t="n"/>
      <c r="M663" s="74" t="n"/>
      <c r="O663" s="78">
        <f>IF($A663="","",YEAR($A663)*100+MONTH($A663))</f>
        <v/>
      </c>
      <c r="P663" s="79">
        <f>IF(OR($F663="",$D663=""),"",IF($D663="Receita",$F663,IF($D663="Transferência",0,-$F663)))</f>
        <v/>
      </c>
    </row>
    <row r="664">
      <c r="A664" s="73" t="n"/>
      <c r="B664" s="74" t="n"/>
      <c r="C664" s="74" t="n"/>
      <c r="D664" s="75">
        <f>IF($C664="","",IFERROR(INDEX(CAT_TIPO,MATCH($C664,CAT_NOME,0)),"Sem categoria"))</f>
        <v/>
      </c>
      <c r="E664" s="75">
        <f>IF($C664="","",IFERROR(INDEX(CAT_GRUPO,MATCH($C664,CAT_NOME,0)),"Sem categoria"))</f>
        <v/>
      </c>
      <c r="F664" s="76" t="n"/>
      <c r="G664" s="74" t="n"/>
      <c r="H664" s="74" t="n"/>
      <c r="I664" s="74" t="n"/>
      <c r="J664" s="77" t="n"/>
      <c r="K664" s="77" t="n"/>
      <c r="L664" s="74" t="n"/>
      <c r="M664" s="74" t="n"/>
      <c r="O664" s="78">
        <f>IF($A664="","",YEAR($A664)*100+MONTH($A664))</f>
        <v/>
      </c>
      <c r="P664" s="79">
        <f>IF(OR($F664="",$D664=""),"",IF($D664="Receita",$F664,IF($D664="Transferência",0,-$F664)))</f>
        <v/>
      </c>
    </row>
    <row r="665">
      <c r="A665" s="73" t="n"/>
      <c r="B665" s="74" t="n"/>
      <c r="C665" s="74" t="n"/>
      <c r="D665" s="75">
        <f>IF($C665="","",IFERROR(INDEX(CAT_TIPO,MATCH($C665,CAT_NOME,0)),"Sem categoria"))</f>
        <v/>
      </c>
      <c r="E665" s="75">
        <f>IF($C665="","",IFERROR(INDEX(CAT_GRUPO,MATCH($C665,CAT_NOME,0)),"Sem categoria"))</f>
        <v/>
      </c>
      <c r="F665" s="76" t="n"/>
      <c r="G665" s="74" t="n"/>
      <c r="H665" s="74" t="n"/>
      <c r="I665" s="74" t="n"/>
      <c r="J665" s="77" t="n"/>
      <c r="K665" s="77" t="n"/>
      <c r="L665" s="74" t="n"/>
      <c r="M665" s="74" t="n"/>
      <c r="O665" s="78">
        <f>IF($A665="","",YEAR($A665)*100+MONTH($A665))</f>
        <v/>
      </c>
      <c r="P665" s="79">
        <f>IF(OR($F665="",$D665=""),"",IF($D665="Receita",$F665,IF($D665="Transferência",0,-$F665)))</f>
        <v/>
      </c>
    </row>
    <row r="666">
      <c r="A666" s="73" t="n"/>
      <c r="B666" s="74" t="n"/>
      <c r="C666" s="74" t="n"/>
      <c r="D666" s="75">
        <f>IF($C666="","",IFERROR(INDEX(CAT_TIPO,MATCH($C666,CAT_NOME,0)),"Sem categoria"))</f>
        <v/>
      </c>
      <c r="E666" s="75">
        <f>IF($C666="","",IFERROR(INDEX(CAT_GRUPO,MATCH($C666,CAT_NOME,0)),"Sem categoria"))</f>
        <v/>
      </c>
      <c r="F666" s="76" t="n"/>
      <c r="G666" s="74" t="n"/>
      <c r="H666" s="74" t="n"/>
      <c r="I666" s="74" t="n"/>
      <c r="J666" s="77" t="n"/>
      <c r="K666" s="77" t="n"/>
      <c r="L666" s="74" t="n"/>
      <c r="M666" s="74" t="n"/>
      <c r="O666" s="78">
        <f>IF($A666="","",YEAR($A666)*100+MONTH($A666))</f>
        <v/>
      </c>
      <c r="P666" s="79">
        <f>IF(OR($F666="",$D666=""),"",IF($D666="Receita",$F666,IF($D666="Transferência",0,-$F666)))</f>
        <v/>
      </c>
    </row>
    <row r="667">
      <c r="A667" s="73" t="n"/>
      <c r="B667" s="74" t="n"/>
      <c r="C667" s="74" t="n"/>
      <c r="D667" s="75">
        <f>IF($C667="","",IFERROR(INDEX(CAT_TIPO,MATCH($C667,CAT_NOME,0)),"Sem categoria"))</f>
        <v/>
      </c>
      <c r="E667" s="75">
        <f>IF($C667="","",IFERROR(INDEX(CAT_GRUPO,MATCH($C667,CAT_NOME,0)),"Sem categoria"))</f>
        <v/>
      </c>
      <c r="F667" s="76" t="n"/>
      <c r="G667" s="74" t="n"/>
      <c r="H667" s="74" t="n"/>
      <c r="I667" s="74" t="n"/>
      <c r="J667" s="77" t="n"/>
      <c r="K667" s="77" t="n"/>
      <c r="L667" s="74" t="n"/>
      <c r="M667" s="74" t="n"/>
      <c r="O667" s="78">
        <f>IF($A667="","",YEAR($A667)*100+MONTH($A667))</f>
        <v/>
      </c>
      <c r="P667" s="79">
        <f>IF(OR($F667="",$D667=""),"",IF($D667="Receita",$F667,IF($D667="Transferência",0,-$F667)))</f>
        <v/>
      </c>
    </row>
    <row r="668">
      <c r="A668" s="73" t="n"/>
      <c r="B668" s="74" t="n"/>
      <c r="C668" s="74" t="n"/>
      <c r="D668" s="75">
        <f>IF($C668="","",IFERROR(INDEX(CAT_TIPO,MATCH($C668,CAT_NOME,0)),"Sem categoria"))</f>
        <v/>
      </c>
      <c r="E668" s="75">
        <f>IF($C668="","",IFERROR(INDEX(CAT_GRUPO,MATCH($C668,CAT_NOME,0)),"Sem categoria"))</f>
        <v/>
      </c>
      <c r="F668" s="76" t="n"/>
      <c r="G668" s="74" t="n"/>
      <c r="H668" s="74" t="n"/>
      <c r="I668" s="74" t="n"/>
      <c r="J668" s="77" t="n"/>
      <c r="K668" s="77" t="n"/>
      <c r="L668" s="74" t="n"/>
      <c r="M668" s="74" t="n"/>
      <c r="O668" s="78">
        <f>IF($A668="","",YEAR($A668)*100+MONTH($A668))</f>
        <v/>
      </c>
      <c r="P668" s="79">
        <f>IF(OR($F668="",$D668=""),"",IF($D668="Receita",$F668,IF($D668="Transferência",0,-$F668)))</f>
        <v/>
      </c>
    </row>
    <row r="669">
      <c r="A669" s="73" t="n"/>
      <c r="B669" s="74" t="n"/>
      <c r="C669" s="74" t="n"/>
      <c r="D669" s="75">
        <f>IF($C669="","",IFERROR(INDEX(CAT_TIPO,MATCH($C669,CAT_NOME,0)),"Sem categoria"))</f>
        <v/>
      </c>
      <c r="E669" s="75">
        <f>IF($C669="","",IFERROR(INDEX(CAT_GRUPO,MATCH($C669,CAT_NOME,0)),"Sem categoria"))</f>
        <v/>
      </c>
      <c r="F669" s="76" t="n"/>
      <c r="G669" s="74" t="n"/>
      <c r="H669" s="74" t="n"/>
      <c r="I669" s="74" t="n"/>
      <c r="J669" s="77" t="n"/>
      <c r="K669" s="77" t="n"/>
      <c r="L669" s="74" t="n"/>
      <c r="M669" s="74" t="n"/>
      <c r="O669" s="78">
        <f>IF($A669="","",YEAR($A669)*100+MONTH($A669))</f>
        <v/>
      </c>
      <c r="P669" s="79">
        <f>IF(OR($F669="",$D669=""),"",IF($D669="Receita",$F669,IF($D669="Transferência",0,-$F669)))</f>
        <v/>
      </c>
    </row>
    <row r="670">
      <c r="A670" s="73" t="n"/>
      <c r="B670" s="74" t="n"/>
      <c r="C670" s="74" t="n"/>
      <c r="D670" s="75">
        <f>IF($C670="","",IFERROR(INDEX(CAT_TIPO,MATCH($C670,CAT_NOME,0)),"Sem categoria"))</f>
        <v/>
      </c>
      <c r="E670" s="75">
        <f>IF($C670="","",IFERROR(INDEX(CAT_GRUPO,MATCH($C670,CAT_NOME,0)),"Sem categoria"))</f>
        <v/>
      </c>
      <c r="F670" s="76" t="n"/>
      <c r="G670" s="74" t="n"/>
      <c r="H670" s="74" t="n"/>
      <c r="I670" s="74" t="n"/>
      <c r="J670" s="77" t="n"/>
      <c r="K670" s="77" t="n"/>
      <c r="L670" s="74" t="n"/>
      <c r="M670" s="74" t="n"/>
      <c r="O670" s="78">
        <f>IF($A670="","",YEAR($A670)*100+MONTH($A670))</f>
        <v/>
      </c>
      <c r="P670" s="79">
        <f>IF(OR($F670="",$D670=""),"",IF($D670="Receita",$F670,IF($D670="Transferência",0,-$F670)))</f>
        <v/>
      </c>
    </row>
    <row r="671">
      <c r="A671" s="73" t="n"/>
      <c r="B671" s="74" t="n"/>
      <c r="C671" s="74" t="n"/>
      <c r="D671" s="75">
        <f>IF($C671="","",IFERROR(INDEX(CAT_TIPO,MATCH($C671,CAT_NOME,0)),"Sem categoria"))</f>
        <v/>
      </c>
      <c r="E671" s="75">
        <f>IF($C671="","",IFERROR(INDEX(CAT_GRUPO,MATCH($C671,CAT_NOME,0)),"Sem categoria"))</f>
        <v/>
      </c>
      <c r="F671" s="76" t="n"/>
      <c r="G671" s="74" t="n"/>
      <c r="H671" s="74" t="n"/>
      <c r="I671" s="74" t="n"/>
      <c r="J671" s="77" t="n"/>
      <c r="K671" s="77" t="n"/>
      <c r="L671" s="74" t="n"/>
      <c r="M671" s="74" t="n"/>
      <c r="O671" s="78">
        <f>IF($A671="","",YEAR($A671)*100+MONTH($A671))</f>
        <v/>
      </c>
      <c r="P671" s="79">
        <f>IF(OR($F671="",$D671=""),"",IF($D671="Receita",$F671,IF($D671="Transferência",0,-$F671)))</f>
        <v/>
      </c>
    </row>
    <row r="672">
      <c r="A672" s="73" t="n"/>
      <c r="B672" s="74" t="n"/>
      <c r="C672" s="74" t="n"/>
      <c r="D672" s="75">
        <f>IF($C672="","",IFERROR(INDEX(CAT_TIPO,MATCH($C672,CAT_NOME,0)),"Sem categoria"))</f>
        <v/>
      </c>
      <c r="E672" s="75">
        <f>IF($C672="","",IFERROR(INDEX(CAT_GRUPO,MATCH($C672,CAT_NOME,0)),"Sem categoria"))</f>
        <v/>
      </c>
      <c r="F672" s="76" t="n"/>
      <c r="G672" s="74" t="n"/>
      <c r="H672" s="74" t="n"/>
      <c r="I672" s="74" t="n"/>
      <c r="J672" s="77" t="n"/>
      <c r="K672" s="77" t="n"/>
      <c r="L672" s="74" t="n"/>
      <c r="M672" s="74" t="n"/>
      <c r="O672" s="78">
        <f>IF($A672="","",YEAR($A672)*100+MONTH($A672))</f>
        <v/>
      </c>
      <c r="P672" s="79">
        <f>IF(OR($F672="",$D672=""),"",IF($D672="Receita",$F672,IF($D672="Transferência",0,-$F672)))</f>
        <v/>
      </c>
    </row>
    <row r="673">
      <c r="A673" s="73" t="n"/>
      <c r="B673" s="74" t="n"/>
      <c r="C673" s="74" t="n"/>
      <c r="D673" s="75">
        <f>IF($C673="","",IFERROR(INDEX(CAT_TIPO,MATCH($C673,CAT_NOME,0)),"Sem categoria"))</f>
        <v/>
      </c>
      <c r="E673" s="75">
        <f>IF($C673="","",IFERROR(INDEX(CAT_GRUPO,MATCH($C673,CAT_NOME,0)),"Sem categoria"))</f>
        <v/>
      </c>
      <c r="F673" s="76" t="n"/>
      <c r="G673" s="74" t="n"/>
      <c r="H673" s="74" t="n"/>
      <c r="I673" s="74" t="n"/>
      <c r="J673" s="77" t="n"/>
      <c r="K673" s="77" t="n"/>
      <c r="L673" s="74" t="n"/>
      <c r="M673" s="74" t="n"/>
      <c r="O673" s="78">
        <f>IF($A673="","",YEAR($A673)*100+MONTH($A673))</f>
        <v/>
      </c>
      <c r="P673" s="79">
        <f>IF(OR($F673="",$D673=""),"",IF($D673="Receita",$F673,IF($D673="Transferência",0,-$F673)))</f>
        <v/>
      </c>
    </row>
    <row r="674">
      <c r="A674" s="73" t="n"/>
      <c r="B674" s="74" t="n"/>
      <c r="C674" s="74" t="n"/>
      <c r="D674" s="75">
        <f>IF($C674="","",IFERROR(INDEX(CAT_TIPO,MATCH($C674,CAT_NOME,0)),"Sem categoria"))</f>
        <v/>
      </c>
      <c r="E674" s="75">
        <f>IF($C674="","",IFERROR(INDEX(CAT_GRUPO,MATCH($C674,CAT_NOME,0)),"Sem categoria"))</f>
        <v/>
      </c>
      <c r="F674" s="76" t="n"/>
      <c r="G674" s="74" t="n"/>
      <c r="H674" s="74" t="n"/>
      <c r="I674" s="74" t="n"/>
      <c r="J674" s="77" t="n"/>
      <c r="K674" s="77" t="n"/>
      <c r="L674" s="74" t="n"/>
      <c r="M674" s="74" t="n"/>
      <c r="O674" s="78">
        <f>IF($A674="","",YEAR($A674)*100+MONTH($A674))</f>
        <v/>
      </c>
      <c r="P674" s="79">
        <f>IF(OR($F674="",$D674=""),"",IF($D674="Receita",$F674,IF($D674="Transferência",0,-$F674)))</f>
        <v/>
      </c>
    </row>
    <row r="675">
      <c r="A675" s="73" t="n"/>
      <c r="B675" s="74" t="n"/>
      <c r="C675" s="74" t="n"/>
      <c r="D675" s="75">
        <f>IF($C675="","",IFERROR(INDEX(CAT_TIPO,MATCH($C675,CAT_NOME,0)),"Sem categoria"))</f>
        <v/>
      </c>
      <c r="E675" s="75">
        <f>IF($C675="","",IFERROR(INDEX(CAT_GRUPO,MATCH($C675,CAT_NOME,0)),"Sem categoria"))</f>
        <v/>
      </c>
      <c r="F675" s="76" t="n"/>
      <c r="G675" s="74" t="n"/>
      <c r="H675" s="74" t="n"/>
      <c r="I675" s="74" t="n"/>
      <c r="J675" s="77" t="n"/>
      <c r="K675" s="77" t="n"/>
      <c r="L675" s="74" t="n"/>
      <c r="M675" s="74" t="n"/>
      <c r="O675" s="78">
        <f>IF($A675="","",YEAR($A675)*100+MONTH($A675))</f>
        <v/>
      </c>
      <c r="P675" s="79">
        <f>IF(OR($F675="",$D675=""),"",IF($D675="Receita",$F675,IF($D675="Transferência",0,-$F675)))</f>
        <v/>
      </c>
    </row>
    <row r="676">
      <c r="A676" s="73" t="n"/>
      <c r="B676" s="74" t="n"/>
      <c r="C676" s="74" t="n"/>
      <c r="D676" s="75">
        <f>IF($C676="","",IFERROR(INDEX(CAT_TIPO,MATCH($C676,CAT_NOME,0)),"Sem categoria"))</f>
        <v/>
      </c>
      <c r="E676" s="75">
        <f>IF($C676="","",IFERROR(INDEX(CAT_GRUPO,MATCH($C676,CAT_NOME,0)),"Sem categoria"))</f>
        <v/>
      </c>
      <c r="F676" s="76" t="n"/>
      <c r="G676" s="74" t="n"/>
      <c r="H676" s="74" t="n"/>
      <c r="I676" s="74" t="n"/>
      <c r="J676" s="77" t="n"/>
      <c r="K676" s="77" t="n"/>
      <c r="L676" s="74" t="n"/>
      <c r="M676" s="74" t="n"/>
      <c r="O676" s="78">
        <f>IF($A676="","",YEAR($A676)*100+MONTH($A676))</f>
        <v/>
      </c>
      <c r="P676" s="79">
        <f>IF(OR($F676="",$D676=""),"",IF($D676="Receita",$F676,IF($D676="Transferência",0,-$F676)))</f>
        <v/>
      </c>
    </row>
    <row r="677">
      <c r="A677" s="73" t="n"/>
      <c r="B677" s="74" t="n"/>
      <c r="C677" s="74" t="n"/>
      <c r="D677" s="75">
        <f>IF($C677="","",IFERROR(INDEX(CAT_TIPO,MATCH($C677,CAT_NOME,0)),"Sem categoria"))</f>
        <v/>
      </c>
      <c r="E677" s="75">
        <f>IF($C677="","",IFERROR(INDEX(CAT_GRUPO,MATCH($C677,CAT_NOME,0)),"Sem categoria"))</f>
        <v/>
      </c>
      <c r="F677" s="76" t="n"/>
      <c r="G677" s="74" t="n"/>
      <c r="H677" s="74" t="n"/>
      <c r="I677" s="74" t="n"/>
      <c r="J677" s="77" t="n"/>
      <c r="K677" s="77" t="n"/>
      <c r="L677" s="74" t="n"/>
      <c r="M677" s="74" t="n"/>
      <c r="O677" s="78">
        <f>IF($A677="","",YEAR($A677)*100+MONTH($A677))</f>
        <v/>
      </c>
      <c r="P677" s="79">
        <f>IF(OR($F677="",$D677=""),"",IF($D677="Receita",$F677,IF($D677="Transferência",0,-$F677)))</f>
        <v/>
      </c>
    </row>
    <row r="678">
      <c r="A678" s="73" t="n"/>
      <c r="B678" s="74" t="n"/>
      <c r="C678" s="74" t="n"/>
      <c r="D678" s="75">
        <f>IF($C678="","",IFERROR(INDEX(CAT_TIPO,MATCH($C678,CAT_NOME,0)),"Sem categoria"))</f>
        <v/>
      </c>
      <c r="E678" s="75">
        <f>IF($C678="","",IFERROR(INDEX(CAT_GRUPO,MATCH($C678,CAT_NOME,0)),"Sem categoria"))</f>
        <v/>
      </c>
      <c r="F678" s="76" t="n"/>
      <c r="G678" s="74" t="n"/>
      <c r="H678" s="74" t="n"/>
      <c r="I678" s="74" t="n"/>
      <c r="J678" s="77" t="n"/>
      <c r="K678" s="77" t="n"/>
      <c r="L678" s="74" t="n"/>
      <c r="M678" s="74" t="n"/>
      <c r="O678" s="78">
        <f>IF($A678="","",YEAR($A678)*100+MONTH($A678))</f>
        <v/>
      </c>
      <c r="P678" s="79">
        <f>IF(OR($F678="",$D678=""),"",IF($D678="Receita",$F678,IF($D678="Transferência",0,-$F678)))</f>
        <v/>
      </c>
    </row>
    <row r="679">
      <c r="A679" s="73" t="n"/>
      <c r="B679" s="74" t="n"/>
      <c r="C679" s="74" t="n"/>
      <c r="D679" s="75">
        <f>IF($C679="","",IFERROR(INDEX(CAT_TIPO,MATCH($C679,CAT_NOME,0)),"Sem categoria"))</f>
        <v/>
      </c>
      <c r="E679" s="75">
        <f>IF($C679="","",IFERROR(INDEX(CAT_GRUPO,MATCH($C679,CAT_NOME,0)),"Sem categoria"))</f>
        <v/>
      </c>
      <c r="F679" s="76" t="n"/>
      <c r="G679" s="74" t="n"/>
      <c r="H679" s="74" t="n"/>
      <c r="I679" s="74" t="n"/>
      <c r="J679" s="77" t="n"/>
      <c r="K679" s="77" t="n"/>
      <c r="L679" s="74" t="n"/>
      <c r="M679" s="74" t="n"/>
      <c r="O679" s="78">
        <f>IF($A679="","",YEAR($A679)*100+MONTH($A679))</f>
        <v/>
      </c>
      <c r="P679" s="79">
        <f>IF(OR($F679="",$D679=""),"",IF($D679="Receita",$F679,IF($D679="Transferência",0,-$F679)))</f>
        <v/>
      </c>
    </row>
    <row r="680">
      <c r="A680" s="73" t="n"/>
      <c r="B680" s="74" t="n"/>
      <c r="C680" s="74" t="n"/>
      <c r="D680" s="75">
        <f>IF($C680="","",IFERROR(INDEX(CAT_TIPO,MATCH($C680,CAT_NOME,0)),"Sem categoria"))</f>
        <v/>
      </c>
      <c r="E680" s="75">
        <f>IF($C680="","",IFERROR(INDEX(CAT_GRUPO,MATCH($C680,CAT_NOME,0)),"Sem categoria"))</f>
        <v/>
      </c>
      <c r="F680" s="76" t="n"/>
      <c r="G680" s="74" t="n"/>
      <c r="H680" s="74" t="n"/>
      <c r="I680" s="74" t="n"/>
      <c r="J680" s="77" t="n"/>
      <c r="K680" s="77" t="n"/>
      <c r="L680" s="74" t="n"/>
      <c r="M680" s="74" t="n"/>
      <c r="O680" s="78">
        <f>IF($A680="","",YEAR($A680)*100+MONTH($A680))</f>
        <v/>
      </c>
      <c r="P680" s="79">
        <f>IF(OR($F680="",$D680=""),"",IF($D680="Receita",$F680,IF($D680="Transferência",0,-$F680)))</f>
        <v/>
      </c>
    </row>
    <row r="681">
      <c r="A681" s="73" t="n"/>
      <c r="B681" s="74" t="n"/>
      <c r="C681" s="74" t="n"/>
      <c r="D681" s="75">
        <f>IF($C681="","",IFERROR(INDEX(CAT_TIPO,MATCH($C681,CAT_NOME,0)),"Sem categoria"))</f>
        <v/>
      </c>
      <c r="E681" s="75">
        <f>IF($C681="","",IFERROR(INDEX(CAT_GRUPO,MATCH($C681,CAT_NOME,0)),"Sem categoria"))</f>
        <v/>
      </c>
      <c r="F681" s="76" t="n"/>
      <c r="G681" s="74" t="n"/>
      <c r="H681" s="74" t="n"/>
      <c r="I681" s="74" t="n"/>
      <c r="J681" s="77" t="n"/>
      <c r="K681" s="77" t="n"/>
      <c r="L681" s="74" t="n"/>
      <c r="M681" s="74" t="n"/>
      <c r="O681" s="78">
        <f>IF($A681="","",YEAR($A681)*100+MONTH($A681))</f>
        <v/>
      </c>
      <c r="P681" s="79">
        <f>IF(OR($F681="",$D681=""),"",IF($D681="Receita",$F681,IF($D681="Transferência",0,-$F681)))</f>
        <v/>
      </c>
    </row>
    <row r="682">
      <c r="A682" s="73" t="n"/>
      <c r="B682" s="74" t="n"/>
      <c r="C682" s="74" t="n"/>
      <c r="D682" s="75">
        <f>IF($C682="","",IFERROR(INDEX(CAT_TIPO,MATCH($C682,CAT_NOME,0)),"Sem categoria"))</f>
        <v/>
      </c>
      <c r="E682" s="75">
        <f>IF($C682="","",IFERROR(INDEX(CAT_GRUPO,MATCH($C682,CAT_NOME,0)),"Sem categoria"))</f>
        <v/>
      </c>
      <c r="F682" s="76" t="n"/>
      <c r="G682" s="74" t="n"/>
      <c r="H682" s="74" t="n"/>
      <c r="I682" s="74" t="n"/>
      <c r="J682" s="77" t="n"/>
      <c r="K682" s="77" t="n"/>
      <c r="L682" s="74" t="n"/>
      <c r="M682" s="74" t="n"/>
      <c r="O682" s="78">
        <f>IF($A682="","",YEAR($A682)*100+MONTH($A682))</f>
        <v/>
      </c>
      <c r="P682" s="79">
        <f>IF(OR($F682="",$D682=""),"",IF($D682="Receita",$F682,IF($D682="Transferência",0,-$F682)))</f>
        <v/>
      </c>
    </row>
    <row r="683">
      <c r="A683" s="73" t="n"/>
      <c r="B683" s="74" t="n"/>
      <c r="C683" s="74" t="n"/>
      <c r="D683" s="75">
        <f>IF($C683="","",IFERROR(INDEX(CAT_TIPO,MATCH($C683,CAT_NOME,0)),"Sem categoria"))</f>
        <v/>
      </c>
      <c r="E683" s="75">
        <f>IF($C683="","",IFERROR(INDEX(CAT_GRUPO,MATCH($C683,CAT_NOME,0)),"Sem categoria"))</f>
        <v/>
      </c>
      <c r="F683" s="76" t="n"/>
      <c r="G683" s="74" t="n"/>
      <c r="H683" s="74" t="n"/>
      <c r="I683" s="74" t="n"/>
      <c r="J683" s="77" t="n"/>
      <c r="K683" s="77" t="n"/>
      <c r="L683" s="74" t="n"/>
      <c r="M683" s="74" t="n"/>
      <c r="O683" s="78">
        <f>IF($A683="","",YEAR($A683)*100+MONTH($A683))</f>
        <v/>
      </c>
      <c r="P683" s="79">
        <f>IF(OR($F683="",$D683=""),"",IF($D683="Receita",$F683,IF($D683="Transferência",0,-$F683)))</f>
        <v/>
      </c>
    </row>
    <row r="684">
      <c r="A684" s="73" t="n"/>
      <c r="B684" s="74" t="n"/>
      <c r="C684" s="74" t="n"/>
      <c r="D684" s="75">
        <f>IF($C684="","",IFERROR(INDEX(CAT_TIPO,MATCH($C684,CAT_NOME,0)),"Sem categoria"))</f>
        <v/>
      </c>
      <c r="E684" s="75">
        <f>IF($C684="","",IFERROR(INDEX(CAT_GRUPO,MATCH($C684,CAT_NOME,0)),"Sem categoria"))</f>
        <v/>
      </c>
      <c r="F684" s="76" t="n"/>
      <c r="G684" s="74" t="n"/>
      <c r="H684" s="74" t="n"/>
      <c r="I684" s="74" t="n"/>
      <c r="J684" s="77" t="n"/>
      <c r="K684" s="77" t="n"/>
      <c r="L684" s="74" t="n"/>
      <c r="M684" s="74" t="n"/>
      <c r="O684" s="78">
        <f>IF($A684="","",YEAR($A684)*100+MONTH($A684))</f>
        <v/>
      </c>
      <c r="P684" s="79">
        <f>IF(OR($F684="",$D684=""),"",IF($D684="Receita",$F684,IF($D684="Transferência",0,-$F684)))</f>
        <v/>
      </c>
    </row>
    <row r="685">
      <c r="A685" s="73" t="n"/>
      <c r="B685" s="74" t="n"/>
      <c r="C685" s="74" t="n"/>
      <c r="D685" s="75">
        <f>IF($C685="","",IFERROR(INDEX(CAT_TIPO,MATCH($C685,CAT_NOME,0)),"Sem categoria"))</f>
        <v/>
      </c>
      <c r="E685" s="75">
        <f>IF($C685="","",IFERROR(INDEX(CAT_GRUPO,MATCH($C685,CAT_NOME,0)),"Sem categoria"))</f>
        <v/>
      </c>
      <c r="F685" s="76" t="n"/>
      <c r="G685" s="74" t="n"/>
      <c r="H685" s="74" t="n"/>
      <c r="I685" s="74" t="n"/>
      <c r="J685" s="77" t="n"/>
      <c r="K685" s="77" t="n"/>
      <c r="L685" s="74" t="n"/>
      <c r="M685" s="74" t="n"/>
      <c r="O685" s="78">
        <f>IF($A685="","",YEAR($A685)*100+MONTH($A685))</f>
        <v/>
      </c>
      <c r="P685" s="79">
        <f>IF(OR($F685="",$D685=""),"",IF($D685="Receita",$F685,IF($D685="Transferência",0,-$F685)))</f>
        <v/>
      </c>
    </row>
    <row r="686">
      <c r="A686" s="73" t="n"/>
      <c r="B686" s="74" t="n"/>
      <c r="C686" s="74" t="n"/>
      <c r="D686" s="75">
        <f>IF($C686="","",IFERROR(INDEX(CAT_TIPO,MATCH($C686,CAT_NOME,0)),"Sem categoria"))</f>
        <v/>
      </c>
      <c r="E686" s="75">
        <f>IF($C686="","",IFERROR(INDEX(CAT_GRUPO,MATCH($C686,CAT_NOME,0)),"Sem categoria"))</f>
        <v/>
      </c>
      <c r="F686" s="76" t="n"/>
      <c r="G686" s="74" t="n"/>
      <c r="H686" s="74" t="n"/>
      <c r="I686" s="74" t="n"/>
      <c r="J686" s="77" t="n"/>
      <c r="K686" s="77" t="n"/>
      <c r="L686" s="74" t="n"/>
      <c r="M686" s="74" t="n"/>
      <c r="O686" s="78">
        <f>IF($A686="","",YEAR($A686)*100+MONTH($A686))</f>
        <v/>
      </c>
      <c r="P686" s="79">
        <f>IF(OR($F686="",$D686=""),"",IF($D686="Receita",$F686,IF($D686="Transferência",0,-$F686)))</f>
        <v/>
      </c>
    </row>
    <row r="687">
      <c r="A687" s="73" t="n"/>
      <c r="B687" s="74" t="n"/>
      <c r="C687" s="74" t="n"/>
      <c r="D687" s="75">
        <f>IF($C687="","",IFERROR(INDEX(CAT_TIPO,MATCH($C687,CAT_NOME,0)),"Sem categoria"))</f>
        <v/>
      </c>
      <c r="E687" s="75">
        <f>IF($C687="","",IFERROR(INDEX(CAT_GRUPO,MATCH($C687,CAT_NOME,0)),"Sem categoria"))</f>
        <v/>
      </c>
      <c r="F687" s="76" t="n"/>
      <c r="G687" s="74" t="n"/>
      <c r="H687" s="74" t="n"/>
      <c r="I687" s="74" t="n"/>
      <c r="J687" s="77" t="n"/>
      <c r="K687" s="77" t="n"/>
      <c r="L687" s="74" t="n"/>
      <c r="M687" s="74" t="n"/>
      <c r="O687" s="78">
        <f>IF($A687="","",YEAR($A687)*100+MONTH($A687))</f>
        <v/>
      </c>
      <c r="P687" s="79">
        <f>IF(OR($F687="",$D687=""),"",IF($D687="Receita",$F687,IF($D687="Transferência",0,-$F687)))</f>
        <v/>
      </c>
    </row>
    <row r="688">
      <c r="A688" s="73" t="n"/>
      <c r="B688" s="74" t="n"/>
      <c r="C688" s="74" t="n"/>
      <c r="D688" s="75">
        <f>IF($C688="","",IFERROR(INDEX(CAT_TIPO,MATCH($C688,CAT_NOME,0)),"Sem categoria"))</f>
        <v/>
      </c>
      <c r="E688" s="75">
        <f>IF($C688="","",IFERROR(INDEX(CAT_GRUPO,MATCH($C688,CAT_NOME,0)),"Sem categoria"))</f>
        <v/>
      </c>
      <c r="F688" s="76" t="n"/>
      <c r="G688" s="74" t="n"/>
      <c r="H688" s="74" t="n"/>
      <c r="I688" s="74" t="n"/>
      <c r="J688" s="77" t="n"/>
      <c r="K688" s="77" t="n"/>
      <c r="L688" s="74" t="n"/>
      <c r="M688" s="74" t="n"/>
      <c r="O688" s="78">
        <f>IF($A688="","",YEAR($A688)*100+MONTH($A688))</f>
        <v/>
      </c>
      <c r="P688" s="79">
        <f>IF(OR($F688="",$D688=""),"",IF($D688="Receita",$F688,IF($D688="Transferência",0,-$F688)))</f>
        <v/>
      </c>
    </row>
    <row r="689">
      <c r="A689" s="73" t="n"/>
      <c r="B689" s="74" t="n"/>
      <c r="C689" s="74" t="n"/>
      <c r="D689" s="75">
        <f>IF($C689="","",IFERROR(INDEX(CAT_TIPO,MATCH($C689,CAT_NOME,0)),"Sem categoria"))</f>
        <v/>
      </c>
      <c r="E689" s="75">
        <f>IF($C689="","",IFERROR(INDEX(CAT_GRUPO,MATCH($C689,CAT_NOME,0)),"Sem categoria"))</f>
        <v/>
      </c>
      <c r="F689" s="76" t="n"/>
      <c r="G689" s="74" t="n"/>
      <c r="H689" s="74" t="n"/>
      <c r="I689" s="74" t="n"/>
      <c r="J689" s="77" t="n"/>
      <c r="K689" s="77" t="n"/>
      <c r="L689" s="74" t="n"/>
      <c r="M689" s="74" t="n"/>
      <c r="O689" s="78">
        <f>IF($A689="","",YEAR($A689)*100+MONTH($A689))</f>
        <v/>
      </c>
      <c r="P689" s="79">
        <f>IF(OR($F689="",$D689=""),"",IF($D689="Receita",$F689,IF($D689="Transferência",0,-$F689)))</f>
        <v/>
      </c>
    </row>
    <row r="690">
      <c r="A690" s="73" t="n"/>
      <c r="B690" s="74" t="n"/>
      <c r="C690" s="74" t="n"/>
      <c r="D690" s="75">
        <f>IF($C690="","",IFERROR(INDEX(CAT_TIPO,MATCH($C690,CAT_NOME,0)),"Sem categoria"))</f>
        <v/>
      </c>
      <c r="E690" s="75">
        <f>IF($C690="","",IFERROR(INDEX(CAT_GRUPO,MATCH($C690,CAT_NOME,0)),"Sem categoria"))</f>
        <v/>
      </c>
      <c r="F690" s="76" t="n"/>
      <c r="G690" s="74" t="n"/>
      <c r="H690" s="74" t="n"/>
      <c r="I690" s="74" t="n"/>
      <c r="J690" s="77" t="n"/>
      <c r="K690" s="77" t="n"/>
      <c r="L690" s="74" t="n"/>
      <c r="M690" s="74" t="n"/>
      <c r="O690" s="78">
        <f>IF($A690="","",YEAR($A690)*100+MONTH($A690))</f>
        <v/>
      </c>
      <c r="P690" s="79">
        <f>IF(OR($F690="",$D690=""),"",IF($D690="Receita",$F690,IF($D690="Transferência",0,-$F690)))</f>
        <v/>
      </c>
    </row>
    <row r="691">
      <c r="A691" s="73" t="n"/>
      <c r="B691" s="74" t="n"/>
      <c r="C691" s="74" t="n"/>
      <c r="D691" s="75">
        <f>IF($C691="","",IFERROR(INDEX(CAT_TIPO,MATCH($C691,CAT_NOME,0)),"Sem categoria"))</f>
        <v/>
      </c>
      <c r="E691" s="75">
        <f>IF($C691="","",IFERROR(INDEX(CAT_GRUPO,MATCH($C691,CAT_NOME,0)),"Sem categoria"))</f>
        <v/>
      </c>
      <c r="F691" s="76" t="n"/>
      <c r="G691" s="74" t="n"/>
      <c r="H691" s="74" t="n"/>
      <c r="I691" s="74" t="n"/>
      <c r="J691" s="77" t="n"/>
      <c r="K691" s="77" t="n"/>
      <c r="L691" s="74" t="n"/>
      <c r="M691" s="74" t="n"/>
      <c r="O691" s="78">
        <f>IF($A691="","",YEAR($A691)*100+MONTH($A691))</f>
        <v/>
      </c>
      <c r="P691" s="79">
        <f>IF(OR($F691="",$D691=""),"",IF($D691="Receita",$F691,IF($D691="Transferência",0,-$F691)))</f>
        <v/>
      </c>
    </row>
    <row r="692">
      <c r="A692" s="73" t="n"/>
      <c r="B692" s="74" t="n"/>
      <c r="C692" s="74" t="n"/>
      <c r="D692" s="75">
        <f>IF($C692="","",IFERROR(INDEX(CAT_TIPO,MATCH($C692,CAT_NOME,0)),"Sem categoria"))</f>
        <v/>
      </c>
      <c r="E692" s="75">
        <f>IF($C692="","",IFERROR(INDEX(CAT_GRUPO,MATCH($C692,CAT_NOME,0)),"Sem categoria"))</f>
        <v/>
      </c>
      <c r="F692" s="76" t="n"/>
      <c r="G692" s="74" t="n"/>
      <c r="H692" s="74" t="n"/>
      <c r="I692" s="74" t="n"/>
      <c r="J692" s="77" t="n"/>
      <c r="K692" s="77" t="n"/>
      <c r="L692" s="74" t="n"/>
      <c r="M692" s="74" t="n"/>
      <c r="O692" s="78">
        <f>IF($A692="","",YEAR($A692)*100+MONTH($A692))</f>
        <v/>
      </c>
      <c r="P692" s="79">
        <f>IF(OR($F692="",$D692=""),"",IF($D692="Receita",$F692,IF($D692="Transferência",0,-$F692)))</f>
        <v/>
      </c>
    </row>
    <row r="693">
      <c r="A693" s="73" t="n"/>
      <c r="B693" s="74" t="n"/>
      <c r="C693" s="74" t="n"/>
      <c r="D693" s="75">
        <f>IF($C693="","",IFERROR(INDEX(CAT_TIPO,MATCH($C693,CAT_NOME,0)),"Sem categoria"))</f>
        <v/>
      </c>
      <c r="E693" s="75">
        <f>IF($C693="","",IFERROR(INDEX(CAT_GRUPO,MATCH($C693,CAT_NOME,0)),"Sem categoria"))</f>
        <v/>
      </c>
      <c r="F693" s="76" t="n"/>
      <c r="G693" s="74" t="n"/>
      <c r="H693" s="74" t="n"/>
      <c r="I693" s="74" t="n"/>
      <c r="J693" s="77" t="n"/>
      <c r="K693" s="77" t="n"/>
      <c r="L693" s="74" t="n"/>
      <c r="M693" s="74" t="n"/>
      <c r="O693" s="78">
        <f>IF($A693="","",YEAR($A693)*100+MONTH($A693))</f>
        <v/>
      </c>
      <c r="P693" s="79">
        <f>IF(OR($F693="",$D693=""),"",IF($D693="Receita",$F693,IF($D693="Transferência",0,-$F693)))</f>
        <v/>
      </c>
    </row>
    <row r="694">
      <c r="A694" s="73" t="n"/>
      <c r="B694" s="74" t="n"/>
      <c r="C694" s="74" t="n"/>
      <c r="D694" s="75">
        <f>IF($C694="","",IFERROR(INDEX(CAT_TIPO,MATCH($C694,CAT_NOME,0)),"Sem categoria"))</f>
        <v/>
      </c>
      <c r="E694" s="75">
        <f>IF($C694="","",IFERROR(INDEX(CAT_GRUPO,MATCH($C694,CAT_NOME,0)),"Sem categoria"))</f>
        <v/>
      </c>
      <c r="F694" s="76" t="n"/>
      <c r="G694" s="74" t="n"/>
      <c r="H694" s="74" t="n"/>
      <c r="I694" s="74" t="n"/>
      <c r="J694" s="77" t="n"/>
      <c r="K694" s="77" t="n"/>
      <c r="L694" s="74" t="n"/>
      <c r="M694" s="74" t="n"/>
      <c r="O694" s="78">
        <f>IF($A694="","",YEAR($A694)*100+MONTH($A694))</f>
        <v/>
      </c>
      <c r="P694" s="79">
        <f>IF(OR($F694="",$D694=""),"",IF($D694="Receita",$F694,IF($D694="Transferência",0,-$F694)))</f>
        <v/>
      </c>
    </row>
    <row r="695">
      <c r="A695" s="73" t="n"/>
      <c r="B695" s="74" t="n"/>
      <c r="C695" s="74" t="n"/>
      <c r="D695" s="75">
        <f>IF($C695="","",IFERROR(INDEX(CAT_TIPO,MATCH($C695,CAT_NOME,0)),"Sem categoria"))</f>
        <v/>
      </c>
      <c r="E695" s="75">
        <f>IF($C695="","",IFERROR(INDEX(CAT_GRUPO,MATCH($C695,CAT_NOME,0)),"Sem categoria"))</f>
        <v/>
      </c>
      <c r="F695" s="76" t="n"/>
      <c r="G695" s="74" t="n"/>
      <c r="H695" s="74" t="n"/>
      <c r="I695" s="74" t="n"/>
      <c r="J695" s="77" t="n"/>
      <c r="K695" s="77" t="n"/>
      <c r="L695" s="74" t="n"/>
      <c r="M695" s="74" t="n"/>
      <c r="O695" s="78">
        <f>IF($A695="","",YEAR($A695)*100+MONTH($A695))</f>
        <v/>
      </c>
      <c r="P695" s="79">
        <f>IF(OR($F695="",$D695=""),"",IF($D695="Receita",$F695,IF($D695="Transferência",0,-$F695)))</f>
        <v/>
      </c>
    </row>
    <row r="696">
      <c r="A696" s="73" t="n"/>
      <c r="B696" s="74" t="n"/>
      <c r="C696" s="74" t="n"/>
      <c r="D696" s="75">
        <f>IF($C696="","",IFERROR(INDEX(CAT_TIPO,MATCH($C696,CAT_NOME,0)),"Sem categoria"))</f>
        <v/>
      </c>
      <c r="E696" s="75">
        <f>IF($C696="","",IFERROR(INDEX(CAT_GRUPO,MATCH($C696,CAT_NOME,0)),"Sem categoria"))</f>
        <v/>
      </c>
      <c r="F696" s="76" t="n"/>
      <c r="G696" s="74" t="n"/>
      <c r="H696" s="74" t="n"/>
      <c r="I696" s="74" t="n"/>
      <c r="J696" s="77" t="n"/>
      <c r="K696" s="77" t="n"/>
      <c r="L696" s="74" t="n"/>
      <c r="M696" s="74" t="n"/>
      <c r="O696" s="78">
        <f>IF($A696="","",YEAR($A696)*100+MONTH($A696))</f>
        <v/>
      </c>
      <c r="P696" s="79">
        <f>IF(OR($F696="",$D696=""),"",IF($D696="Receita",$F696,IF($D696="Transferência",0,-$F696)))</f>
        <v/>
      </c>
    </row>
    <row r="697">
      <c r="A697" s="73" t="n"/>
      <c r="B697" s="74" t="n"/>
      <c r="C697" s="74" t="n"/>
      <c r="D697" s="75">
        <f>IF($C697="","",IFERROR(INDEX(CAT_TIPO,MATCH($C697,CAT_NOME,0)),"Sem categoria"))</f>
        <v/>
      </c>
      <c r="E697" s="75">
        <f>IF($C697="","",IFERROR(INDEX(CAT_GRUPO,MATCH($C697,CAT_NOME,0)),"Sem categoria"))</f>
        <v/>
      </c>
      <c r="F697" s="76" t="n"/>
      <c r="G697" s="74" t="n"/>
      <c r="H697" s="74" t="n"/>
      <c r="I697" s="74" t="n"/>
      <c r="J697" s="77" t="n"/>
      <c r="K697" s="77" t="n"/>
      <c r="L697" s="74" t="n"/>
      <c r="M697" s="74" t="n"/>
      <c r="O697" s="78">
        <f>IF($A697="","",YEAR($A697)*100+MONTH($A697))</f>
        <v/>
      </c>
      <c r="P697" s="79">
        <f>IF(OR($F697="",$D697=""),"",IF($D697="Receita",$F697,IF($D697="Transferência",0,-$F697)))</f>
        <v/>
      </c>
    </row>
    <row r="698">
      <c r="A698" s="73" t="n"/>
      <c r="B698" s="74" t="n"/>
      <c r="C698" s="74" t="n"/>
      <c r="D698" s="75">
        <f>IF($C698="","",IFERROR(INDEX(CAT_TIPO,MATCH($C698,CAT_NOME,0)),"Sem categoria"))</f>
        <v/>
      </c>
      <c r="E698" s="75">
        <f>IF($C698="","",IFERROR(INDEX(CAT_GRUPO,MATCH($C698,CAT_NOME,0)),"Sem categoria"))</f>
        <v/>
      </c>
      <c r="F698" s="76" t="n"/>
      <c r="G698" s="74" t="n"/>
      <c r="H698" s="74" t="n"/>
      <c r="I698" s="74" t="n"/>
      <c r="J698" s="77" t="n"/>
      <c r="K698" s="77" t="n"/>
      <c r="L698" s="74" t="n"/>
      <c r="M698" s="74" t="n"/>
      <c r="O698" s="78">
        <f>IF($A698="","",YEAR($A698)*100+MONTH($A698))</f>
        <v/>
      </c>
      <c r="P698" s="79">
        <f>IF(OR($F698="",$D698=""),"",IF($D698="Receita",$F698,IF($D698="Transferência",0,-$F698)))</f>
        <v/>
      </c>
    </row>
    <row r="699">
      <c r="A699" s="73" t="n"/>
      <c r="B699" s="74" t="n"/>
      <c r="C699" s="74" t="n"/>
      <c r="D699" s="75">
        <f>IF($C699="","",IFERROR(INDEX(CAT_TIPO,MATCH($C699,CAT_NOME,0)),"Sem categoria"))</f>
        <v/>
      </c>
      <c r="E699" s="75">
        <f>IF($C699="","",IFERROR(INDEX(CAT_GRUPO,MATCH($C699,CAT_NOME,0)),"Sem categoria"))</f>
        <v/>
      </c>
      <c r="F699" s="76" t="n"/>
      <c r="G699" s="74" t="n"/>
      <c r="H699" s="74" t="n"/>
      <c r="I699" s="74" t="n"/>
      <c r="J699" s="77" t="n"/>
      <c r="K699" s="77" t="n"/>
      <c r="L699" s="74" t="n"/>
      <c r="M699" s="74" t="n"/>
      <c r="O699" s="78">
        <f>IF($A699="","",YEAR($A699)*100+MONTH($A699))</f>
        <v/>
      </c>
      <c r="P699" s="79">
        <f>IF(OR($F699="",$D699=""),"",IF($D699="Receita",$F699,IF($D699="Transferência",0,-$F699)))</f>
        <v/>
      </c>
    </row>
    <row r="700">
      <c r="A700" s="73" t="n"/>
      <c r="B700" s="74" t="n"/>
      <c r="C700" s="74" t="n"/>
      <c r="D700" s="75">
        <f>IF($C700="","",IFERROR(INDEX(CAT_TIPO,MATCH($C700,CAT_NOME,0)),"Sem categoria"))</f>
        <v/>
      </c>
      <c r="E700" s="75">
        <f>IF($C700="","",IFERROR(INDEX(CAT_GRUPO,MATCH($C700,CAT_NOME,0)),"Sem categoria"))</f>
        <v/>
      </c>
      <c r="F700" s="76" t="n"/>
      <c r="G700" s="74" t="n"/>
      <c r="H700" s="74" t="n"/>
      <c r="I700" s="74" t="n"/>
      <c r="J700" s="77" t="n"/>
      <c r="K700" s="77" t="n"/>
      <c r="L700" s="74" t="n"/>
      <c r="M700" s="74" t="n"/>
      <c r="O700" s="78">
        <f>IF($A700="","",YEAR($A700)*100+MONTH($A700))</f>
        <v/>
      </c>
      <c r="P700" s="79">
        <f>IF(OR($F700="",$D700=""),"",IF($D700="Receita",$F700,IF($D700="Transferência",0,-$F700)))</f>
        <v/>
      </c>
    </row>
    <row r="701">
      <c r="A701" s="73" t="n"/>
      <c r="B701" s="74" t="n"/>
      <c r="C701" s="74" t="n"/>
      <c r="D701" s="75">
        <f>IF($C701="","",IFERROR(INDEX(CAT_TIPO,MATCH($C701,CAT_NOME,0)),"Sem categoria"))</f>
        <v/>
      </c>
      <c r="E701" s="75">
        <f>IF($C701="","",IFERROR(INDEX(CAT_GRUPO,MATCH($C701,CAT_NOME,0)),"Sem categoria"))</f>
        <v/>
      </c>
      <c r="F701" s="76" t="n"/>
      <c r="G701" s="74" t="n"/>
      <c r="H701" s="74" t="n"/>
      <c r="I701" s="74" t="n"/>
      <c r="J701" s="77" t="n"/>
      <c r="K701" s="77" t="n"/>
      <c r="L701" s="74" t="n"/>
      <c r="M701" s="74" t="n"/>
      <c r="O701" s="78">
        <f>IF($A701="","",YEAR($A701)*100+MONTH($A701))</f>
        <v/>
      </c>
      <c r="P701" s="79">
        <f>IF(OR($F701="",$D701=""),"",IF($D701="Receita",$F701,IF($D701="Transferência",0,-$F701)))</f>
        <v/>
      </c>
    </row>
    <row r="702">
      <c r="A702" s="73" t="n"/>
      <c r="B702" s="74" t="n"/>
      <c r="C702" s="74" t="n"/>
      <c r="D702" s="75">
        <f>IF($C702="","",IFERROR(INDEX(CAT_TIPO,MATCH($C702,CAT_NOME,0)),"Sem categoria"))</f>
        <v/>
      </c>
      <c r="E702" s="75">
        <f>IF($C702="","",IFERROR(INDEX(CAT_GRUPO,MATCH($C702,CAT_NOME,0)),"Sem categoria"))</f>
        <v/>
      </c>
      <c r="F702" s="76" t="n"/>
      <c r="G702" s="74" t="n"/>
      <c r="H702" s="74" t="n"/>
      <c r="I702" s="74" t="n"/>
      <c r="J702" s="77" t="n"/>
      <c r="K702" s="77" t="n"/>
      <c r="L702" s="74" t="n"/>
      <c r="M702" s="74" t="n"/>
      <c r="O702" s="78">
        <f>IF($A702="","",YEAR($A702)*100+MONTH($A702))</f>
        <v/>
      </c>
      <c r="P702" s="79">
        <f>IF(OR($F702="",$D702=""),"",IF($D702="Receita",$F702,IF($D702="Transferência",0,-$F702)))</f>
        <v/>
      </c>
    </row>
    <row r="703">
      <c r="A703" s="73" t="n"/>
      <c r="B703" s="74" t="n"/>
      <c r="C703" s="74" t="n"/>
      <c r="D703" s="75">
        <f>IF($C703="","",IFERROR(INDEX(CAT_TIPO,MATCH($C703,CAT_NOME,0)),"Sem categoria"))</f>
        <v/>
      </c>
      <c r="E703" s="75">
        <f>IF($C703="","",IFERROR(INDEX(CAT_GRUPO,MATCH($C703,CAT_NOME,0)),"Sem categoria"))</f>
        <v/>
      </c>
      <c r="F703" s="76" t="n"/>
      <c r="G703" s="74" t="n"/>
      <c r="H703" s="74" t="n"/>
      <c r="I703" s="74" t="n"/>
      <c r="J703" s="77" t="n"/>
      <c r="K703" s="77" t="n"/>
      <c r="L703" s="74" t="n"/>
      <c r="M703" s="74" t="n"/>
      <c r="O703" s="78">
        <f>IF($A703="","",YEAR($A703)*100+MONTH($A703))</f>
        <v/>
      </c>
      <c r="P703" s="79">
        <f>IF(OR($F703="",$D703=""),"",IF($D703="Receita",$F703,IF($D703="Transferência",0,-$F703)))</f>
        <v/>
      </c>
    </row>
    <row r="704">
      <c r="A704" s="73" t="n"/>
      <c r="B704" s="74" t="n"/>
      <c r="C704" s="74" t="n"/>
      <c r="D704" s="75">
        <f>IF($C704="","",IFERROR(INDEX(CAT_TIPO,MATCH($C704,CAT_NOME,0)),"Sem categoria"))</f>
        <v/>
      </c>
      <c r="E704" s="75">
        <f>IF($C704="","",IFERROR(INDEX(CAT_GRUPO,MATCH($C704,CAT_NOME,0)),"Sem categoria"))</f>
        <v/>
      </c>
      <c r="F704" s="76" t="n"/>
      <c r="G704" s="74" t="n"/>
      <c r="H704" s="74" t="n"/>
      <c r="I704" s="74" t="n"/>
      <c r="J704" s="77" t="n"/>
      <c r="K704" s="77" t="n"/>
      <c r="L704" s="74" t="n"/>
      <c r="M704" s="74" t="n"/>
      <c r="O704" s="78">
        <f>IF($A704="","",YEAR($A704)*100+MONTH($A704))</f>
        <v/>
      </c>
      <c r="P704" s="79">
        <f>IF(OR($F704="",$D704=""),"",IF($D704="Receita",$F704,IF($D704="Transferência",0,-$F704)))</f>
        <v/>
      </c>
    </row>
    <row r="705">
      <c r="A705" s="73" t="n"/>
      <c r="B705" s="74" t="n"/>
      <c r="C705" s="74" t="n"/>
      <c r="D705" s="75">
        <f>IF($C705="","",IFERROR(INDEX(CAT_TIPO,MATCH($C705,CAT_NOME,0)),"Sem categoria"))</f>
        <v/>
      </c>
      <c r="E705" s="75">
        <f>IF($C705="","",IFERROR(INDEX(CAT_GRUPO,MATCH($C705,CAT_NOME,0)),"Sem categoria"))</f>
        <v/>
      </c>
      <c r="F705" s="76" t="n"/>
      <c r="G705" s="74" t="n"/>
      <c r="H705" s="74" t="n"/>
      <c r="I705" s="74" t="n"/>
      <c r="J705" s="77" t="n"/>
      <c r="K705" s="77" t="n"/>
      <c r="L705" s="74" t="n"/>
      <c r="M705" s="74" t="n"/>
      <c r="O705" s="78">
        <f>IF($A705="","",YEAR($A705)*100+MONTH($A705))</f>
        <v/>
      </c>
      <c r="P705" s="79">
        <f>IF(OR($F705="",$D705=""),"",IF($D705="Receita",$F705,IF($D705="Transferência",0,-$F705)))</f>
        <v/>
      </c>
    </row>
    <row r="706">
      <c r="A706" s="73" t="n"/>
      <c r="B706" s="74" t="n"/>
      <c r="C706" s="74" t="n"/>
      <c r="D706" s="75">
        <f>IF($C706="","",IFERROR(INDEX(CAT_TIPO,MATCH($C706,CAT_NOME,0)),"Sem categoria"))</f>
        <v/>
      </c>
      <c r="E706" s="75">
        <f>IF($C706="","",IFERROR(INDEX(CAT_GRUPO,MATCH($C706,CAT_NOME,0)),"Sem categoria"))</f>
        <v/>
      </c>
      <c r="F706" s="76" t="n"/>
      <c r="G706" s="74" t="n"/>
      <c r="H706" s="74" t="n"/>
      <c r="I706" s="74" t="n"/>
      <c r="J706" s="77" t="n"/>
      <c r="K706" s="77" t="n"/>
      <c r="L706" s="74" t="n"/>
      <c r="M706" s="74" t="n"/>
      <c r="O706" s="78">
        <f>IF($A706="","",YEAR($A706)*100+MONTH($A706))</f>
        <v/>
      </c>
      <c r="P706" s="79">
        <f>IF(OR($F706="",$D706=""),"",IF($D706="Receita",$F706,IF($D706="Transferência",0,-$F706)))</f>
        <v/>
      </c>
    </row>
    <row r="707">
      <c r="A707" s="73" t="n"/>
      <c r="B707" s="74" t="n"/>
      <c r="C707" s="74" t="n"/>
      <c r="D707" s="75">
        <f>IF($C707="","",IFERROR(INDEX(CAT_TIPO,MATCH($C707,CAT_NOME,0)),"Sem categoria"))</f>
        <v/>
      </c>
      <c r="E707" s="75">
        <f>IF($C707="","",IFERROR(INDEX(CAT_GRUPO,MATCH($C707,CAT_NOME,0)),"Sem categoria"))</f>
        <v/>
      </c>
      <c r="F707" s="76" t="n"/>
      <c r="G707" s="74" t="n"/>
      <c r="H707" s="74" t="n"/>
      <c r="I707" s="74" t="n"/>
      <c r="J707" s="77" t="n"/>
      <c r="K707" s="77" t="n"/>
      <c r="L707" s="74" t="n"/>
      <c r="M707" s="74" t="n"/>
      <c r="O707" s="78">
        <f>IF($A707="","",YEAR($A707)*100+MONTH($A707))</f>
        <v/>
      </c>
      <c r="P707" s="79">
        <f>IF(OR($F707="",$D707=""),"",IF($D707="Receita",$F707,IF($D707="Transferência",0,-$F707)))</f>
        <v/>
      </c>
    </row>
    <row r="708">
      <c r="A708" s="73" t="n"/>
      <c r="B708" s="74" t="n"/>
      <c r="C708" s="74" t="n"/>
      <c r="D708" s="75">
        <f>IF($C708="","",IFERROR(INDEX(CAT_TIPO,MATCH($C708,CAT_NOME,0)),"Sem categoria"))</f>
        <v/>
      </c>
      <c r="E708" s="75">
        <f>IF($C708="","",IFERROR(INDEX(CAT_GRUPO,MATCH($C708,CAT_NOME,0)),"Sem categoria"))</f>
        <v/>
      </c>
      <c r="F708" s="76" t="n"/>
      <c r="G708" s="74" t="n"/>
      <c r="H708" s="74" t="n"/>
      <c r="I708" s="74" t="n"/>
      <c r="J708" s="77" t="n"/>
      <c r="K708" s="77" t="n"/>
      <c r="L708" s="74" t="n"/>
      <c r="M708" s="74" t="n"/>
      <c r="O708" s="78">
        <f>IF($A708="","",YEAR($A708)*100+MONTH($A708))</f>
        <v/>
      </c>
      <c r="P708" s="79">
        <f>IF(OR($F708="",$D708=""),"",IF($D708="Receita",$F708,IF($D708="Transferência",0,-$F708)))</f>
        <v/>
      </c>
    </row>
    <row r="709">
      <c r="A709" s="73" t="n"/>
      <c r="B709" s="74" t="n"/>
      <c r="C709" s="74" t="n"/>
      <c r="D709" s="75">
        <f>IF($C709="","",IFERROR(INDEX(CAT_TIPO,MATCH($C709,CAT_NOME,0)),"Sem categoria"))</f>
        <v/>
      </c>
      <c r="E709" s="75">
        <f>IF($C709="","",IFERROR(INDEX(CAT_GRUPO,MATCH($C709,CAT_NOME,0)),"Sem categoria"))</f>
        <v/>
      </c>
      <c r="F709" s="76" t="n"/>
      <c r="G709" s="74" t="n"/>
      <c r="H709" s="74" t="n"/>
      <c r="I709" s="74" t="n"/>
      <c r="J709" s="77" t="n"/>
      <c r="K709" s="77" t="n"/>
      <c r="L709" s="74" t="n"/>
      <c r="M709" s="74" t="n"/>
      <c r="O709" s="78">
        <f>IF($A709="","",YEAR($A709)*100+MONTH($A709))</f>
        <v/>
      </c>
      <c r="P709" s="79">
        <f>IF(OR($F709="",$D709=""),"",IF($D709="Receita",$F709,IF($D709="Transferência",0,-$F709)))</f>
        <v/>
      </c>
    </row>
    <row r="710">
      <c r="A710" s="73" t="n"/>
      <c r="B710" s="74" t="n"/>
      <c r="C710" s="74" t="n"/>
      <c r="D710" s="75">
        <f>IF($C710="","",IFERROR(INDEX(CAT_TIPO,MATCH($C710,CAT_NOME,0)),"Sem categoria"))</f>
        <v/>
      </c>
      <c r="E710" s="75">
        <f>IF($C710="","",IFERROR(INDEX(CAT_GRUPO,MATCH($C710,CAT_NOME,0)),"Sem categoria"))</f>
        <v/>
      </c>
      <c r="F710" s="76" t="n"/>
      <c r="G710" s="74" t="n"/>
      <c r="H710" s="74" t="n"/>
      <c r="I710" s="74" t="n"/>
      <c r="J710" s="77" t="n"/>
      <c r="K710" s="77" t="n"/>
      <c r="L710" s="74" t="n"/>
      <c r="M710" s="74" t="n"/>
      <c r="O710" s="78">
        <f>IF($A710="","",YEAR($A710)*100+MONTH($A710))</f>
        <v/>
      </c>
      <c r="P710" s="79">
        <f>IF(OR($F710="",$D710=""),"",IF($D710="Receita",$F710,IF($D710="Transferência",0,-$F710)))</f>
        <v/>
      </c>
    </row>
    <row r="711">
      <c r="A711" s="73" t="n"/>
      <c r="B711" s="74" t="n"/>
      <c r="C711" s="74" t="n"/>
      <c r="D711" s="75">
        <f>IF($C711="","",IFERROR(INDEX(CAT_TIPO,MATCH($C711,CAT_NOME,0)),"Sem categoria"))</f>
        <v/>
      </c>
      <c r="E711" s="75">
        <f>IF($C711="","",IFERROR(INDEX(CAT_GRUPO,MATCH($C711,CAT_NOME,0)),"Sem categoria"))</f>
        <v/>
      </c>
      <c r="F711" s="76" t="n"/>
      <c r="G711" s="74" t="n"/>
      <c r="H711" s="74" t="n"/>
      <c r="I711" s="74" t="n"/>
      <c r="J711" s="77" t="n"/>
      <c r="K711" s="77" t="n"/>
      <c r="L711" s="74" t="n"/>
      <c r="M711" s="74" t="n"/>
      <c r="O711" s="78">
        <f>IF($A711="","",YEAR($A711)*100+MONTH($A711))</f>
        <v/>
      </c>
      <c r="P711" s="79">
        <f>IF(OR($F711="",$D711=""),"",IF($D711="Receita",$F711,IF($D711="Transferência",0,-$F711)))</f>
        <v/>
      </c>
    </row>
    <row r="712">
      <c r="A712" s="73" t="n"/>
      <c r="B712" s="74" t="n"/>
      <c r="C712" s="74" t="n"/>
      <c r="D712" s="75">
        <f>IF($C712="","",IFERROR(INDEX(CAT_TIPO,MATCH($C712,CAT_NOME,0)),"Sem categoria"))</f>
        <v/>
      </c>
      <c r="E712" s="75">
        <f>IF($C712="","",IFERROR(INDEX(CAT_GRUPO,MATCH($C712,CAT_NOME,0)),"Sem categoria"))</f>
        <v/>
      </c>
      <c r="F712" s="76" t="n"/>
      <c r="G712" s="74" t="n"/>
      <c r="H712" s="74" t="n"/>
      <c r="I712" s="74" t="n"/>
      <c r="J712" s="77" t="n"/>
      <c r="K712" s="77" t="n"/>
      <c r="L712" s="74" t="n"/>
      <c r="M712" s="74" t="n"/>
      <c r="O712" s="78">
        <f>IF($A712="","",YEAR($A712)*100+MONTH($A712))</f>
        <v/>
      </c>
      <c r="P712" s="79">
        <f>IF(OR($F712="",$D712=""),"",IF($D712="Receita",$F712,IF($D712="Transferência",0,-$F712)))</f>
        <v/>
      </c>
    </row>
    <row r="713">
      <c r="A713" s="73" t="n"/>
      <c r="B713" s="74" t="n"/>
      <c r="C713" s="74" t="n"/>
      <c r="D713" s="75">
        <f>IF($C713="","",IFERROR(INDEX(CAT_TIPO,MATCH($C713,CAT_NOME,0)),"Sem categoria"))</f>
        <v/>
      </c>
      <c r="E713" s="75">
        <f>IF($C713="","",IFERROR(INDEX(CAT_GRUPO,MATCH($C713,CAT_NOME,0)),"Sem categoria"))</f>
        <v/>
      </c>
      <c r="F713" s="76" t="n"/>
      <c r="G713" s="74" t="n"/>
      <c r="H713" s="74" t="n"/>
      <c r="I713" s="74" t="n"/>
      <c r="J713" s="77" t="n"/>
      <c r="K713" s="77" t="n"/>
      <c r="L713" s="74" t="n"/>
      <c r="M713" s="74" t="n"/>
      <c r="O713" s="78">
        <f>IF($A713="","",YEAR($A713)*100+MONTH($A713))</f>
        <v/>
      </c>
      <c r="P713" s="79">
        <f>IF(OR($F713="",$D713=""),"",IF($D713="Receita",$F713,IF($D713="Transferência",0,-$F713)))</f>
        <v/>
      </c>
    </row>
    <row r="714">
      <c r="A714" s="73" t="n"/>
      <c r="B714" s="74" t="n"/>
      <c r="C714" s="74" t="n"/>
      <c r="D714" s="75">
        <f>IF($C714="","",IFERROR(INDEX(CAT_TIPO,MATCH($C714,CAT_NOME,0)),"Sem categoria"))</f>
        <v/>
      </c>
      <c r="E714" s="75">
        <f>IF($C714="","",IFERROR(INDEX(CAT_GRUPO,MATCH($C714,CAT_NOME,0)),"Sem categoria"))</f>
        <v/>
      </c>
      <c r="F714" s="76" t="n"/>
      <c r="G714" s="74" t="n"/>
      <c r="H714" s="74" t="n"/>
      <c r="I714" s="74" t="n"/>
      <c r="J714" s="77" t="n"/>
      <c r="K714" s="77" t="n"/>
      <c r="L714" s="74" t="n"/>
      <c r="M714" s="74" t="n"/>
      <c r="O714" s="78">
        <f>IF($A714="","",YEAR($A714)*100+MONTH($A714))</f>
        <v/>
      </c>
      <c r="P714" s="79">
        <f>IF(OR($F714="",$D714=""),"",IF($D714="Receita",$F714,IF($D714="Transferência",0,-$F714)))</f>
        <v/>
      </c>
    </row>
    <row r="715">
      <c r="A715" s="73" t="n"/>
      <c r="B715" s="74" t="n"/>
      <c r="C715" s="74" t="n"/>
      <c r="D715" s="75">
        <f>IF($C715="","",IFERROR(INDEX(CAT_TIPO,MATCH($C715,CAT_NOME,0)),"Sem categoria"))</f>
        <v/>
      </c>
      <c r="E715" s="75">
        <f>IF($C715="","",IFERROR(INDEX(CAT_GRUPO,MATCH($C715,CAT_NOME,0)),"Sem categoria"))</f>
        <v/>
      </c>
      <c r="F715" s="76" t="n"/>
      <c r="G715" s="74" t="n"/>
      <c r="H715" s="74" t="n"/>
      <c r="I715" s="74" t="n"/>
      <c r="J715" s="77" t="n"/>
      <c r="K715" s="77" t="n"/>
      <c r="L715" s="74" t="n"/>
      <c r="M715" s="74" t="n"/>
      <c r="O715" s="78">
        <f>IF($A715="","",YEAR($A715)*100+MONTH($A715))</f>
        <v/>
      </c>
      <c r="P715" s="79">
        <f>IF(OR($F715="",$D715=""),"",IF($D715="Receita",$F715,IF($D715="Transferência",0,-$F715)))</f>
        <v/>
      </c>
    </row>
    <row r="716">
      <c r="A716" s="73" t="n"/>
      <c r="B716" s="74" t="n"/>
      <c r="C716" s="74" t="n"/>
      <c r="D716" s="75">
        <f>IF($C716="","",IFERROR(INDEX(CAT_TIPO,MATCH($C716,CAT_NOME,0)),"Sem categoria"))</f>
        <v/>
      </c>
      <c r="E716" s="75">
        <f>IF($C716="","",IFERROR(INDEX(CAT_GRUPO,MATCH($C716,CAT_NOME,0)),"Sem categoria"))</f>
        <v/>
      </c>
      <c r="F716" s="76" t="n"/>
      <c r="G716" s="74" t="n"/>
      <c r="H716" s="74" t="n"/>
      <c r="I716" s="74" t="n"/>
      <c r="J716" s="77" t="n"/>
      <c r="K716" s="77" t="n"/>
      <c r="L716" s="74" t="n"/>
      <c r="M716" s="74" t="n"/>
      <c r="O716" s="78">
        <f>IF($A716="","",YEAR($A716)*100+MONTH($A716))</f>
        <v/>
      </c>
      <c r="P716" s="79">
        <f>IF(OR($F716="",$D716=""),"",IF($D716="Receita",$F716,IF($D716="Transferência",0,-$F716)))</f>
        <v/>
      </c>
    </row>
    <row r="717">
      <c r="A717" s="73" t="n"/>
      <c r="B717" s="74" t="n"/>
      <c r="C717" s="74" t="n"/>
      <c r="D717" s="75">
        <f>IF($C717="","",IFERROR(INDEX(CAT_TIPO,MATCH($C717,CAT_NOME,0)),"Sem categoria"))</f>
        <v/>
      </c>
      <c r="E717" s="75">
        <f>IF($C717="","",IFERROR(INDEX(CAT_GRUPO,MATCH($C717,CAT_NOME,0)),"Sem categoria"))</f>
        <v/>
      </c>
      <c r="F717" s="76" t="n"/>
      <c r="G717" s="74" t="n"/>
      <c r="H717" s="74" t="n"/>
      <c r="I717" s="74" t="n"/>
      <c r="J717" s="77" t="n"/>
      <c r="K717" s="77" t="n"/>
      <c r="L717" s="74" t="n"/>
      <c r="M717" s="74" t="n"/>
      <c r="O717" s="78">
        <f>IF($A717="","",YEAR($A717)*100+MONTH($A717))</f>
        <v/>
      </c>
      <c r="P717" s="79">
        <f>IF(OR($F717="",$D717=""),"",IF($D717="Receita",$F717,IF($D717="Transferência",0,-$F717)))</f>
        <v/>
      </c>
    </row>
    <row r="718">
      <c r="A718" s="73" t="n"/>
      <c r="B718" s="74" t="n"/>
      <c r="C718" s="74" t="n"/>
      <c r="D718" s="75">
        <f>IF($C718="","",IFERROR(INDEX(CAT_TIPO,MATCH($C718,CAT_NOME,0)),"Sem categoria"))</f>
        <v/>
      </c>
      <c r="E718" s="75">
        <f>IF($C718="","",IFERROR(INDEX(CAT_GRUPO,MATCH($C718,CAT_NOME,0)),"Sem categoria"))</f>
        <v/>
      </c>
      <c r="F718" s="76" t="n"/>
      <c r="G718" s="74" t="n"/>
      <c r="H718" s="74" t="n"/>
      <c r="I718" s="74" t="n"/>
      <c r="J718" s="77" t="n"/>
      <c r="K718" s="77" t="n"/>
      <c r="L718" s="74" t="n"/>
      <c r="M718" s="74" t="n"/>
      <c r="O718" s="78">
        <f>IF($A718="","",YEAR($A718)*100+MONTH($A718))</f>
        <v/>
      </c>
      <c r="P718" s="79">
        <f>IF(OR($F718="",$D718=""),"",IF($D718="Receita",$F718,IF($D718="Transferência",0,-$F718)))</f>
        <v/>
      </c>
    </row>
    <row r="719">
      <c r="A719" s="73" t="n"/>
      <c r="B719" s="74" t="n"/>
      <c r="C719" s="74" t="n"/>
      <c r="D719" s="75">
        <f>IF($C719="","",IFERROR(INDEX(CAT_TIPO,MATCH($C719,CAT_NOME,0)),"Sem categoria"))</f>
        <v/>
      </c>
      <c r="E719" s="75">
        <f>IF($C719="","",IFERROR(INDEX(CAT_GRUPO,MATCH($C719,CAT_NOME,0)),"Sem categoria"))</f>
        <v/>
      </c>
      <c r="F719" s="76" t="n"/>
      <c r="G719" s="74" t="n"/>
      <c r="H719" s="74" t="n"/>
      <c r="I719" s="74" t="n"/>
      <c r="J719" s="77" t="n"/>
      <c r="K719" s="77" t="n"/>
      <c r="L719" s="74" t="n"/>
      <c r="M719" s="74" t="n"/>
      <c r="O719" s="78">
        <f>IF($A719="","",YEAR($A719)*100+MONTH($A719))</f>
        <v/>
      </c>
      <c r="P719" s="79">
        <f>IF(OR($F719="",$D719=""),"",IF($D719="Receita",$F719,IF($D719="Transferência",0,-$F719)))</f>
        <v/>
      </c>
    </row>
    <row r="720">
      <c r="A720" s="73" t="n"/>
      <c r="B720" s="74" t="n"/>
      <c r="C720" s="74" t="n"/>
      <c r="D720" s="75">
        <f>IF($C720="","",IFERROR(INDEX(CAT_TIPO,MATCH($C720,CAT_NOME,0)),"Sem categoria"))</f>
        <v/>
      </c>
      <c r="E720" s="75">
        <f>IF($C720="","",IFERROR(INDEX(CAT_GRUPO,MATCH($C720,CAT_NOME,0)),"Sem categoria"))</f>
        <v/>
      </c>
      <c r="F720" s="76" t="n"/>
      <c r="G720" s="74" t="n"/>
      <c r="H720" s="74" t="n"/>
      <c r="I720" s="74" t="n"/>
      <c r="J720" s="77" t="n"/>
      <c r="K720" s="77" t="n"/>
      <c r="L720" s="74" t="n"/>
      <c r="M720" s="74" t="n"/>
      <c r="O720" s="78">
        <f>IF($A720="","",YEAR($A720)*100+MONTH($A720))</f>
        <v/>
      </c>
      <c r="P720" s="79">
        <f>IF(OR($F720="",$D720=""),"",IF($D720="Receita",$F720,IF($D720="Transferência",0,-$F720)))</f>
        <v/>
      </c>
    </row>
    <row r="721">
      <c r="A721" s="73" t="n"/>
      <c r="B721" s="74" t="n"/>
      <c r="C721" s="74" t="n"/>
      <c r="D721" s="75">
        <f>IF($C721="","",IFERROR(INDEX(CAT_TIPO,MATCH($C721,CAT_NOME,0)),"Sem categoria"))</f>
        <v/>
      </c>
      <c r="E721" s="75">
        <f>IF($C721="","",IFERROR(INDEX(CAT_GRUPO,MATCH($C721,CAT_NOME,0)),"Sem categoria"))</f>
        <v/>
      </c>
      <c r="F721" s="76" t="n"/>
      <c r="G721" s="74" t="n"/>
      <c r="H721" s="74" t="n"/>
      <c r="I721" s="74" t="n"/>
      <c r="J721" s="77" t="n"/>
      <c r="K721" s="77" t="n"/>
      <c r="L721" s="74" t="n"/>
      <c r="M721" s="74" t="n"/>
      <c r="O721" s="78">
        <f>IF($A721="","",YEAR($A721)*100+MONTH($A721))</f>
        <v/>
      </c>
      <c r="P721" s="79">
        <f>IF(OR($F721="",$D721=""),"",IF($D721="Receita",$F721,IF($D721="Transferência",0,-$F721)))</f>
        <v/>
      </c>
    </row>
    <row r="722">
      <c r="A722" s="73" t="n"/>
      <c r="B722" s="74" t="n"/>
      <c r="C722" s="74" t="n"/>
      <c r="D722" s="75">
        <f>IF($C722="","",IFERROR(INDEX(CAT_TIPO,MATCH($C722,CAT_NOME,0)),"Sem categoria"))</f>
        <v/>
      </c>
      <c r="E722" s="75">
        <f>IF($C722="","",IFERROR(INDEX(CAT_GRUPO,MATCH($C722,CAT_NOME,0)),"Sem categoria"))</f>
        <v/>
      </c>
      <c r="F722" s="76" t="n"/>
      <c r="G722" s="74" t="n"/>
      <c r="H722" s="74" t="n"/>
      <c r="I722" s="74" t="n"/>
      <c r="J722" s="77" t="n"/>
      <c r="K722" s="77" t="n"/>
      <c r="L722" s="74" t="n"/>
      <c r="M722" s="74" t="n"/>
      <c r="O722" s="78">
        <f>IF($A722="","",YEAR($A722)*100+MONTH($A722))</f>
        <v/>
      </c>
      <c r="P722" s="79">
        <f>IF(OR($F722="",$D722=""),"",IF($D722="Receita",$F722,IF($D722="Transferência",0,-$F722)))</f>
        <v/>
      </c>
    </row>
    <row r="723">
      <c r="A723" s="73" t="n"/>
      <c r="B723" s="74" t="n"/>
      <c r="C723" s="74" t="n"/>
      <c r="D723" s="75">
        <f>IF($C723="","",IFERROR(INDEX(CAT_TIPO,MATCH($C723,CAT_NOME,0)),"Sem categoria"))</f>
        <v/>
      </c>
      <c r="E723" s="75">
        <f>IF($C723="","",IFERROR(INDEX(CAT_GRUPO,MATCH($C723,CAT_NOME,0)),"Sem categoria"))</f>
        <v/>
      </c>
      <c r="F723" s="76" t="n"/>
      <c r="G723" s="74" t="n"/>
      <c r="H723" s="74" t="n"/>
      <c r="I723" s="74" t="n"/>
      <c r="J723" s="77" t="n"/>
      <c r="K723" s="77" t="n"/>
      <c r="L723" s="74" t="n"/>
      <c r="M723" s="74" t="n"/>
      <c r="O723" s="78">
        <f>IF($A723="","",YEAR($A723)*100+MONTH($A723))</f>
        <v/>
      </c>
      <c r="P723" s="79">
        <f>IF(OR($F723="",$D723=""),"",IF($D723="Receita",$F723,IF($D723="Transferência",0,-$F723)))</f>
        <v/>
      </c>
    </row>
    <row r="724">
      <c r="A724" s="73" t="n"/>
      <c r="B724" s="74" t="n"/>
      <c r="C724" s="74" t="n"/>
      <c r="D724" s="75">
        <f>IF($C724="","",IFERROR(INDEX(CAT_TIPO,MATCH($C724,CAT_NOME,0)),"Sem categoria"))</f>
        <v/>
      </c>
      <c r="E724" s="75">
        <f>IF($C724="","",IFERROR(INDEX(CAT_GRUPO,MATCH($C724,CAT_NOME,0)),"Sem categoria"))</f>
        <v/>
      </c>
      <c r="F724" s="76" t="n"/>
      <c r="G724" s="74" t="n"/>
      <c r="H724" s="74" t="n"/>
      <c r="I724" s="74" t="n"/>
      <c r="J724" s="77" t="n"/>
      <c r="K724" s="77" t="n"/>
      <c r="L724" s="74" t="n"/>
      <c r="M724" s="74" t="n"/>
      <c r="O724" s="78">
        <f>IF($A724="","",YEAR($A724)*100+MONTH($A724))</f>
        <v/>
      </c>
      <c r="P724" s="79">
        <f>IF(OR($F724="",$D724=""),"",IF($D724="Receita",$F724,IF($D724="Transferência",0,-$F724)))</f>
        <v/>
      </c>
    </row>
    <row r="725">
      <c r="A725" s="73" t="n"/>
      <c r="B725" s="74" t="n"/>
      <c r="C725" s="74" t="n"/>
      <c r="D725" s="75">
        <f>IF($C725="","",IFERROR(INDEX(CAT_TIPO,MATCH($C725,CAT_NOME,0)),"Sem categoria"))</f>
        <v/>
      </c>
      <c r="E725" s="75">
        <f>IF($C725="","",IFERROR(INDEX(CAT_GRUPO,MATCH($C725,CAT_NOME,0)),"Sem categoria"))</f>
        <v/>
      </c>
      <c r="F725" s="76" t="n"/>
      <c r="G725" s="74" t="n"/>
      <c r="H725" s="74" t="n"/>
      <c r="I725" s="74" t="n"/>
      <c r="J725" s="77" t="n"/>
      <c r="K725" s="77" t="n"/>
      <c r="L725" s="74" t="n"/>
      <c r="M725" s="74" t="n"/>
      <c r="O725" s="78">
        <f>IF($A725="","",YEAR($A725)*100+MONTH($A725))</f>
        <v/>
      </c>
      <c r="P725" s="79">
        <f>IF(OR($F725="",$D725=""),"",IF($D725="Receita",$F725,IF($D725="Transferência",0,-$F725)))</f>
        <v/>
      </c>
    </row>
    <row r="726">
      <c r="A726" s="73" t="n"/>
      <c r="B726" s="74" t="n"/>
      <c r="C726" s="74" t="n"/>
      <c r="D726" s="75">
        <f>IF($C726="","",IFERROR(INDEX(CAT_TIPO,MATCH($C726,CAT_NOME,0)),"Sem categoria"))</f>
        <v/>
      </c>
      <c r="E726" s="75">
        <f>IF($C726="","",IFERROR(INDEX(CAT_GRUPO,MATCH($C726,CAT_NOME,0)),"Sem categoria"))</f>
        <v/>
      </c>
      <c r="F726" s="76" t="n"/>
      <c r="G726" s="74" t="n"/>
      <c r="H726" s="74" t="n"/>
      <c r="I726" s="74" t="n"/>
      <c r="J726" s="77" t="n"/>
      <c r="K726" s="77" t="n"/>
      <c r="L726" s="74" t="n"/>
      <c r="M726" s="74" t="n"/>
      <c r="O726" s="78">
        <f>IF($A726="","",YEAR($A726)*100+MONTH($A726))</f>
        <v/>
      </c>
      <c r="P726" s="79">
        <f>IF(OR($F726="",$D726=""),"",IF($D726="Receita",$F726,IF($D726="Transferência",0,-$F726)))</f>
        <v/>
      </c>
    </row>
    <row r="727">
      <c r="A727" s="73" t="n"/>
      <c r="B727" s="74" t="n"/>
      <c r="C727" s="74" t="n"/>
      <c r="D727" s="75">
        <f>IF($C727="","",IFERROR(INDEX(CAT_TIPO,MATCH($C727,CAT_NOME,0)),"Sem categoria"))</f>
        <v/>
      </c>
      <c r="E727" s="75">
        <f>IF($C727="","",IFERROR(INDEX(CAT_GRUPO,MATCH($C727,CAT_NOME,0)),"Sem categoria"))</f>
        <v/>
      </c>
      <c r="F727" s="76" t="n"/>
      <c r="G727" s="74" t="n"/>
      <c r="H727" s="74" t="n"/>
      <c r="I727" s="74" t="n"/>
      <c r="J727" s="77" t="n"/>
      <c r="K727" s="77" t="n"/>
      <c r="L727" s="74" t="n"/>
      <c r="M727" s="74" t="n"/>
      <c r="O727" s="78">
        <f>IF($A727="","",YEAR($A727)*100+MONTH($A727))</f>
        <v/>
      </c>
      <c r="P727" s="79">
        <f>IF(OR($F727="",$D727=""),"",IF($D727="Receita",$F727,IF($D727="Transferência",0,-$F727)))</f>
        <v/>
      </c>
    </row>
    <row r="728">
      <c r="A728" s="73" t="n"/>
      <c r="B728" s="74" t="n"/>
      <c r="C728" s="74" t="n"/>
      <c r="D728" s="75">
        <f>IF($C728="","",IFERROR(INDEX(CAT_TIPO,MATCH($C728,CAT_NOME,0)),"Sem categoria"))</f>
        <v/>
      </c>
      <c r="E728" s="75">
        <f>IF($C728="","",IFERROR(INDEX(CAT_GRUPO,MATCH($C728,CAT_NOME,0)),"Sem categoria"))</f>
        <v/>
      </c>
      <c r="F728" s="76" t="n"/>
      <c r="G728" s="74" t="n"/>
      <c r="H728" s="74" t="n"/>
      <c r="I728" s="74" t="n"/>
      <c r="J728" s="77" t="n"/>
      <c r="K728" s="77" t="n"/>
      <c r="L728" s="74" t="n"/>
      <c r="M728" s="74" t="n"/>
      <c r="O728" s="78">
        <f>IF($A728="","",YEAR($A728)*100+MONTH($A728))</f>
        <v/>
      </c>
      <c r="P728" s="79">
        <f>IF(OR($F728="",$D728=""),"",IF($D728="Receita",$F728,IF($D728="Transferência",0,-$F728)))</f>
        <v/>
      </c>
    </row>
    <row r="729">
      <c r="A729" s="73" t="n"/>
      <c r="B729" s="74" t="n"/>
      <c r="C729" s="74" t="n"/>
      <c r="D729" s="75">
        <f>IF($C729="","",IFERROR(INDEX(CAT_TIPO,MATCH($C729,CAT_NOME,0)),"Sem categoria"))</f>
        <v/>
      </c>
      <c r="E729" s="75">
        <f>IF($C729="","",IFERROR(INDEX(CAT_GRUPO,MATCH($C729,CAT_NOME,0)),"Sem categoria"))</f>
        <v/>
      </c>
      <c r="F729" s="76" t="n"/>
      <c r="G729" s="74" t="n"/>
      <c r="H729" s="74" t="n"/>
      <c r="I729" s="74" t="n"/>
      <c r="J729" s="77" t="n"/>
      <c r="K729" s="77" t="n"/>
      <c r="L729" s="74" t="n"/>
      <c r="M729" s="74" t="n"/>
      <c r="O729" s="78">
        <f>IF($A729="","",YEAR($A729)*100+MONTH($A729))</f>
        <v/>
      </c>
      <c r="P729" s="79">
        <f>IF(OR($F729="",$D729=""),"",IF($D729="Receita",$F729,IF($D729="Transferência",0,-$F729)))</f>
        <v/>
      </c>
    </row>
    <row r="730">
      <c r="A730" s="73" t="n"/>
      <c r="B730" s="74" t="n"/>
      <c r="C730" s="74" t="n"/>
      <c r="D730" s="75">
        <f>IF($C730="","",IFERROR(INDEX(CAT_TIPO,MATCH($C730,CAT_NOME,0)),"Sem categoria"))</f>
        <v/>
      </c>
      <c r="E730" s="75">
        <f>IF($C730="","",IFERROR(INDEX(CAT_GRUPO,MATCH($C730,CAT_NOME,0)),"Sem categoria"))</f>
        <v/>
      </c>
      <c r="F730" s="76" t="n"/>
      <c r="G730" s="74" t="n"/>
      <c r="H730" s="74" t="n"/>
      <c r="I730" s="74" t="n"/>
      <c r="J730" s="77" t="n"/>
      <c r="K730" s="77" t="n"/>
      <c r="L730" s="74" t="n"/>
      <c r="M730" s="74" t="n"/>
      <c r="O730" s="78">
        <f>IF($A730="","",YEAR($A730)*100+MONTH($A730))</f>
        <v/>
      </c>
      <c r="P730" s="79">
        <f>IF(OR($F730="",$D730=""),"",IF($D730="Receita",$F730,IF($D730="Transferência",0,-$F730)))</f>
        <v/>
      </c>
    </row>
    <row r="731">
      <c r="A731" s="73" t="n"/>
      <c r="B731" s="74" t="n"/>
      <c r="C731" s="74" t="n"/>
      <c r="D731" s="75">
        <f>IF($C731="","",IFERROR(INDEX(CAT_TIPO,MATCH($C731,CAT_NOME,0)),"Sem categoria"))</f>
        <v/>
      </c>
      <c r="E731" s="75">
        <f>IF($C731="","",IFERROR(INDEX(CAT_GRUPO,MATCH($C731,CAT_NOME,0)),"Sem categoria"))</f>
        <v/>
      </c>
      <c r="F731" s="76" t="n"/>
      <c r="G731" s="74" t="n"/>
      <c r="H731" s="74" t="n"/>
      <c r="I731" s="74" t="n"/>
      <c r="J731" s="77" t="n"/>
      <c r="K731" s="77" t="n"/>
      <c r="L731" s="74" t="n"/>
      <c r="M731" s="74" t="n"/>
      <c r="O731" s="78">
        <f>IF($A731="","",YEAR($A731)*100+MONTH($A731))</f>
        <v/>
      </c>
      <c r="P731" s="79">
        <f>IF(OR($F731="",$D731=""),"",IF($D731="Receita",$F731,IF($D731="Transferência",0,-$F731)))</f>
        <v/>
      </c>
    </row>
    <row r="732">
      <c r="A732" s="73" t="n"/>
      <c r="B732" s="74" t="n"/>
      <c r="C732" s="74" t="n"/>
      <c r="D732" s="75">
        <f>IF($C732="","",IFERROR(INDEX(CAT_TIPO,MATCH($C732,CAT_NOME,0)),"Sem categoria"))</f>
        <v/>
      </c>
      <c r="E732" s="75">
        <f>IF($C732="","",IFERROR(INDEX(CAT_GRUPO,MATCH($C732,CAT_NOME,0)),"Sem categoria"))</f>
        <v/>
      </c>
      <c r="F732" s="76" t="n"/>
      <c r="G732" s="74" t="n"/>
      <c r="H732" s="74" t="n"/>
      <c r="I732" s="74" t="n"/>
      <c r="J732" s="77" t="n"/>
      <c r="K732" s="77" t="n"/>
      <c r="L732" s="74" t="n"/>
      <c r="M732" s="74" t="n"/>
      <c r="O732" s="78">
        <f>IF($A732="","",YEAR($A732)*100+MONTH($A732))</f>
        <v/>
      </c>
      <c r="P732" s="79">
        <f>IF(OR($F732="",$D732=""),"",IF($D732="Receita",$F732,IF($D732="Transferência",0,-$F732)))</f>
        <v/>
      </c>
    </row>
    <row r="733">
      <c r="A733" s="73" t="n"/>
      <c r="B733" s="74" t="n"/>
      <c r="C733" s="74" t="n"/>
      <c r="D733" s="75">
        <f>IF($C733="","",IFERROR(INDEX(CAT_TIPO,MATCH($C733,CAT_NOME,0)),"Sem categoria"))</f>
        <v/>
      </c>
      <c r="E733" s="75">
        <f>IF($C733="","",IFERROR(INDEX(CAT_GRUPO,MATCH($C733,CAT_NOME,0)),"Sem categoria"))</f>
        <v/>
      </c>
      <c r="F733" s="76" t="n"/>
      <c r="G733" s="74" t="n"/>
      <c r="H733" s="74" t="n"/>
      <c r="I733" s="74" t="n"/>
      <c r="J733" s="77" t="n"/>
      <c r="K733" s="77" t="n"/>
      <c r="L733" s="74" t="n"/>
      <c r="M733" s="74" t="n"/>
      <c r="O733" s="78">
        <f>IF($A733="","",YEAR($A733)*100+MONTH($A733))</f>
        <v/>
      </c>
      <c r="P733" s="79">
        <f>IF(OR($F733="",$D733=""),"",IF($D733="Receita",$F733,IF($D733="Transferência",0,-$F733)))</f>
        <v/>
      </c>
    </row>
    <row r="734">
      <c r="A734" s="73" t="n"/>
      <c r="B734" s="74" t="n"/>
      <c r="C734" s="74" t="n"/>
      <c r="D734" s="75">
        <f>IF($C734="","",IFERROR(INDEX(CAT_TIPO,MATCH($C734,CAT_NOME,0)),"Sem categoria"))</f>
        <v/>
      </c>
      <c r="E734" s="75">
        <f>IF($C734="","",IFERROR(INDEX(CAT_GRUPO,MATCH($C734,CAT_NOME,0)),"Sem categoria"))</f>
        <v/>
      </c>
      <c r="F734" s="76" t="n"/>
      <c r="G734" s="74" t="n"/>
      <c r="H734" s="74" t="n"/>
      <c r="I734" s="74" t="n"/>
      <c r="J734" s="77" t="n"/>
      <c r="K734" s="77" t="n"/>
      <c r="L734" s="74" t="n"/>
      <c r="M734" s="74" t="n"/>
      <c r="O734" s="78">
        <f>IF($A734="","",YEAR($A734)*100+MONTH($A734))</f>
        <v/>
      </c>
      <c r="P734" s="79">
        <f>IF(OR($F734="",$D734=""),"",IF($D734="Receita",$F734,IF($D734="Transferência",0,-$F734)))</f>
        <v/>
      </c>
    </row>
    <row r="735">
      <c r="A735" s="73" t="n"/>
      <c r="B735" s="74" t="n"/>
      <c r="C735" s="74" t="n"/>
      <c r="D735" s="75">
        <f>IF($C735="","",IFERROR(INDEX(CAT_TIPO,MATCH($C735,CAT_NOME,0)),"Sem categoria"))</f>
        <v/>
      </c>
      <c r="E735" s="75">
        <f>IF($C735="","",IFERROR(INDEX(CAT_GRUPO,MATCH($C735,CAT_NOME,0)),"Sem categoria"))</f>
        <v/>
      </c>
      <c r="F735" s="76" t="n"/>
      <c r="G735" s="74" t="n"/>
      <c r="H735" s="74" t="n"/>
      <c r="I735" s="74" t="n"/>
      <c r="J735" s="77" t="n"/>
      <c r="K735" s="77" t="n"/>
      <c r="L735" s="74" t="n"/>
      <c r="M735" s="74" t="n"/>
      <c r="O735" s="78">
        <f>IF($A735="","",YEAR($A735)*100+MONTH($A735))</f>
        <v/>
      </c>
      <c r="P735" s="79">
        <f>IF(OR($F735="",$D735=""),"",IF($D735="Receita",$F735,IF($D735="Transferência",0,-$F735)))</f>
        <v/>
      </c>
    </row>
    <row r="736">
      <c r="A736" s="73" t="n"/>
      <c r="B736" s="74" t="n"/>
      <c r="C736" s="74" t="n"/>
      <c r="D736" s="75">
        <f>IF($C736="","",IFERROR(INDEX(CAT_TIPO,MATCH($C736,CAT_NOME,0)),"Sem categoria"))</f>
        <v/>
      </c>
      <c r="E736" s="75">
        <f>IF($C736="","",IFERROR(INDEX(CAT_GRUPO,MATCH($C736,CAT_NOME,0)),"Sem categoria"))</f>
        <v/>
      </c>
      <c r="F736" s="76" t="n"/>
      <c r="G736" s="74" t="n"/>
      <c r="H736" s="74" t="n"/>
      <c r="I736" s="74" t="n"/>
      <c r="J736" s="77" t="n"/>
      <c r="K736" s="77" t="n"/>
      <c r="L736" s="74" t="n"/>
      <c r="M736" s="74" t="n"/>
      <c r="O736" s="78">
        <f>IF($A736="","",YEAR($A736)*100+MONTH($A736))</f>
        <v/>
      </c>
      <c r="P736" s="79">
        <f>IF(OR($F736="",$D736=""),"",IF($D736="Receita",$F736,IF($D736="Transferência",0,-$F736)))</f>
        <v/>
      </c>
    </row>
    <row r="737">
      <c r="A737" s="73" t="n"/>
      <c r="B737" s="74" t="n"/>
      <c r="C737" s="74" t="n"/>
      <c r="D737" s="75">
        <f>IF($C737="","",IFERROR(INDEX(CAT_TIPO,MATCH($C737,CAT_NOME,0)),"Sem categoria"))</f>
        <v/>
      </c>
      <c r="E737" s="75">
        <f>IF($C737="","",IFERROR(INDEX(CAT_GRUPO,MATCH($C737,CAT_NOME,0)),"Sem categoria"))</f>
        <v/>
      </c>
      <c r="F737" s="76" t="n"/>
      <c r="G737" s="74" t="n"/>
      <c r="H737" s="74" t="n"/>
      <c r="I737" s="74" t="n"/>
      <c r="J737" s="77" t="n"/>
      <c r="K737" s="77" t="n"/>
      <c r="L737" s="74" t="n"/>
      <c r="M737" s="74" t="n"/>
      <c r="O737" s="78">
        <f>IF($A737="","",YEAR($A737)*100+MONTH($A737))</f>
        <v/>
      </c>
      <c r="P737" s="79">
        <f>IF(OR($F737="",$D737=""),"",IF($D737="Receita",$F737,IF($D737="Transferência",0,-$F737)))</f>
        <v/>
      </c>
    </row>
    <row r="738">
      <c r="A738" s="73" t="n"/>
      <c r="B738" s="74" t="n"/>
      <c r="C738" s="74" t="n"/>
      <c r="D738" s="75">
        <f>IF($C738="","",IFERROR(INDEX(CAT_TIPO,MATCH($C738,CAT_NOME,0)),"Sem categoria"))</f>
        <v/>
      </c>
      <c r="E738" s="75">
        <f>IF($C738="","",IFERROR(INDEX(CAT_GRUPO,MATCH($C738,CAT_NOME,0)),"Sem categoria"))</f>
        <v/>
      </c>
      <c r="F738" s="76" t="n"/>
      <c r="G738" s="74" t="n"/>
      <c r="H738" s="74" t="n"/>
      <c r="I738" s="74" t="n"/>
      <c r="J738" s="77" t="n"/>
      <c r="K738" s="77" t="n"/>
      <c r="L738" s="74" t="n"/>
      <c r="M738" s="74" t="n"/>
      <c r="O738" s="78">
        <f>IF($A738="","",YEAR($A738)*100+MONTH($A738))</f>
        <v/>
      </c>
      <c r="P738" s="79">
        <f>IF(OR($F738="",$D738=""),"",IF($D738="Receita",$F738,IF($D738="Transferência",0,-$F738)))</f>
        <v/>
      </c>
    </row>
    <row r="739">
      <c r="A739" s="73" t="n"/>
      <c r="B739" s="74" t="n"/>
      <c r="C739" s="74" t="n"/>
      <c r="D739" s="75">
        <f>IF($C739="","",IFERROR(INDEX(CAT_TIPO,MATCH($C739,CAT_NOME,0)),"Sem categoria"))</f>
        <v/>
      </c>
      <c r="E739" s="75">
        <f>IF($C739="","",IFERROR(INDEX(CAT_GRUPO,MATCH($C739,CAT_NOME,0)),"Sem categoria"))</f>
        <v/>
      </c>
      <c r="F739" s="76" t="n"/>
      <c r="G739" s="74" t="n"/>
      <c r="H739" s="74" t="n"/>
      <c r="I739" s="74" t="n"/>
      <c r="J739" s="77" t="n"/>
      <c r="K739" s="77" t="n"/>
      <c r="L739" s="74" t="n"/>
      <c r="M739" s="74" t="n"/>
      <c r="O739" s="78">
        <f>IF($A739="","",YEAR($A739)*100+MONTH($A739))</f>
        <v/>
      </c>
      <c r="P739" s="79">
        <f>IF(OR($F739="",$D739=""),"",IF($D739="Receita",$F739,IF($D739="Transferência",0,-$F739)))</f>
        <v/>
      </c>
    </row>
    <row r="740">
      <c r="A740" s="73" t="n"/>
      <c r="B740" s="74" t="n"/>
      <c r="C740" s="74" t="n"/>
      <c r="D740" s="75">
        <f>IF($C740="","",IFERROR(INDEX(CAT_TIPO,MATCH($C740,CAT_NOME,0)),"Sem categoria"))</f>
        <v/>
      </c>
      <c r="E740" s="75">
        <f>IF($C740="","",IFERROR(INDEX(CAT_GRUPO,MATCH($C740,CAT_NOME,0)),"Sem categoria"))</f>
        <v/>
      </c>
      <c r="F740" s="76" t="n"/>
      <c r="G740" s="74" t="n"/>
      <c r="H740" s="74" t="n"/>
      <c r="I740" s="74" t="n"/>
      <c r="J740" s="77" t="n"/>
      <c r="K740" s="77" t="n"/>
      <c r="L740" s="74" t="n"/>
      <c r="M740" s="74" t="n"/>
      <c r="O740" s="78">
        <f>IF($A740="","",YEAR($A740)*100+MONTH($A740))</f>
        <v/>
      </c>
      <c r="P740" s="79">
        <f>IF(OR($F740="",$D740=""),"",IF($D740="Receita",$F740,IF($D740="Transferência",0,-$F740)))</f>
        <v/>
      </c>
    </row>
    <row r="741">
      <c r="A741" s="73" t="n"/>
      <c r="B741" s="74" t="n"/>
      <c r="C741" s="74" t="n"/>
      <c r="D741" s="75">
        <f>IF($C741="","",IFERROR(INDEX(CAT_TIPO,MATCH($C741,CAT_NOME,0)),"Sem categoria"))</f>
        <v/>
      </c>
      <c r="E741" s="75">
        <f>IF($C741="","",IFERROR(INDEX(CAT_GRUPO,MATCH($C741,CAT_NOME,0)),"Sem categoria"))</f>
        <v/>
      </c>
      <c r="F741" s="76" t="n"/>
      <c r="G741" s="74" t="n"/>
      <c r="H741" s="74" t="n"/>
      <c r="I741" s="74" t="n"/>
      <c r="J741" s="77" t="n"/>
      <c r="K741" s="77" t="n"/>
      <c r="L741" s="74" t="n"/>
      <c r="M741" s="74" t="n"/>
      <c r="O741" s="78">
        <f>IF($A741="","",YEAR($A741)*100+MONTH($A741))</f>
        <v/>
      </c>
      <c r="P741" s="79">
        <f>IF(OR($F741="",$D741=""),"",IF($D741="Receita",$F741,IF($D741="Transferência",0,-$F741)))</f>
        <v/>
      </c>
    </row>
    <row r="742">
      <c r="A742" s="73" t="n"/>
      <c r="B742" s="74" t="n"/>
      <c r="C742" s="74" t="n"/>
      <c r="D742" s="75">
        <f>IF($C742="","",IFERROR(INDEX(CAT_TIPO,MATCH($C742,CAT_NOME,0)),"Sem categoria"))</f>
        <v/>
      </c>
      <c r="E742" s="75">
        <f>IF($C742="","",IFERROR(INDEX(CAT_GRUPO,MATCH($C742,CAT_NOME,0)),"Sem categoria"))</f>
        <v/>
      </c>
      <c r="F742" s="76" t="n"/>
      <c r="G742" s="74" t="n"/>
      <c r="H742" s="74" t="n"/>
      <c r="I742" s="74" t="n"/>
      <c r="J742" s="77" t="n"/>
      <c r="K742" s="77" t="n"/>
      <c r="L742" s="74" t="n"/>
      <c r="M742" s="74" t="n"/>
      <c r="O742" s="78">
        <f>IF($A742="","",YEAR($A742)*100+MONTH($A742))</f>
        <v/>
      </c>
      <c r="P742" s="79">
        <f>IF(OR($F742="",$D742=""),"",IF($D742="Receita",$F742,IF($D742="Transferência",0,-$F742)))</f>
        <v/>
      </c>
    </row>
    <row r="743">
      <c r="A743" s="73" t="n"/>
      <c r="B743" s="74" t="n"/>
      <c r="C743" s="74" t="n"/>
      <c r="D743" s="75">
        <f>IF($C743="","",IFERROR(INDEX(CAT_TIPO,MATCH($C743,CAT_NOME,0)),"Sem categoria"))</f>
        <v/>
      </c>
      <c r="E743" s="75">
        <f>IF($C743="","",IFERROR(INDEX(CAT_GRUPO,MATCH($C743,CAT_NOME,0)),"Sem categoria"))</f>
        <v/>
      </c>
      <c r="F743" s="76" t="n"/>
      <c r="G743" s="74" t="n"/>
      <c r="H743" s="74" t="n"/>
      <c r="I743" s="74" t="n"/>
      <c r="J743" s="77" t="n"/>
      <c r="K743" s="77" t="n"/>
      <c r="L743" s="74" t="n"/>
      <c r="M743" s="74" t="n"/>
      <c r="O743" s="78">
        <f>IF($A743="","",YEAR($A743)*100+MONTH($A743))</f>
        <v/>
      </c>
      <c r="P743" s="79">
        <f>IF(OR($F743="",$D743=""),"",IF($D743="Receita",$F743,IF($D743="Transferência",0,-$F743)))</f>
        <v/>
      </c>
    </row>
    <row r="744">
      <c r="A744" s="73" t="n"/>
      <c r="B744" s="74" t="n"/>
      <c r="C744" s="74" t="n"/>
      <c r="D744" s="75">
        <f>IF($C744="","",IFERROR(INDEX(CAT_TIPO,MATCH($C744,CAT_NOME,0)),"Sem categoria"))</f>
        <v/>
      </c>
      <c r="E744" s="75">
        <f>IF($C744="","",IFERROR(INDEX(CAT_GRUPO,MATCH($C744,CAT_NOME,0)),"Sem categoria"))</f>
        <v/>
      </c>
      <c r="F744" s="76" t="n"/>
      <c r="G744" s="74" t="n"/>
      <c r="H744" s="74" t="n"/>
      <c r="I744" s="74" t="n"/>
      <c r="J744" s="77" t="n"/>
      <c r="K744" s="77" t="n"/>
      <c r="L744" s="74" t="n"/>
      <c r="M744" s="74" t="n"/>
      <c r="O744" s="78">
        <f>IF($A744="","",YEAR($A744)*100+MONTH($A744))</f>
        <v/>
      </c>
      <c r="P744" s="79">
        <f>IF(OR($F744="",$D744=""),"",IF($D744="Receita",$F744,IF($D744="Transferência",0,-$F744)))</f>
        <v/>
      </c>
    </row>
    <row r="745">
      <c r="A745" s="73" t="n"/>
      <c r="B745" s="74" t="n"/>
      <c r="C745" s="74" t="n"/>
      <c r="D745" s="75">
        <f>IF($C745="","",IFERROR(INDEX(CAT_TIPO,MATCH($C745,CAT_NOME,0)),"Sem categoria"))</f>
        <v/>
      </c>
      <c r="E745" s="75">
        <f>IF($C745="","",IFERROR(INDEX(CAT_GRUPO,MATCH($C745,CAT_NOME,0)),"Sem categoria"))</f>
        <v/>
      </c>
      <c r="F745" s="76" t="n"/>
      <c r="G745" s="74" t="n"/>
      <c r="H745" s="74" t="n"/>
      <c r="I745" s="74" t="n"/>
      <c r="J745" s="77" t="n"/>
      <c r="K745" s="77" t="n"/>
      <c r="L745" s="74" t="n"/>
      <c r="M745" s="74" t="n"/>
      <c r="O745" s="78">
        <f>IF($A745="","",YEAR($A745)*100+MONTH($A745))</f>
        <v/>
      </c>
      <c r="P745" s="79">
        <f>IF(OR($F745="",$D745=""),"",IF($D745="Receita",$F745,IF($D745="Transferência",0,-$F745)))</f>
        <v/>
      </c>
    </row>
    <row r="746">
      <c r="A746" s="73" t="n"/>
      <c r="B746" s="74" t="n"/>
      <c r="C746" s="74" t="n"/>
      <c r="D746" s="75">
        <f>IF($C746="","",IFERROR(INDEX(CAT_TIPO,MATCH($C746,CAT_NOME,0)),"Sem categoria"))</f>
        <v/>
      </c>
      <c r="E746" s="75">
        <f>IF($C746="","",IFERROR(INDEX(CAT_GRUPO,MATCH($C746,CAT_NOME,0)),"Sem categoria"))</f>
        <v/>
      </c>
      <c r="F746" s="76" t="n"/>
      <c r="G746" s="74" t="n"/>
      <c r="H746" s="74" t="n"/>
      <c r="I746" s="74" t="n"/>
      <c r="J746" s="77" t="n"/>
      <c r="K746" s="77" t="n"/>
      <c r="L746" s="74" t="n"/>
      <c r="M746" s="74" t="n"/>
      <c r="O746" s="78">
        <f>IF($A746="","",YEAR($A746)*100+MONTH($A746))</f>
        <v/>
      </c>
      <c r="P746" s="79">
        <f>IF(OR($F746="",$D746=""),"",IF($D746="Receita",$F746,IF($D746="Transferência",0,-$F746)))</f>
        <v/>
      </c>
    </row>
    <row r="747">
      <c r="A747" s="73" t="n"/>
      <c r="B747" s="74" t="n"/>
      <c r="C747" s="74" t="n"/>
      <c r="D747" s="75">
        <f>IF($C747="","",IFERROR(INDEX(CAT_TIPO,MATCH($C747,CAT_NOME,0)),"Sem categoria"))</f>
        <v/>
      </c>
      <c r="E747" s="75">
        <f>IF($C747="","",IFERROR(INDEX(CAT_GRUPO,MATCH($C747,CAT_NOME,0)),"Sem categoria"))</f>
        <v/>
      </c>
      <c r="F747" s="76" t="n"/>
      <c r="G747" s="74" t="n"/>
      <c r="H747" s="74" t="n"/>
      <c r="I747" s="74" t="n"/>
      <c r="J747" s="77" t="n"/>
      <c r="K747" s="77" t="n"/>
      <c r="L747" s="74" t="n"/>
      <c r="M747" s="74" t="n"/>
      <c r="O747" s="78">
        <f>IF($A747="","",YEAR($A747)*100+MONTH($A747))</f>
        <v/>
      </c>
      <c r="P747" s="79">
        <f>IF(OR($F747="",$D747=""),"",IF($D747="Receita",$F747,IF($D747="Transferência",0,-$F747)))</f>
        <v/>
      </c>
    </row>
    <row r="748">
      <c r="A748" s="73" t="n"/>
      <c r="B748" s="74" t="n"/>
      <c r="C748" s="74" t="n"/>
      <c r="D748" s="75">
        <f>IF($C748="","",IFERROR(INDEX(CAT_TIPO,MATCH($C748,CAT_NOME,0)),"Sem categoria"))</f>
        <v/>
      </c>
      <c r="E748" s="75">
        <f>IF($C748="","",IFERROR(INDEX(CAT_GRUPO,MATCH($C748,CAT_NOME,0)),"Sem categoria"))</f>
        <v/>
      </c>
      <c r="F748" s="76" t="n"/>
      <c r="G748" s="74" t="n"/>
      <c r="H748" s="74" t="n"/>
      <c r="I748" s="74" t="n"/>
      <c r="J748" s="77" t="n"/>
      <c r="K748" s="77" t="n"/>
      <c r="L748" s="74" t="n"/>
      <c r="M748" s="74" t="n"/>
      <c r="O748" s="78">
        <f>IF($A748="","",YEAR($A748)*100+MONTH($A748))</f>
        <v/>
      </c>
      <c r="P748" s="79">
        <f>IF(OR($F748="",$D748=""),"",IF($D748="Receita",$F748,IF($D748="Transferência",0,-$F748)))</f>
        <v/>
      </c>
    </row>
    <row r="749">
      <c r="A749" s="73" t="n"/>
      <c r="B749" s="74" t="n"/>
      <c r="C749" s="74" t="n"/>
      <c r="D749" s="75">
        <f>IF($C749="","",IFERROR(INDEX(CAT_TIPO,MATCH($C749,CAT_NOME,0)),"Sem categoria"))</f>
        <v/>
      </c>
      <c r="E749" s="75">
        <f>IF($C749="","",IFERROR(INDEX(CAT_GRUPO,MATCH($C749,CAT_NOME,0)),"Sem categoria"))</f>
        <v/>
      </c>
      <c r="F749" s="76" t="n"/>
      <c r="G749" s="74" t="n"/>
      <c r="H749" s="74" t="n"/>
      <c r="I749" s="74" t="n"/>
      <c r="J749" s="77" t="n"/>
      <c r="K749" s="77" t="n"/>
      <c r="L749" s="74" t="n"/>
      <c r="M749" s="74" t="n"/>
      <c r="O749" s="78">
        <f>IF($A749="","",YEAR($A749)*100+MONTH($A749))</f>
        <v/>
      </c>
      <c r="P749" s="79">
        <f>IF(OR($F749="",$D749=""),"",IF($D749="Receita",$F749,IF($D749="Transferência",0,-$F749)))</f>
        <v/>
      </c>
    </row>
    <row r="750">
      <c r="A750" s="73" t="n"/>
      <c r="B750" s="74" t="n"/>
      <c r="C750" s="74" t="n"/>
      <c r="D750" s="75">
        <f>IF($C750="","",IFERROR(INDEX(CAT_TIPO,MATCH($C750,CAT_NOME,0)),"Sem categoria"))</f>
        <v/>
      </c>
      <c r="E750" s="75">
        <f>IF($C750="","",IFERROR(INDEX(CAT_GRUPO,MATCH($C750,CAT_NOME,0)),"Sem categoria"))</f>
        <v/>
      </c>
      <c r="F750" s="76" t="n"/>
      <c r="G750" s="74" t="n"/>
      <c r="H750" s="74" t="n"/>
      <c r="I750" s="74" t="n"/>
      <c r="J750" s="77" t="n"/>
      <c r="K750" s="77" t="n"/>
      <c r="L750" s="74" t="n"/>
      <c r="M750" s="74" t="n"/>
      <c r="O750" s="78">
        <f>IF($A750="","",YEAR($A750)*100+MONTH($A750))</f>
        <v/>
      </c>
      <c r="P750" s="79">
        <f>IF(OR($F750="",$D750=""),"",IF($D750="Receita",$F750,IF($D750="Transferência",0,-$F750)))</f>
        <v/>
      </c>
    </row>
    <row r="751">
      <c r="A751" s="73" t="n"/>
      <c r="B751" s="74" t="n"/>
      <c r="C751" s="74" t="n"/>
      <c r="D751" s="75">
        <f>IF($C751="","",IFERROR(INDEX(CAT_TIPO,MATCH($C751,CAT_NOME,0)),"Sem categoria"))</f>
        <v/>
      </c>
      <c r="E751" s="75">
        <f>IF($C751="","",IFERROR(INDEX(CAT_GRUPO,MATCH($C751,CAT_NOME,0)),"Sem categoria"))</f>
        <v/>
      </c>
      <c r="F751" s="76" t="n"/>
      <c r="G751" s="74" t="n"/>
      <c r="H751" s="74" t="n"/>
      <c r="I751" s="74" t="n"/>
      <c r="J751" s="77" t="n"/>
      <c r="K751" s="77" t="n"/>
      <c r="L751" s="74" t="n"/>
      <c r="M751" s="74" t="n"/>
      <c r="O751" s="78">
        <f>IF($A751="","",YEAR($A751)*100+MONTH($A751))</f>
        <v/>
      </c>
      <c r="P751" s="79">
        <f>IF(OR($F751="",$D751=""),"",IF($D751="Receita",$F751,IF($D751="Transferência",0,-$F751)))</f>
        <v/>
      </c>
    </row>
    <row r="752">
      <c r="A752" s="73" t="n"/>
      <c r="B752" s="74" t="n"/>
      <c r="C752" s="74" t="n"/>
      <c r="D752" s="75">
        <f>IF($C752="","",IFERROR(INDEX(CAT_TIPO,MATCH($C752,CAT_NOME,0)),"Sem categoria"))</f>
        <v/>
      </c>
      <c r="E752" s="75">
        <f>IF($C752="","",IFERROR(INDEX(CAT_GRUPO,MATCH($C752,CAT_NOME,0)),"Sem categoria"))</f>
        <v/>
      </c>
      <c r="F752" s="76" t="n"/>
      <c r="G752" s="74" t="n"/>
      <c r="H752" s="74" t="n"/>
      <c r="I752" s="74" t="n"/>
      <c r="J752" s="77" t="n"/>
      <c r="K752" s="77" t="n"/>
      <c r="L752" s="74" t="n"/>
      <c r="M752" s="74" t="n"/>
      <c r="O752" s="78">
        <f>IF($A752="","",YEAR($A752)*100+MONTH($A752))</f>
        <v/>
      </c>
      <c r="P752" s="79">
        <f>IF(OR($F752="",$D752=""),"",IF($D752="Receita",$F752,IF($D752="Transferência",0,-$F752)))</f>
        <v/>
      </c>
    </row>
    <row r="753">
      <c r="A753" s="73" t="n"/>
      <c r="B753" s="74" t="n"/>
      <c r="C753" s="74" t="n"/>
      <c r="D753" s="75">
        <f>IF($C753="","",IFERROR(INDEX(CAT_TIPO,MATCH($C753,CAT_NOME,0)),"Sem categoria"))</f>
        <v/>
      </c>
      <c r="E753" s="75">
        <f>IF($C753="","",IFERROR(INDEX(CAT_GRUPO,MATCH($C753,CAT_NOME,0)),"Sem categoria"))</f>
        <v/>
      </c>
      <c r="F753" s="76" t="n"/>
      <c r="G753" s="74" t="n"/>
      <c r="H753" s="74" t="n"/>
      <c r="I753" s="74" t="n"/>
      <c r="J753" s="77" t="n"/>
      <c r="K753" s="77" t="n"/>
      <c r="L753" s="74" t="n"/>
      <c r="M753" s="74" t="n"/>
      <c r="O753" s="78">
        <f>IF($A753="","",YEAR($A753)*100+MONTH($A753))</f>
        <v/>
      </c>
      <c r="P753" s="79">
        <f>IF(OR($F753="",$D753=""),"",IF($D753="Receita",$F753,IF($D753="Transferência",0,-$F753)))</f>
        <v/>
      </c>
    </row>
    <row r="754">
      <c r="A754" s="73" t="n"/>
      <c r="B754" s="74" t="n"/>
      <c r="C754" s="74" t="n"/>
      <c r="D754" s="75">
        <f>IF($C754="","",IFERROR(INDEX(CAT_TIPO,MATCH($C754,CAT_NOME,0)),"Sem categoria"))</f>
        <v/>
      </c>
      <c r="E754" s="75">
        <f>IF($C754="","",IFERROR(INDEX(CAT_GRUPO,MATCH($C754,CAT_NOME,0)),"Sem categoria"))</f>
        <v/>
      </c>
      <c r="F754" s="76" t="n"/>
      <c r="G754" s="74" t="n"/>
      <c r="H754" s="74" t="n"/>
      <c r="I754" s="74" t="n"/>
      <c r="J754" s="77" t="n"/>
      <c r="K754" s="77" t="n"/>
      <c r="L754" s="74" t="n"/>
      <c r="M754" s="74" t="n"/>
      <c r="O754" s="78">
        <f>IF($A754="","",YEAR($A754)*100+MONTH($A754))</f>
        <v/>
      </c>
      <c r="P754" s="79">
        <f>IF(OR($F754="",$D754=""),"",IF($D754="Receita",$F754,IF($D754="Transferência",0,-$F754)))</f>
        <v/>
      </c>
    </row>
    <row r="755">
      <c r="A755" s="73" t="n"/>
      <c r="B755" s="74" t="n"/>
      <c r="C755" s="74" t="n"/>
      <c r="D755" s="75">
        <f>IF($C755="","",IFERROR(INDEX(CAT_TIPO,MATCH($C755,CAT_NOME,0)),"Sem categoria"))</f>
        <v/>
      </c>
      <c r="E755" s="75">
        <f>IF($C755="","",IFERROR(INDEX(CAT_GRUPO,MATCH($C755,CAT_NOME,0)),"Sem categoria"))</f>
        <v/>
      </c>
      <c r="F755" s="76" t="n"/>
      <c r="G755" s="74" t="n"/>
      <c r="H755" s="74" t="n"/>
      <c r="I755" s="74" t="n"/>
      <c r="J755" s="77" t="n"/>
      <c r="K755" s="77" t="n"/>
      <c r="L755" s="74" t="n"/>
      <c r="M755" s="74" t="n"/>
      <c r="O755" s="78">
        <f>IF($A755="","",YEAR($A755)*100+MONTH($A755))</f>
        <v/>
      </c>
      <c r="P755" s="79">
        <f>IF(OR($F755="",$D755=""),"",IF($D755="Receita",$F755,IF($D755="Transferência",0,-$F755)))</f>
        <v/>
      </c>
    </row>
    <row r="756">
      <c r="A756" s="73" t="n"/>
      <c r="B756" s="74" t="n"/>
      <c r="C756" s="74" t="n"/>
      <c r="D756" s="75">
        <f>IF($C756="","",IFERROR(INDEX(CAT_TIPO,MATCH($C756,CAT_NOME,0)),"Sem categoria"))</f>
        <v/>
      </c>
      <c r="E756" s="75">
        <f>IF($C756="","",IFERROR(INDEX(CAT_GRUPO,MATCH($C756,CAT_NOME,0)),"Sem categoria"))</f>
        <v/>
      </c>
      <c r="F756" s="76" t="n"/>
      <c r="G756" s="74" t="n"/>
      <c r="H756" s="74" t="n"/>
      <c r="I756" s="74" t="n"/>
      <c r="J756" s="77" t="n"/>
      <c r="K756" s="77" t="n"/>
      <c r="L756" s="74" t="n"/>
      <c r="M756" s="74" t="n"/>
      <c r="O756" s="78">
        <f>IF($A756="","",YEAR($A756)*100+MONTH($A756))</f>
        <v/>
      </c>
      <c r="P756" s="79">
        <f>IF(OR($F756="",$D756=""),"",IF($D756="Receita",$F756,IF($D756="Transferência",0,-$F756)))</f>
        <v/>
      </c>
    </row>
    <row r="757">
      <c r="A757" s="73" t="n"/>
      <c r="B757" s="74" t="n"/>
      <c r="C757" s="74" t="n"/>
      <c r="D757" s="75">
        <f>IF($C757="","",IFERROR(INDEX(CAT_TIPO,MATCH($C757,CAT_NOME,0)),"Sem categoria"))</f>
        <v/>
      </c>
      <c r="E757" s="75">
        <f>IF($C757="","",IFERROR(INDEX(CAT_GRUPO,MATCH($C757,CAT_NOME,0)),"Sem categoria"))</f>
        <v/>
      </c>
      <c r="F757" s="76" t="n"/>
      <c r="G757" s="74" t="n"/>
      <c r="H757" s="74" t="n"/>
      <c r="I757" s="74" t="n"/>
      <c r="J757" s="77" t="n"/>
      <c r="K757" s="77" t="n"/>
      <c r="L757" s="74" t="n"/>
      <c r="M757" s="74" t="n"/>
      <c r="O757" s="78">
        <f>IF($A757="","",YEAR($A757)*100+MONTH($A757))</f>
        <v/>
      </c>
      <c r="P757" s="79">
        <f>IF(OR($F757="",$D757=""),"",IF($D757="Receita",$F757,IF($D757="Transferência",0,-$F757)))</f>
        <v/>
      </c>
    </row>
    <row r="758">
      <c r="A758" s="73" t="n"/>
      <c r="B758" s="74" t="n"/>
      <c r="C758" s="74" t="n"/>
      <c r="D758" s="75">
        <f>IF($C758="","",IFERROR(INDEX(CAT_TIPO,MATCH($C758,CAT_NOME,0)),"Sem categoria"))</f>
        <v/>
      </c>
      <c r="E758" s="75">
        <f>IF($C758="","",IFERROR(INDEX(CAT_GRUPO,MATCH($C758,CAT_NOME,0)),"Sem categoria"))</f>
        <v/>
      </c>
      <c r="F758" s="76" t="n"/>
      <c r="G758" s="74" t="n"/>
      <c r="H758" s="74" t="n"/>
      <c r="I758" s="74" t="n"/>
      <c r="J758" s="77" t="n"/>
      <c r="K758" s="77" t="n"/>
      <c r="L758" s="74" t="n"/>
      <c r="M758" s="74" t="n"/>
      <c r="O758" s="78">
        <f>IF($A758="","",YEAR($A758)*100+MONTH($A758))</f>
        <v/>
      </c>
      <c r="P758" s="79">
        <f>IF(OR($F758="",$D758=""),"",IF($D758="Receita",$F758,IF($D758="Transferência",0,-$F758)))</f>
        <v/>
      </c>
    </row>
    <row r="759">
      <c r="A759" s="73" t="n"/>
      <c r="B759" s="74" t="n"/>
      <c r="C759" s="74" t="n"/>
      <c r="D759" s="75">
        <f>IF($C759="","",IFERROR(INDEX(CAT_TIPO,MATCH($C759,CAT_NOME,0)),"Sem categoria"))</f>
        <v/>
      </c>
      <c r="E759" s="75">
        <f>IF($C759="","",IFERROR(INDEX(CAT_GRUPO,MATCH($C759,CAT_NOME,0)),"Sem categoria"))</f>
        <v/>
      </c>
      <c r="F759" s="76" t="n"/>
      <c r="G759" s="74" t="n"/>
      <c r="H759" s="74" t="n"/>
      <c r="I759" s="74" t="n"/>
      <c r="J759" s="77" t="n"/>
      <c r="K759" s="77" t="n"/>
      <c r="L759" s="74" t="n"/>
      <c r="M759" s="74" t="n"/>
      <c r="O759" s="78">
        <f>IF($A759="","",YEAR($A759)*100+MONTH($A759))</f>
        <v/>
      </c>
      <c r="P759" s="79">
        <f>IF(OR($F759="",$D759=""),"",IF($D759="Receita",$F759,IF($D759="Transferência",0,-$F759)))</f>
        <v/>
      </c>
    </row>
    <row r="760">
      <c r="A760" s="73" t="n"/>
      <c r="B760" s="74" t="n"/>
      <c r="C760" s="74" t="n"/>
      <c r="D760" s="75">
        <f>IF($C760="","",IFERROR(INDEX(CAT_TIPO,MATCH($C760,CAT_NOME,0)),"Sem categoria"))</f>
        <v/>
      </c>
      <c r="E760" s="75">
        <f>IF($C760="","",IFERROR(INDEX(CAT_GRUPO,MATCH($C760,CAT_NOME,0)),"Sem categoria"))</f>
        <v/>
      </c>
      <c r="F760" s="76" t="n"/>
      <c r="G760" s="74" t="n"/>
      <c r="H760" s="74" t="n"/>
      <c r="I760" s="74" t="n"/>
      <c r="J760" s="77" t="n"/>
      <c r="K760" s="77" t="n"/>
      <c r="L760" s="74" t="n"/>
      <c r="M760" s="74" t="n"/>
      <c r="O760" s="78">
        <f>IF($A760="","",YEAR($A760)*100+MONTH($A760))</f>
        <v/>
      </c>
      <c r="P760" s="79">
        <f>IF(OR($F760="",$D760=""),"",IF($D760="Receita",$F760,IF($D760="Transferência",0,-$F760)))</f>
        <v/>
      </c>
    </row>
    <row r="761">
      <c r="A761" s="73" t="n"/>
      <c r="B761" s="74" t="n"/>
      <c r="C761" s="74" t="n"/>
      <c r="D761" s="75">
        <f>IF($C761="","",IFERROR(INDEX(CAT_TIPO,MATCH($C761,CAT_NOME,0)),"Sem categoria"))</f>
        <v/>
      </c>
      <c r="E761" s="75">
        <f>IF($C761="","",IFERROR(INDEX(CAT_GRUPO,MATCH($C761,CAT_NOME,0)),"Sem categoria"))</f>
        <v/>
      </c>
      <c r="F761" s="76" t="n"/>
      <c r="G761" s="74" t="n"/>
      <c r="H761" s="74" t="n"/>
      <c r="I761" s="74" t="n"/>
      <c r="J761" s="77" t="n"/>
      <c r="K761" s="77" t="n"/>
      <c r="L761" s="74" t="n"/>
      <c r="M761" s="74" t="n"/>
      <c r="O761" s="78">
        <f>IF($A761="","",YEAR($A761)*100+MONTH($A761))</f>
        <v/>
      </c>
      <c r="P761" s="79">
        <f>IF(OR($F761="",$D761=""),"",IF($D761="Receita",$F761,IF($D761="Transferência",0,-$F761)))</f>
        <v/>
      </c>
    </row>
    <row r="762">
      <c r="A762" s="73" t="n"/>
      <c r="B762" s="74" t="n"/>
      <c r="C762" s="74" t="n"/>
      <c r="D762" s="75">
        <f>IF($C762="","",IFERROR(INDEX(CAT_TIPO,MATCH($C762,CAT_NOME,0)),"Sem categoria"))</f>
        <v/>
      </c>
      <c r="E762" s="75">
        <f>IF($C762="","",IFERROR(INDEX(CAT_GRUPO,MATCH($C762,CAT_NOME,0)),"Sem categoria"))</f>
        <v/>
      </c>
      <c r="F762" s="76" t="n"/>
      <c r="G762" s="74" t="n"/>
      <c r="H762" s="74" t="n"/>
      <c r="I762" s="74" t="n"/>
      <c r="J762" s="77" t="n"/>
      <c r="K762" s="77" t="n"/>
      <c r="L762" s="74" t="n"/>
      <c r="M762" s="74" t="n"/>
      <c r="O762" s="78">
        <f>IF($A762="","",YEAR($A762)*100+MONTH($A762))</f>
        <v/>
      </c>
      <c r="P762" s="79">
        <f>IF(OR($F762="",$D762=""),"",IF($D762="Receita",$F762,IF($D762="Transferência",0,-$F762)))</f>
        <v/>
      </c>
    </row>
    <row r="763">
      <c r="A763" s="73" t="n"/>
      <c r="B763" s="74" t="n"/>
      <c r="C763" s="74" t="n"/>
      <c r="D763" s="75">
        <f>IF($C763="","",IFERROR(INDEX(CAT_TIPO,MATCH($C763,CAT_NOME,0)),"Sem categoria"))</f>
        <v/>
      </c>
      <c r="E763" s="75">
        <f>IF($C763="","",IFERROR(INDEX(CAT_GRUPO,MATCH($C763,CAT_NOME,0)),"Sem categoria"))</f>
        <v/>
      </c>
      <c r="F763" s="76" t="n"/>
      <c r="G763" s="74" t="n"/>
      <c r="H763" s="74" t="n"/>
      <c r="I763" s="74" t="n"/>
      <c r="J763" s="77" t="n"/>
      <c r="K763" s="77" t="n"/>
      <c r="L763" s="74" t="n"/>
      <c r="M763" s="74" t="n"/>
      <c r="O763" s="78">
        <f>IF($A763="","",YEAR($A763)*100+MONTH($A763))</f>
        <v/>
      </c>
      <c r="P763" s="79">
        <f>IF(OR($F763="",$D763=""),"",IF($D763="Receita",$F763,IF($D763="Transferência",0,-$F763)))</f>
        <v/>
      </c>
    </row>
    <row r="764">
      <c r="A764" s="73" t="n"/>
      <c r="B764" s="74" t="n"/>
      <c r="C764" s="74" t="n"/>
      <c r="D764" s="75">
        <f>IF($C764="","",IFERROR(INDEX(CAT_TIPO,MATCH($C764,CAT_NOME,0)),"Sem categoria"))</f>
        <v/>
      </c>
      <c r="E764" s="75">
        <f>IF($C764="","",IFERROR(INDEX(CAT_GRUPO,MATCH($C764,CAT_NOME,0)),"Sem categoria"))</f>
        <v/>
      </c>
      <c r="F764" s="76" t="n"/>
      <c r="G764" s="74" t="n"/>
      <c r="H764" s="74" t="n"/>
      <c r="I764" s="74" t="n"/>
      <c r="J764" s="77" t="n"/>
      <c r="K764" s="77" t="n"/>
      <c r="L764" s="74" t="n"/>
      <c r="M764" s="74" t="n"/>
      <c r="O764" s="78">
        <f>IF($A764="","",YEAR($A764)*100+MONTH($A764))</f>
        <v/>
      </c>
      <c r="P764" s="79">
        <f>IF(OR($F764="",$D764=""),"",IF($D764="Receita",$F764,IF($D764="Transferência",0,-$F764)))</f>
        <v/>
      </c>
    </row>
    <row r="765">
      <c r="A765" s="73" t="n"/>
      <c r="B765" s="74" t="n"/>
      <c r="C765" s="74" t="n"/>
      <c r="D765" s="75">
        <f>IF($C765="","",IFERROR(INDEX(CAT_TIPO,MATCH($C765,CAT_NOME,0)),"Sem categoria"))</f>
        <v/>
      </c>
      <c r="E765" s="75">
        <f>IF($C765="","",IFERROR(INDEX(CAT_GRUPO,MATCH($C765,CAT_NOME,0)),"Sem categoria"))</f>
        <v/>
      </c>
      <c r="F765" s="76" t="n"/>
      <c r="G765" s="74" t="n"/>
      <c r="H765" s="74" t="n"/>
      <c r="I765" s="74" t="n"/>
      <c r="J765" s="77" t="n"/>
      <c r="K765" s="77" t="n"/>
      <c r="L765" s="74" t="n"/>
      <c r="M765" s="74" t="n"/>
      <c r="O765" s="78">
        <f>IF($A765="","",YEAR($A765)*100+MONTH($A765))</f>
        <v/>
      </c>
      <c r="P765" s="79">
        <f>IF(OR($F765="",$D765=""),"",IF($D765="Receita",$F765,IF($D765="Transferência",0,-$F765)))</f>
        <v/>
      </c>
    </row>
    <row r="766">
      <c r="A766" s="73" t="n"/>
      <c r="B766" s="74" t="n"/>
      <c r="C766" s="74" t="n"/>
      <c r="D766" s="75">
        <f>IF($C766="","",IFERROR(INDEX(CAT_TIPO,MATCH($C766,CAT_NOME,0)),"Sem categoria"))</f>
        <v/>
      </c>
      <c r="E766" s="75">
        <f>IF($C766="","",IFERROR(INDEX(CAT_GRUPO,MATCH($C766,CAT_NOME,0)),"Sem categoria"))</f>
        <v/>
      </c>
      <c r="F766" s="76" t="n"/>
      <c r="G766" s="74" t="n"/>
      <c r="H766" s="74" t="n"/>
      <c r="I766" s="74" t="n"/>
      <c r="J766" s="77" t="n"/>
      <c r="K766" s="77" t="n"/>
      <c r="L766" s="74" t="n"/>
      <c r="M766" s="74" t="n"/>
      <c r="O766" s="78">
        <f>IF($A766="","",YEAR($A766)*100+MONTH($A766))</f>
        <v/>
      </c>
      <c r="P766" s="79">
        <f>IF(OR($F766="",$D766=""),"",IF($D766="Receita",$F766,IF($D766="Transferência",0,-$F766)))</f>
        <v/>
      </c>
    </row>
    <row r="767">
      <c r="A767" s="73" t="n"/>
      <c r="B767" s="74" t="n"/>
      <c r="C767" s="74" t="n"/>
      <c r="D767" s="75">
        <f>IF($C767="","",IFERROR(INDEX(CAT_TIPO,MATCH($C767,CAT_NOME,0)),"Sem categoria"))</f>
        <v/>
      </c>
      <c r="E767" s="75">
        <f>IF($C767="","",IFERROR(INDEX(CAT_GRUPO,MATCH($C767,CAT_NOME,0)),"Sem categoria"))</f>
        <v/>
      </c>
      <c r="F767" s="76" t="n"/>
      <c r="G767" s="74" t="n"/>
      <c r="H767" s="74" t="n"/>
      <c r="I767" s="74" t="n"/>
      <c r="J767" s="77" t="n"/>
      <c r="K767" s="77" t="n"/>
      <c r="L767" s="74" t="n"/>
      <c r="M767" s="74" t="n"/>
      <c r="O767" s="78">
        <f>IF($A767="","",YEAR($A767)*100+MONTH($A767))</f>
        <v/>
      </c>
      <c r="P767" s="79">
        <f>IF(OR($F767="",$D767=""),"",IF($D767="Receita",$F767,IF($D767="Transferência",0,-$F767)))</f>
        <v/>
      </c>
    </row>
    <row r="768">
      <c r="A768" s="73" t="n"/>
      <c r="B768" s="74" t="n"/>
      <c r="C768" s="74" t="n"/>
      <c r="D768" s="75">
        <f>IF($C768="","",IFERROR(INDEX(CAT_TIPO,MATCH($C768,CAT_NOME,0)),"Sem categoria"))</f>
        <v/>
      </c>
      <c r="E768" s="75">
        <f>IF($C768="","",IFERROR(INDEX(CAT_GRUPO,MATCH($C768,CAT_NOME,0)),"Sem categoria"))</f>
        <v/>
      </c>
      <c r="F768" s="76" t="n"/>
      <c r="G768" s="74" t="n"/>
      <c r="H768" s="74" t="n"/>
      <c r="I768" s="74" t="n"/>
      <c r="J768" s="77" t="n"/>
      <c r="K768" s="77" t="n"/>
      <c r="L768" s="74" t="n"/>
      <c r="M768" s="74" t="n"/>
      <c r="O768" s="78">
        <f>IF($A768="","",YEAR($A768)*100+MONTH($A768))</f>
        <v/>
      </c>
      <c r="P768" s="79">
        <f>IF(OR($F768="",$D768=""),"",IF($D768="Receita",$F768,IF($D768="Transferência",0,-$F768)))</f>
        <v/>
      </c>
    </row>
    <row r="769">
      <c r="A769" s="73" t="n"/>
      <c r="B769" s="74" t="n"/>
      <c r="C769" s="74" t="n"/>
      <c r="D769" s="75">
        <f>IF($C769="","",IFERROR(INDEX(CAT_TIPO,MATCH($C769,CAT_NOME,0)),"Sem categoria"))</f>
        <v/>
      </c>
      <c r="E769" s="75">
        <f>IF($C769="","",IFERROR(INDEX(CAT_GRUPO,MATCH($C769,CAT_NOME,0)),"Sem categoria"))</f>
        <v/>
      </c>
      <c r="F769" s="76" t="n"/>
      <c r="G769" s="74" t="n"/>
      <c r="H769" s="74" t="n"/>
      <c r="I769" s="74" t="n"/>
      <c r="J769" s="77" t="n"/>
      <c r="K769" s="77" t="n"/>
      <c r="L769" s="74" t="n"/>
      <c r="M769" s="74" t="n"/>
      <c r="O769" s="78">
        <f>IF($A769="","",YEAR($A769)*100+MONTH($A769))</f>
        <v/>
      </c>
      <c r="P769" s="79">
        <f>IF(OR($F769="",$D769=""),"",IF($D769="Receita",$F769,IF($D769="Transferência",0,-$F769)))</f>
        <v/>
      </c>
    </row>
    <row r="770">
      <c r="A770" s="73" t="n"/>
      <c r="B770" s="74" t="n"/>
      <c r="C770" s="74" t="n"/>
      <c r="D770" s="75">
        <f>IF($C770="","",IFERROR(INDEX(CAT_TIPO,MATCH($C770,CAT_NOME,0)),"Sem categoria"))</f>
        <v/>
      </c>
      <c r="E770" s="75">
        <f>IF($C770="","",IFERROR(INDEX(CAT_GRUPO,MATCH($C770,CAT_NOME,0)),"Sem categoria"))</f>
        <v/>
      </c>
      <c r="F770" s="76" t="n"/>
      <c r="G770" s="74" t="n"/>
      <c r="H770" s="74" t="n"/>
      <c r="I770" s="74" t="n"/>
      <c r="J770" s="77" t="n"/>
      <c r="K770" s="77" t="n"/>
      <c r="L770" s="74" t="n"/>
      <c r="M770" s="74" t="n"/>
      <c r="O770" s="78">
        <f>IF($A770="","",YEAR($A770)*100+MONTH($A770))</f>
        <v/>
      </c>
      <c r="P770" s="79">
        <f>IF(OR($F770="",$D770=""),"",IF($D770="Receita",$F770,IF($D770="Transferência",0,-$F770)))</f>
        <v/>
      </c>
    </row>
    <row r="771">
      <c r="A771" s="73" t="n"/>
      <c r="B771" s="74" t="n"/>
      <c r="C771" s="74" t="n"/>
      <c r="D771" s="75">
        <f>IF($C771="","",IFERROR(INDEX(CAT_TIPO,MATCH($C771,CAT_NOME,0)),"Sem categoria"))</f>
        <v/>
      </c>
      <c r="E771" s="75">
        <f>IF($C771="","",IFERROR(INDEX(CAT_GRUPO,MATCH($C771,CAT_NOME,0)),"Sem categoria"))</f>
        <v/>
      </c>
      <c r="F771" s="76" t="n"/>
      <c r="G771" s="74" t="n"/>
      <c r="H771" s="74" t="n"/>
      <c r="I771" s="74" t="n"/>
      <c r="J771" s="77" t="n"/>
      <c r="K771" s="77" t="n"/>
      <c r="L771" s="74" t="n"/>
      <c r="M771" s="74" t="n"/>
      <c r="O771" s="78">
        <f>IF($A771="","",YEAR($A771)*100+MONTH($A771))</f>
        <v/>
      </c>
      <c r="P771" s="79">
        <f>IF(OR($F771="",$D771=""),"",IF($D771="Receita",$F771,IF($D771="Transferência",0,-$F771)))</f>
        <v/>
      </c>
    </row>
    <row r="772">
      <c r="A772" s="73" t="n"/>
      <c r="B772" s="74" t="n"/>
      <c r="C772" s="74" t="n"/>
      <c r="D772" s="75">
        <f>IF($C772="","",IFERROR(INDEX(CAT_TIPO,MATCH($C772,CAT_NOME,0)),"Sem categoria"))</f>
        <v/>
      </c>
      <c r="E772" s="75">
        <f>IF($C772="","",IFERROR(INDEX(CAT_GRUPO,MATCH($C772,CAT_NOME,0)),"Sem categoria"))</f>
        <v/>
      </c>
      <c r="F772" s="76" t="n"/>
      <c r="G772" s="74" t="n"/>
      <c r="H772" s="74" t="n"/>
      <c r="I772" s="74" t="n"/>
      <c r="J772" s="77" t="n"/>
      <c r="K772" s="77" t="n"/>
      <c r="L772" s="74" t="n"/>
      <c r="M772" s="74" t="n"/>
      <c r="O772" s="78">
        <f>IF($A772="","",YEAR($A772)*100+MONTH($A772))</f>
        <v/>
      </c>
      <c r="P772" s="79">
        <f>IF(OR($F772="",$D772=""),"",IF($D772="Receita",$F772,IF($D772="Transferência",0,-$F772)))</f>
        <v/>
      </c>
    </row>
    <row r="773">
      <c r="A773" s="73" t="n"/>
      <c r="B773" s="74" t="n"/>
      <c r="C773" s="74" t="n"/>
      <c r="D773" s="75">
        <f>IF($C773="","",IFERROR(INDEX(CAT_TIPO,MATCH($C773,CAT_NOME,0)),"Sem categoria"))</f>
        <v/>
      </c>
      <c r="E773" s="75">
        <f>IF($C773="","",IFERROR(INDEX(CAT_GRUPO,MATCH($C773,CAT_NOME,0)),"Sem categoria"))</f>
        <v/>
      </c>
      <c r="F773" s="76" t="n"/>
      <c r="G773" s="74" t="n"/>
      <c r="H773" s="74" t="n"/>
      <c r="I773" s="74" t="n"/>
      <c r="J773" s="77" t="n"/>
      <c r="K773" s="77" t="n"/>
      <c r="L773" s="74" t="n"/>
      <c r="M773" s="74" t="n"/>
      <c r="O773" s="78">
        <f>IF($A773="","",YEAR($A773)*100+MONTH($A773))</f>
        <v/>
      </c>
      <c r="P773" s="79">
        <f>IF(OR($F773="",$D773=""),"",IF($D773="Receita",$F773,IF($D773="Transferência",0,-$F773)))</f>
        <v/>
      </c>
    </row>
    <row r="774">
      <c r="A774" s="73" t="n"/>
      <c r="B774" s="74" t="n"/>
      <c r="C774" s="74" t="n"/>
      <c r="D774" s="75">
        <f>IF($C774="","",IFERROR(INDEX(CAT_TIPO,MATCH($C774,CAT_NOME,0)),"Sem categoria"))</f>
        <v/>
      </c>
      <c r="E774" s="75">
        <f>IF($C774="","",IFERROR(INDEX(CAT_GRUPO,MATCH($C774,CAT_NOME,0)),"Sem categoria"))</f>
        <v/>
      </c>
      <c r="F774" s="76" t="n"/>
      <c r="G774" s="74" t="n"/>
      <c r="H774" s="74" t="n"/>
      <c r="I774" s="74" t="n"/>
      <c r="J774" s="77" t="n"/>
      <c r="K774" s="77" t="n"/>
      <c r="L774" s="74" t="n"/>
      <c r="M774" s="74" t="n"/>
      <c r="O774" s="78">
        <f>IF($A774="","",YEAR($A774)*100+MONTH($A774))</f>
        <v/>
      </c>
      <c r="P774" s="79">
        <f>IF(OR($F774="",$D774=""),"",IF($D774="Receita",$F774,IF($D774="Transferência",0,-$F774)))</f>
        <v/>
      </c>
    </row>
    <row r="775">
      <c r="A775" s="73" t="n"/>
      <c r="B775" s="74" t="n"/>
      <c r="C775" s="74" t="n"/>
      <c r="D775" s="75">
        <f>IF($C775="","",IFERROR(INDEX(CAT_TIPO,MATCH($C775,CAT_NOME,0)),"Sem categoria"))</f>
        <v/>
      </c>
      <c r="E775" s="75">
        <f>IF($C775="","",IFERROR(INDEX(CAT_GRUPO,MATCH($C775,CAT_NOME,0)),"Sem categoria"))</f>
        <v/>
      </c>
      <c r="F775" s="76" t="n"/>
      <c r="G775" s="74" t="n"/>
      <c r="H775" s="74" t="n"/>
      <c r="I775" s="74" t="n"/>
      <c r="J775" s="77" t="n"/>
      <c r="K775" s="77" t="n"/>
      <c r="L775" s="74" t="n"/>
      <c r="M775" s="74" t="n"/>
      <c r="O775" s="78">
        <f>IF($A775="","",YEAR($A775)*100+MONTH($A775))</f>
        <v/>
      </c>
      <c r="P775" s="79">
        <f>IF(OR($F775="",$D775=""),"",IF($D775="Receita",$F775,IF($D775="Transferência",0,-$F775)))</f>
        <v/>
      </c>
    </row>
    <row r="776">
      <c r="A776" s="73" t="n"/>
      <c r="B776" s="74" t="n"/>
      <c r="C776" s="74" t="n"/>
      <c r="D776" s="75">
        <f>IF($C776="","",IFERROR(INDEX(CAT_TIPO,MATCH($C776,CAT_NOME,0)),"Sem categoria"))</f>
        <v/>
      </c>
      <c r="E776" s="75">
        <f>IF($C776="","",IFERROR(INDEX(CAT_GRUPO,MATCH($C776,CAT_NOME,0)),"Sem categoria"))</f>
        <v/>
      </c>
      <c r="F776" s="76" t="n"/>
      <c r="G776" s="74" t="n"/>
      <c r="H776" s="74" t="n"/>
      <c r="I776" s="74" t="n"/>
      <c r="J776" s="77" t="n"/>
      <c r="K776" s="77" t="n"/>
      <c r="L776" s="74" t="n"/>
      <c r="M776" s="74" t="n"/>
      <c r="O776" s="78">
        <f>IF($A776="","",YEAR($A776)*100+MONTH($A776))</f>
        <v/>
      </c>
      <c r="P776" s="79">
        <f>IF(OR($F776="",$D776=""),"",IF($D776="Receita",$F776,IF($D776="Transferência",0,-$F776)))</f>
        <v/>
      </c>
    </row>
    <row r="777">
      <c r="A777" s="73" t="n"/>
      <c r="B777" s="74" t="n"/>
      <c r="C777" s="74" t="n"/>
      <c r="D777" s="75">
        <f>IF($C777="","",IFERROR(INDEX(CAT_TIPO,MATCH($C777,CAT_NOME,0)),"Sem categoria"))</f>
        <v/>
      </c>
      <c r="E777" s="75">
        <f>IF($C777="","",IFERROR(INDEX(CAT_GRUPO,MATCH($C777,CAT_NOME,0)),"Sem categoria"))</f>
        <v/>
      </c>
      <c r="F777" s="76" t="n"/>
      <c r="G777" s="74" t="n"/>
      <c r="H777" s="74" t="n"/>
      <c r="I777" s="74" t="n"/>
      <c r="J777" s="77" t="n"/>
      <c r="K777" s="77" t="n"/>
      <c r="L777" s="74" t="n"/>
      <c r="M777" s="74" t="n"/>
      <c r="O777" s="78">
        <f>IF($A777="","",YEAR($A777)*100+MONTH($A777))</f>
        <v/>
      </c>
      <c r="P777" s="79">
        <f>IF(OR($F777="",$D777=""),"",IF($D777="Receita",$F777,IF($D777="Transferência",0,-$F777)))</f>
        <v/>
      </c>
    </row>
    <row r="778">
      <c r="A778" s="73" t="n"/>
      <c r="B778" s="74" t="n"/>
      <c r="C778" s="74" t="n"/>
      <c r="D778" s="75">
        <f>IF($C778="","",IFERROR(INDEX(CAT_TIPO,MATCH($C778,CAT_NOME,0)),"Sem categoria"))</f>
        <v/>
      </c>
      <c r="E778" s="75">
        <f>IF($C778="","",IFERROR(INDEX(CAT_GRUPO,MATCH($C778,CAT_NOME,0)),"Sem categoria"))</f>
        <v/>
      </c>
      <c r="F778" s="76" t="n"/>
      <c r="G778" s="74" t="n"/>
      <c r="H778" s="74" t="n"/>
      <c r="I778" s="74" t="n"/>
      <c r="J778" s="77" t="n"/>
      <c r="K778" s="77" t="n"/>
      <c r="L778" s="74" t="n"/>
      <c r="M778" s="74" t="n"/>
      <c r="O778" s="78">
        <f>IF($A778="","",YEAR($A778)*100+MONTH($A778))</f>
        <v/>
      </c>
      <c r="P778" s="79">
        <f>IF(OR($F778="",$D778=""),"",IF($D778="Receita",$F778,IF($D778="Transferência",0,-$F778)))</f>
        <v/>
      </c>
    </row>
    <row r="779">
      <c r="A779" s="73" t="n"/>
      <c r="B779" s="74" t="n"/>
      <c r="C779" s="74" t="n"/>
      <c r="D779" s="75">
        <f>IF($C779="","",IFERROR(INDEX(CAT_TIPO,MATCH($C779,CAT_NOME,0)),"Sem categoria"))</f>
        <v/>
      </c>
      <c r="E779" s="75">
        <f>IF($C779="","",IFERROR(INDEX(CAT_GRUPO,MATCH($C779,CAT_NOME,0)),"Sem categoria"))</f>
        <v/>
      </c>
      <c r="F779" s="76" t="n"/>
      <c r="G779" s="74" t="n"/>
      <c r="H779" s="74" t="n"/>
      <c r="I779" s="74" t="n"/>
      <c r="J779" s="77" t="n"/>
      <c r="K779" s="77" t="n"/>
      <c r="L779" s="74" t="n"/>
      <c r="M779" s="74" t="n"/>
      <c r="O779" s="78">
        <f>IF($A779="","",YEAR($A779)*100+MONTH($A779))</f>
        <v/>
      </c>
      <c r="P779" s="79">
        <f>IF(OR($F779="",$D779=""),"",IF($D779="Receita",$F779,IF($D779="Transferência",0,-$F779)))</f>
        <v/>
      </c>
    </row>
    <row r="780">
      <c r="A780" s="73" t="n"/>
      <c r="B780" s="74" t="n"/>
      <c r="C780" s="74" t="n"/>
      <c r="D780" s="75">
        <f>IF($C780="","",IFERROR(INDEX(CAT_TIPO,MATCH($C780,CAT_NOME,0)),"Sem categoria"))</f>
        <v/>
      </c>
      <c r="E780" s="75">
        <f>IF($C780="","",IFERROR(INDEX(CAT_GRUPO,MATCH($C780,CAT_NOME,0)),"Sem categoria"))</f>
        <v/>
      </c>
      <c r="F780" s="76" t="n"/>
      <c r="G780" s="74" t="n"/>
      <c r="H780" s="74" t="n"/>
      <c r="I780" s="74" t="n"/>
      <c r="J780" s="77" t="n"/>
      <c r="K780" s="77" t="n"/>
      <c r="L780" s="74" t="n"/>
      <c r="M780" s="74" t="n"/>
      <c r="O780" s="78">
        <f>IF($A780="","",YEAR($A780)*100+MONTH($A780))</f>
        <v/>
      </c>
      <c r="P780" s="79">
        <f>IF(OR($F780="",$D780=""),"",IF($D780="Receita",$F780,IF($D780="Transferência",0,-$F780)))</f>
        <v/>
      </c>
    </row>
    <row r="781">
      <c r="A781" s="73" t="n"/>
      <c r="B781" s="74" t="n"/>
      <c r="C781" s="74" t="n"/>
      <c r="D781" s="75">
        <f>IF($C781="","",IFERROR(INDEX(CAT_TIPO,MATCH($C781,CAT_NOME,0)),"Sem categoria"))</f>
        <v/>
      </c>
      <c r="E781" s="75">
        <f>IF($C781="","",IFERROR(INDEX(CAT_GRUPO,MATCH($C781,CAT_NOME,0)),"Sem categoria"))</f>
        <v/>
      </c>
      <c r="F781" s="76" t="n"/>
      <c r="G781" s="74" t="n"/>
      <c r="H781" s="74" t="n"/>
      <c r="I781" s="74" t="n"/>
      <c r="J781" s="77" t="n"/>
      <c r="K781" s="77" t="n"/>
      <c r="L781" s="74" t="n"/>
      <c r="M781" s="74" t="n"/>
      <c r="O781" s="78">
        <f>IF($A781="","",YEAR($A781)*100+MONTH($A781))</f>
        <v/>
      </c>
      <c r="P781" s="79">
        <f>IF(OR($F781="",$D781=""),"",IF($D781="Receita",$F781,IF($D781="Transferência",0,-$F781)))</f>
        <v/>
      </c>
    </row>
    <row r="782">
      <c r="A782" s="73" t="n"/>
      <c r="B782" s="74" t="n"/>
      <c r="C782" s="74" t="n"/>
      <c r="D782" s="75">
        <f>IF($C782="","",IFERROR(INDEX(CAT_TIPO,MATCH($C782,CAT_NOME,0)),"Sem categoria"))</f>
        <v/>
      </c>
      <c r="E782" s="75">
        <f>IF($C782="","",IFERROR(INDEX(CAT_GRUPO,MATCH($C782,CAT_NOME,0)),"Sem categoria"))</f>
        <v/>
      </c>
      <c r="F782" s="76" t="n"/>
      <c r="G782" s="74" t="n"/>
      <c r="H782" s="74" t="n"/>
      <c r="I782" s="74" t="n"/>
      <c r="J782" s="77" t="n"/>
      <c r="K782" s="77" t="n"/>
      <c r="L782" s="74" t="n"/>
      <c r="M782" s="74" t="n"/>
      <c r="O782" s="78">
        <f>IF($A782="","",YEAR($A782)*100+MONTH($A782))</f>
        <v/>
      </c>
      <c r="P782" s="79">
        <f>IF(OR($F782="",$D782=""),"",IF($D782="Receita",$F782,IF($D782="Transferência",0,-$F782)))</f>
        <v/>
      </c>
    </row>
    <row r="783">
      <c r="A783" s="73" t="n"/>
      <c r="B783" s="74" t="n"/>
      <c r="C783" s="74" t="n"/>
      <c r="D783" s="75">
        <f>IF($C783="","",IFERROR(INDEX(CAT_TIPO,MATCH($C783,CAT_NOME,0)),"Sem categoria"))</f>
        <v/>
      </c>
      <c r="E783" s="75">
        <f>IF($C783="","",IFERROR(INDEX(CAT_GRUPO,MATCH($C783,CAT_NOME,0)),"Sem categoria"))</f>
        <v/>
      </c>
      <c r="F783" s="76" t="n"/>
      <c r="G783" s="74" t="n"/>
      <c r="H783" s="74" t="n"/>
      <c r="I783" s="74" t="n"/>
      <c r="J783" s="77" t="n"/>
      <c r="K783" s="77" t="n"/>
      <c r="L783" s="74" t="n"/>
      <c r="M783" s="74" t="n"/>
      <c r="O783" s="78">
        <f>IF($A783="","",YEAR($A783)*100+MONTH($A783))</f>
        <v/>
      </c>
      <c r="P783" s="79">
        <f>IF(OR($F783="",$D783=""),"",IF($D783="Receita",$F783,IF($D783="Transferência",0,-$F783)))</f>
        <v/>
      </c>
    </row>
    <row r="784">
      <c r="A784" s="73" t="n"/>
      <c r="B784" s="74" t="n"/>
      <c r="C784" s="74" t="n"/>
      <c r="D784" s="75">
        <f>IF($C784="","",IFERROR(INDEX(CAT_TIPO,MATCH($C784,CAT_NOME,0)),"Sem categoria"))</f>
        <v/>
      </c>
      <c r="E784" s="75">
        <f>IF($C784="","",IFERROR(INDEX(CAT_GRUPO,MATCH($C784,CAT_NOME,0)),"Sem categoria"))</f>
        <v/>
      </c>
      <c r="F784" s="76" t="n"/>
      <c r="G784" s="74" t="n"/>
      <c r="H784" s="74" t="n"/>
      <c r="I784" s="74" t="n"/>
      <c r="J784" s="77" t="n"/>
      <c r="K784" s="77" t="n"/>
      <c r="L784" s="74" t="n"/>
      <c r="M784" s="74" t="n"/>
      <c r="O784" s="78">
        <f>IF($A784="","",YEAR($A784)*100+MONTH($A784))</f>
        <v/>
      </c>
      <c r="P784" s="79">
        <f>IF(OR($F784="",$D784=""),"",IF($D784="Receita",$F784,IF($D784="Transferência",0,-$F784)))</f>
        <v/>
      </c>
    </row>
    <row r="785">
      <c r="A785" s="73" t="n"/>
      <c r="B785" s="74" t="n"/>
      <c r="C785" s="74" t="n"/>
      <c r="D785" s="75">
        <f>IF($C785="","",IFERROR(INDEX(CAT_TIPO,MATCH($C785,CAT_NOME,0)),"Sem categoria"))</f>
        <v/>
      </c>
      <c r="E785" s="75">
        <f>IF($C785="","",IFERROR(INDEX(CAT_GRUPO,MATCH($C785,CAT_NOME,0)),"Sem categoria"))</f>
        <v/>
      </c>
      <c r="F785" s="76" t="n"/>
      <c r="G785" s="74" t="n"/>
      <c r="H785" s="74" t="n"/>
      <c r="I785" s="74" t="n"/>
      <c r="J785" s="77" t="n"/>
      <c r="K785" s="77" t="n"/>
      <c r="L785" s="74" t="n"/>
      <c r="M785" s="74" t="n"/>
      <c r="O785" s="78">
        <f>IF($A785="","",YEAR($A785)*100+MONTH($A785))</f>
        <v/>
      </c>
      <c r="P785" s="79">
        <f>IF(OR($F785="",$D785=""),"",IF($D785="Receita",$F785,IF($D785="Transferência",0,-$F785)))</f>
        <v/>
      </c>
    </row>
    <row r="786">
      <c r="A786" s="73" t="n"/>
      <c r="B786" s="74" t="n"/>
      <c r="C786" s="74" t="n"/>
      <c r="D786" s="75">
        <f>IF($C786="","",IFERROR(INDEX(CAT_TIPO,MATCH($C786,CAT_NOME,0)),"Sem categoria"))</f>
        <v/>
      </c>
      <c r="E786" s="75">
        <f>IF($C786="","",IFERROR(INDEX(CAT_GRUPO,MATCH($C786,CAT_NOME,0)),"Sem categoria"))</f>
        <v/>
      </c>
      <c r="F786" s="76" t="n"/>
      <c r="G786" s="74" t="n"/>
      <c r="H786" s="74" t="n"/>
      <c r="I786" s="74" t="n"/>
      <c r="J786" s="77" t="n"/>
      <c r="K786" s="77" t="n"/>
      <c r="L786" s="74" t="n"/>
      <c r="M786" s="74" t="n"/>
      <c r="O786" s="78">
        <f>IF($A786="","",YEAR($A786)*100+MONTH($A786))</f>
        <v/>
      </c>
      <c r="P786" s="79">
        <f>IF(OR($F786="",$D786=""),"",IF($D786="Receita",$F786,IF($D786="Transferência",0,-$F786)))</f>
        <v/>
      </c>
    </row>
    <row r="787">
      <c r="A787" s="73" t="n"/>
      <c r="B787" s="74" t="n"/>
      <c r="C787" s="74" t="n"/>
      <c r="D787" s="75">
        <f>IF($C787="","",IFERROR(INDEX(CAT_TIPO,MATCH($C787,CAT_NOME,0)),"Sem categoria"))</f>
        <v/>
      </c>
      <c r="E787" s="75">
        <f>IF($C787="","",IFERROR(INDEX(CAT_GRUPO,MATCH($C787,CAT_NOME,0)),"Sem categoria"))</f>
        <v/>
      </c>
      <c r="F787" s="76" t="n"/>
      <c r="G787" s="74" t="n"/>
      <c r="H787" s="74" t="n"/>
      <c r="I787" s="74" t="n"/>
      <c r="J787" s="77" t="n"/>
      <c r="K787" s="77" t="n"/>
      <c r="L787" s="74" t="n"/>
      <c r="M787" s="74" t="n"/>
      <c r="O787" s="78">
        <f>IF($A787="","",YEAR($A787)*100+MONTH($A787))</f>
        <v/>
      </c>
      <c r="P787" s="79">
        <f>IF(OR($F787="",$D787=""),"",IF($D787="Receita",$F787,IF($D787="Transferência",0,-$F787)))</f>
        <v/>
      </c>
    </row>
    <row r="788">
      <c r="A788" s="73" t="n"/>
      <c r="B788" s="74" t="n"/>
      <c r="C788" s="74" t="n"/>
      <c r="D788" s="75">
        <f>IF($C788="","",IFERROR(INDEX(CAT_TIPO,MATCH($C788,CAT_NOME,0)),"Sem categoria"))</f>
        <v/>
      </c>
      <c r="E788" s="75">
        <f>IF($C788="","",IFERROR(INDEX(CAT_GRUPO,MATCH($C788,CAT_NOME,0)),"Sem categoria"))</f>
        <v/>
      </c>
      <c r="F788" s="76" t="n"/>
      <c r="G788" s="74" t="n"/>
      <c r="H788" s="74" t="n"/>
      <c r="I788" s="74" t="n"/>
      <c r="J788" s="77" t="n"/>
      <c r="K788" s="77" t="n"/>
      <c r="L788" s="74" t="n"/>
      <c r="M788" s="74" t="n"/>
      <c r="O788" s="78">
        <f>IF($A788="","",YEAR($A788)*100+MONTH($A788))</f>
        <v/>
      </c>
      <c r="P788" s="79">
        <f>IF(OR($F788="",$D788=""),"",IF($D788="Receita",$F788,IF($D788="Transferência",0,-$F788)))</f>
        <v/>
      </c>
    </row>
    <row r="789">
      <c r="A789" s="73" t="n"/>
      <c r="B789" s="74" t="n"/>
      <c r="C789" s="74" t="n"/>
      <c r="D789" s="75">
        <f>IF($C789="","",IFERROR(INDEX(CAT_TIPO,MATCH($C789,CAT_NOME,0)),"Sem categoria"))</f>
        <v/>
      </c>
      <c r="E789" s="75">
        <f>IF($C789="","",IFERROR(INDEX(CAT_GRUPO,MATCH($C789,CAT_NOME,0)),"Sem categoria"))</f>
        <v/>
      </c>
      <c r="F789" s="76" t="n"/>
      <c r="G789" s="74" t="n"/>
      <c r="H789" s="74" t="n"/>
      <c r="I789" s="74" t="n"/>
      <c r="J789" s="77" t="n"/>
      <c r="K789" s="77" t="n"/>
      <c r="L789" s="74" t="n"/>
      <c r="M789" s="74" t="n"/>
      <c r="O789" s="78">
        <f>IF($A789="","",YEAR($A789)*100+MONTH($A789))</f>
        <v/>
      </c>
      <c r="P789" s="79">
        <f>IF(OR($F789="",$D789=""),"",IF($D789="Receita",$F789,IF($D789="Transferência",0,-$F789)))</f>
        <v/>
      </c>
    </row>
    <row r="790">
      <c r="A790" s="73" t="n"/>
      <c r="B790" s="74" t="n"/>
      <c r="C790" s="74" t="n"/>
      <c r="D790" s="75">
        <f>IF($C790="","",IFERROR(INDEX(CAT_TIPO,MATCH($C790,CAT_NOME,0)),"Sem categoria"))</f>
        <v/>
      </c>
      <c r="E790" s="75">
        <f>IF($C790="","",IFERROR(INDEX(CAT_GRUPO,MATCH($C790,CAT_NOME,0)),"Sem categoria"))</f>
        <v/>
      </c>
      <c r="F790" s="76" t="n"/>
      <c r="G790" s="74" t="n"/>
      <c r="H790" s="74" t="n"/>
      <c r="I790" s="74" t="n"/>
      <c r="J790" s="77" t="n"/>
      <c r="K790" s="77" t="n"/>
      <c r="L790" s="74" t="n"/>
      <c r="M790" s="74" t="n"/>
      <c r="O790" s="78">
        <f>IF($A790="","",YEAR($A790)*100+MONTH($A790))</f>
        <v/>
      </c>
      <c r="P790" s="79">
        <f>IF(OR($F790="",$D790=""),"",IF($D790="Receita",$F790,IF($D790="Transferência",0,-$F790)))</f>
        <v/>
      </c>
    </row>
    <row r="791">
      <c r="A791" s="73" t="n"/>
      <c r="B791" s="74" t="n"/>
      <c r="C791" s="74" t="n"/>
      <c r="D791" s="75">
        <f>IF($C791="","",IFERROR(INDEX(CAT_TIPO,MATCH($C791,CAT_NOME,0)),"Sem categoria"))</f>
        <v/>
      </c>
      <c r="E791" s="75">
        <f>IF($C791="","",IFERROR(INDEX(CAT_GRUPO,MATCH($C791,CAT_NOME,0)),"Sem categoria"))</f>
        <v/>
      </c>
      <c r="F791" s="76" t="n"/>
      <c r="G791" s="74" t="n"/>
      <c r="H791" s="74" t="n"/>
      <c r="I791" s="74" t="n"/>
      <c r="J791" s="77" t="n"/>
      <c r="K791" s="77" t="n"/>
      <c r="L791" s="74" t="n"/>
      <c r="M791" s="74" t="n"/>
      <c r="O791" s="78">
        <f>IF($A791="","",YEAR($A791)*100+MONTH($A791))</f>
        <v/>
      </c>
      <c r="P791" s="79">
        <f>IF(OR($F791="",$D791=""),"",IF($D791="Receita",$F791,IF($D791="Transferência",0,-$F791)))</f>
        <v/>
      </c>
    </row>
    <row r="792">
      <c r="A792" s="73" t="n"/>
      <c r="B792" s="74" t="n"/>
      <c r="C792" s="74" t="n"/>
      <c r="D792" s="75">
        <f>IF($C792="","",IFERROR(INDEX(CAT_TIPO,MATCH($C792,CAT_NOME,0)),"Sem categoria"))</f>
        <v/>
      </c>
      <c r="E792" s="75">
        <f>IF($C792="","",IFERROR(INDEX(CAT_GRUPO,MATCH($C792,CAT_NOME,0)),"Sem categoria"))</f>
        <v/>
      </c>
      <c r="F792" s="76" t="n"/>
      <c r="G792" s="74" t="n"/>
      <c r="H792" s="74" t="n"/>
      <c r="I792" s="74" t="n"/>
      <c r="J792" s="77" t="n"/>
      <c r="K792" s="77" t="n"/>
      <c r="L792" s="74" t="n"/>
      <c r="M792" s="74" t="n"/>
      <c r="O792" s="78">
        <f>IF($A792="","",YEAR($A792)*100+MONTH($A792))</f>
        <v/>
      </c>
      <c r="P792" s="79">
        <f>IF(OR($F792="",$D792=""),"",IF($D792="Receita",$F792,IF($D792="Transferência",0,-$F792)))</f>
        <v/>
      </c>
    </row>
    <row r="793">
      <c r="A793" s="73" t="n"/>
      <c r="B793" s="74" t="n"/>
      <c r="C793" s="74" t="n"/>
      <c r="D793" s="75">
        <f>IF($C793="","",IFERROR(INDEX(CAT_TIPO,MATCH($C793,CAT_NOME,0)),"Sem categoria"))</f>
        <v/>
      </c>
      <c r="E793" s="75">
        <f>IF($C793="","",IFERROR(INDEX(CAT_GRUPO,MATCH($C793,CAT_NOME,0)),"Sem categoria"))</f>
        <v/>
      </c>
      <c r="F793" s="76" t="n"/>
      <c r="G793" s="74" t="n"/>
      <c r="H793" s="74" t="n"/>
      <c r="I793" s="74" t="n"/>
      <c r="J793" s="77" t="n"/>
      <c r="K793" s="77" t="n"/>
      <c r="L793" s="74" t="n"/>
      <c r="M793" s="74" t="n"/>
      <c r="O793" s="78">
        <f>IF($A793="","",YEAR($A793)*100+MONTH($A793))</f>
        <v/>
      </c>
      <c r="P793" s="79">
        <f>IF(OR($F793="",$D793=""),"",IF($D793="Receita",$F793,IF($D793="Transferência",0,-$F793)))</f>
        <v/>
      </c>
    </row>
    <row r="794">
      <c r="A794" s="73" t="n"/>
      <c r="B794" s="74" t="n"/>
      <c r="C794" s="74" t="n"/>
      <c r="D794" s="75">
        <f>IF($C794="","",IFERROR(INDEX(CAT_TIPO,MATCH($C794,CAT_NOME,0)),"Sem categoria"))</f>
        <v/>
      </c>
      <c r="E794" s="75">
        <f>IF($C794="","",IFERROR(INDEX(CAT_GRUPO,MATCH($C794,CAT_NOME,0)),"Sem categoria"))</f>
        <v/>
      </c>
      <c r="F794" s="76" t="n"/>
      <c r="G794" s="74" t="n"/>
      <c r="H794" s="74" t="n"/>
      <c r="I794" s="74" t="n"/>
      <c r="J794" s="77" t="n"/>
      <c r="K794" s="77" t="n"/>
      <c r="L794" s="74" t="n"/>
      <c r="M794" s="74" t="n"/>
      <c r="O794" s="78">
        <f>IF($A794="","",YEAR($A794)*100+MONTH($A794))</f>
        <v/>
      </c>
      <c r="P794" s="79">
        <f>IF(OR($F794="",$D794=""),"",IF($D794="Receita",$F794,IF($D794="Transferência",0,-$F794)))</f>
        <v/>
      </c>
    </row>
    <row r="795">
      <c r="A795" s="73" t="n"/>
      <c r="B795" s="74" t="n"/>
      <c r="C795" s="74" t="n"/>
      <c r="D795" s="75">
        <f>IF($C795="","",IFERROR(INDEX(CAT_TIPO,MATCH($C795,CAT_NOME,0)),"Sem categoria"))</f>
        <v/>
      </c>
      <c r="E795" s="75">
        <f>IF($C795="","",IFERROR(INDEX(CAT_GRUPO,MATCH($C795,CAT_NOME,0)),"Sem categoria"))</f>
        <v/>
      </c>
      <c r="F795" s="76" t="n"/>
      <c r="G795" s="74" t="n"/>
      <c r="H795" s="74" t="n"/>
      <c r="I795" s="74" t="n"/>
      <c r="J795" s="77" t="n"/>
      <c r="K795" s="77" t="n"/>
      <c r="L795" s="74" t="n"/>
      <c r="M795" s="74" t="n"/>
      <c r="O795" s="78">
        <f>IF($A795="","",YEAR($A795)*100+MONTH($A795))</f>
        <v/>
      </c>
      <c r="P795" s="79">
        <f>IF(OR($F795="",$D795=""),"",IF($D795="Receita",$F795,IF($D795="Transferência",0,-$F795)))</f>
        <v/>
      </c>
    </row>
    <row r="796">
      <c r="A796" s="73" t="n"/>
      <c r="B796" s="74" t="n"/>
      <c r="C796" s="74" t="n"/>
      <c r="D796" s="75">
        <f>IF($C796="","",IFERROR(INDEX(CAT_TIPO,MATCH($C796,CAT_NOME,0)),"Sem categoria"))</f>
        <v/>
      </c>
      <c r="E796" s="75">
        <f>IF($C796="","",IFERROR(INDEX(CAT_GRUPO,MATCH($C796,CAT_NOME,0)),"Sem categoria"))</f>
        <v/>
      </c>
      <c r="F796" s="76" t="n"/>
      <c r="G796" s="74" t="n"/>
      <c r="H796" s="74" t="n"/>
      <c r="I796" s="74" t="n"/>
      <c r="J796" s="77" t="n"/>
      <c r="K796" s="77" t="n"/>
      <c r="L796" s="74" t="n"/>
      <c r="M796" s="74" t="n"/>
      <c r="O796" s="78">
        <f>IF($A796="","",YEAR($A796)*100+MONTH($A796))</f>
        <v/>
      </c>
      <c r="P796" s="79">
        <f>IF(OR($F796="",$D796=""),"",IF($D796="Receita",$F796,IF($D796="Transferência",0,-$F796)))</f>
        <v/>
      </c>
    </row>
    <row r="797">
      <c r="A797" s="73" t="n"/>
      <c r="B797" s="74" t="n"/>
      <c r="C797" s="74" t="n"/>
      <c r="D797" s="75">
        <f>IF($C797="","",IFERROR(INDEX(CAT_TIPO,MATCH($C797,CAT_NOME,0)),"Sem categoria"))</f>
        <v/>
      </c>
      <c r="E797" s="75">
        <f>IF($C797="","",IFERROR(INDEX(CAT_GRUPO,MATCH($C797,CAT_NOME,0)),"Sem categoria"))</f>
        <v/>
      </c>
      <c r="F797" s="76" t="n"/>
      <c r="G797" s="74" t="n"/>
      <c r="H797" s="74" t="n"/>
      <c r="I797" s="74" t="n"/>
      <c r="J797" s="77" t="n"/>
      <c r="K797" s="77" t="n"/>
      <c r="L797" s="74" t="n"/>
      <c r="M797" s="74" t="n"/>
      <c r="O797" s="78">
        <f>IF($A797="","",YEAR($A797)*100+MONTH($A797))</f>
        <v/>
      </c>
      <c r="P797" s="79">
        <f>IF(OR($F797="",$D797=""),"",IF($D797="Receita",$F797,IF($D797="Transferência",0,-$F797)))</f>
        <v/>
      </c>
    </row>
    <row r="798">
      <c r="A798" s="73" t="n"/>
      <c r="B798" s="74" t="n"/>
      <c r="C798" s="74" t="n"/>
      <c r="D798" s="75">
        <f>IF($C798="","",IFERROR(INDEX(CAT_TIPO,MATCH($C798,CAT_NOME,0)),"Sem categoria"))</f>
        <v/>
      </c>
      <c r="E798" s="75">
        <f>IF($C798="","",IFERROR(INDEX(CAT_GRUPO,MATCH($C798,CAT_NOME,0)),"Sem categoria"))</f>
        <v/>
      </c>
      <c r="F798" s="76" t="n"/>
      <c r="G798" s="74" t="n"/>
      <c r="H798" s="74" t="n"/>
      <c r="I798" s="74" t="n"/>
      <c r="J798" s="77" t="n"/>
      <c r="K798" s="77" t="n"/>
      <c r="L798" s="74" t="n"/>
      <c r="M798" s="74" t="n"/>
      <c r="O798" s="78">
        <f>IF($A798="","",YEAR($A798)*100+MONTH($A798))</f>
        <v/>
      </c>
      <c r="P798" s="79">
        <f>IF(OR($F798="",$D798=""),"",IF($D798="Receita",$F798,IF($D798="Transferência",0,-$F798)))</f>
        <v/>
      </c>
    </row>
    <row r="799">
      <c r="A799" s="73" t="n"/>
      <c r="B799" s="74" t="n"/>
      <c r="C799" s="74" t="n"/>
      <c r="D799" s="75">
        <f>IF($C799="","",IFERROR(INDEX(CAT_TIPO,MATCH($C799,CAT_NOME,0)),"Sem categoria"))</f>
        <v/>
      </c>
      <c r="E799" s="75">
        <f>IF($C799="","",IFERROR(INDEX(CAT_GRUPO,MATCH($C799,CAT_NOME,0)),"Sem categoria"))</f>
        <v/>
      </c>
      <c r="F799" s="76" t="n"/>
      <c r="G799" s="74" t="n"/>
      <c r="H799" s="74" t="n"/>
      <c r="I799" s="74" t="n"/>
      <c r="J799" s="77" t="n"/>
      <c r="K799" s="77" t="n"/>
      <c r="L799" s="74" t="n"/>
      <c r="M799" s="74" t="n"/>
      <c r="O799" s="78">
        <f>IF($A799="","",YEAR($A799)*100+MONTH($A799))</f>
        <v/>
      </c>
      <c r="P799" s="79">
        <f>IF(OR($F799="",$D799=""),"",IF($D799="Receita",$F799,IF($D799="Transferência",0,-$F799)))</f>
        <v/>
      </c>
    </row>
    <row r="800">
      <c r="A800" s="73" t="n"/>
      <c r="B800" s="74" t="n"/>
      <c r="C800" s="74" t="n"/>
      <c r="D800" s="75">
        <f>IF($C800="","",IFERROR(INDEX(CAT_TIPO,MATCH($C800,CAT_NOME,0)),"Sem categoria"))</f>
        <v/>
      </c>
      <c r="E800" s="75">
        <f>IF($C800="","",IFERROR(INDEX(CAT_GRUPO,MATCH($C800,CAT_NOME,0)),"Sem categoria"))</f>
        <v/>
      </c>
      <c r="F800" s="76" t="n"/>
      <c r="G800" s="74" t="n"/>
      <c r="H800" s="74" t="n"/>
      <c r="I800" s="74" t="n"/>
      <c r="J800" s="77" t="n"/>
      <c r="K800" s="77" t="n"/>
      <c r="L800" s="74" t="n"/>
      <c r="M800" s="74" t="n"/>
      <c r="O800" s="78">
        <f>IF($A800="","",YEAR($A800)*100+MONTH($A800))</f>
        <v/>
      </c>
      <c r="P800" s="79">
        <f>IF(OR($F800="",$D800=""),"",IF($D800="Receita",$F800,IF($D800="Transferência",0,-$F800)))</f>
        <v/>
      </c>
    </row>
    <row r="801">
      <c r="A801" s="73" t="n"/>
      <c r="B801" s="74" t="n"/>
      <c r="C801" s="74" t="n"/>
      <c r="D801" s="75">
        <f>IF($C801="","",IFERROR(INDEX(CAT_TIPO,MATCH($C801,CAT_NOME,0)),"Sem categoria"))</f>
        <v/>
      </c>
      <c r="E801" s="75">
        <f>IF($C801="","",IFERROR(INDEX(CAT_GRUPO,MATCH($C801,CAT_NOME,0)),"Sem categoria"))</f>
        <v/>
      </c>
      <c r="F801" s="76" t="n"/>
      <c r="G801" s="74" t="n"/>
      <c r="H801" s="74" t="n"/>
      <c r="I801" s="74" t="n"/>
      <c r="J801" s="77" t="n"/>
      <c r="K801" s="77" t="n"/>
      <c r="L801" s="74" t="n"/>
      <c r="M801" s="74" t="n"/>
      <c r="O801" s="78">
        <f>IF($A801="","",YEAR($A801)*100+MONTH($A801))</f>
        <v/>
      </c>
      <c r="P801" s="79">
        <f>IF(OR($F801="",$D801=""),"",IF($D801="Receita",$F801,IF($D801="Transferência",0,-$F801)))</f>
        <v/>
      </c>
    </row>
    <row r="802">
      <c r="A802" s="73" t="n"/>
      <c r="B802" s="74" t="n"/>
      <c r="C802" s="74" t="n"/>
      <c r="D802" s="75">
        <f>IF($C802="","",IFERROR(INDEX(CAT_TIPO,MATCH($C802,CAT_NOME,0)),"Sem categoria"))</f>
        <v/>
      </c>
      <c r="E802" s="75">
        <f>IF($C802="","",IFERROR(INDEX(CAT_GRUPO,MATCH($C802,CAT_NOME,0)),"Sem categoria"))</f>
        <v/>
      </c>
      <c r="F802" s="76" t="n"/>
      <c r="G802" s="74" t="n"/>
      <c r="H802" s="74" t="n"/>
      <c r="I802" s="74" t="n"/>
      <c r="J802" s="77" t="n"/>
      <c r="K802" s="77" t="n"/>
      <c r="L802" s="74" t="n"/>
      <c r="M802" s="74" t="n"/>
      <c r="O802" s="78">
        <f>IF($A802="","",YEAR($A802)*100+MONTH($A802))</f>
        <v/>
      </c>
      <c r="P802" s="79">
        <f>IF(OR($F802="",$D802=""),"",IF($D802="Receita",$F802,IF($D802="Transferência",0,-$F802)))</f>
        <v/>
      </c>
    </row>
    <row r="803">
      <c r="A803" s="73" t="n"/>
      <c r="B803" s="74" t="n"/>
      <c r="C803" s="74" t="n"/>
      <c r="D803" s="75">
        <f>IF($C803="","",IFERROR(INDEX(CAT_TIPO,MATCH($C803,CAT_NOME,0)),"Sem categoria"))</f>
        <v/>
      </c>
      <c r="E803" s="75">
        <f>IF($C803="","",IFERROR(INDEX(CAT_GRUPO,MATCH($C803,CAT_NOME,0)),"Sem categoria"))</f>
        <v/>
      </c>
      <c r="F803" s="76" t="n"/>
      <c r="G803" s="74" t="n"/>
      <c r="H803" s="74" t="n"/>
      <c r="I803" s="74" t="n"/>
      <c r="J803" s="77" t="n"/>
      <c r="K803" s="77" t="n"/>
      <c r="L803" s="74" t="n"/>
      <c r="M803" s="74" t="n"/>
      <c r="O803" s="78">
        <f>IF($A803="","",YEAR($A803)*100+MONTH($A803))</f>
        <v/>
      </c>
      <c r="P803" s="79">
        <f>IF(OR($F803="",$D803=""),"",IF($D803="Receita",$F803,IF($D803="Transferência",0,-$F803)))</f>
        <v/>
      </c>
    </row>
    <row r="804">
      <c r="A804" s="73" t="n"/>
      <c r="B804" s="74" t="n"/>
      <c r="C804" s="74" t="n"/>
      <c r="D804" s="75">
        <f>IF($C804="","",IFERROR(INDEX(CAT_TIPO,MATCH($C804,CAT_NOME,0)),"Sem categoria"))</f>
        <v/>
      </c>
      <c r="E804" s="75">
        <f>IF($C804="","",IFERROR(INDEX(CAT_GRUPO,MATCH($C804,CAT_NOME,0)),"Sem categoria"))</f>
        <v/>
      </c>
      <c r="F804" s="76" t="n"/>
      <c r="G804" s="74" t="n"/>
      <c r="H804" s="74" t="n"/>
      <c r="I804" s="74" t="n"/>
      <c r="J804" s="77" t="n"/>
      <c r="K804" s="77" t="n"/>
      <c r="L804" s="74" t="n"/>
      <c r="M804" s="74" t="n"/>
      <c r="O804" s="78">
        <f>IF($A804="","",YEAR($A804)*100+MONTH($A804))</f>
        <v/>
      </c>
      <c r="P804" s="79">
        <f>IF(OR($F804="",$D804=""),"",IF($D804="Receita",$F804,IF($D804="Transferência",0,-$F804)))</f>
        <v/>
      </c>
    </row>
    <row r="805">
      <c r="A805" s="73" t="n"/>
      <c r="B805" s="74" t="n"/>
      <c r="C805" s="74" t="n"/>
      <c r="D805" s="75">
        <f>IF($C805="","",IFERROR(INDEX(CAT_TIPO,MATCH($C805,CAT_NOME,0)),"Sem categoria"))</f>
        <v/>
      </c>
      <c r="E805" s="75">
        <f>IF($C805="","",IFERROR(INDEX(CAT_GRUPO,MATCH($C805,CAT_NOME,0)),"Sem categoria"))</f>
        <v/>
      </c>
      <c r="F805" s="76" t="n"/>
      <c r="G805" s="74" t="n"/>
      <c r="H805" s="74" t="n"/>
      <c r="I805" s="74" t="n"/>
      <c r="J805" s="77" t="n"/>
      <c r="K805" s="77" t="n"/>
      <c r="L805" s="74" t="n"/>
      <c r="M805" s="74" t="n"/>
      <c r="O805" s="78">
        <f>IF($A805="","",YEAR($A805)*100+MONTH($A805))</f>
        <v/>
      </c>
      <c r="P805" s="79">
        <f>IF(OR($F805="",$D805=""),"",IF($D805="Receita",$F805,IF($D805="Transferência",0,-$F805)))</f>
        <v/>
      </c>
    </row>
    <row r="806">
      <c r="A806" s="73" t="n"/>
      <c r="B806" s="74" t="n"/>
      <c r="C806" s="74" t="n"/>
      <c r="D806" s="75">
        <f>IF($C806="","",IFERROR(INDEX(CAT_TIPO,MATCH($C806,CAT_NOME,0)),"Sem categoria"))</f>
        <v/>
      </c>
      <c r="E806" s="75">
        <f>IF($C806="","",IFERROR(INDEX(CAT_GRUPO,MATCH($C806,CAT_NOME,0)),"Sem categoria"))</f>
        <v/>
      </c>
      <c r="F806" s="76" t="n"/>
      <c r="G806" s="74" t="n"/>
      <c r="H806" s="74" t="n"/>
      <c r="I806" s="74" t="n"/>
      <c r="J806" s="77" t="n"/>
      <c r="K806" s="77" t="n"/>
      <c r="L806" s="74" t="n"/>
      <c r="M806" s="74" t="n"/>
      <c r="O806" s="78">
        <f>IF($A806="","",YEAR($A806)*100+MONTH($A806))</f>
        <v/>
      </c>
      <c r="P806" s="79">
        <f>IF(OR($F806="",$D806=""),"",IF($D806="Receita",$F806,IF($D806="Transferência",0,-$F806)))</f>
        <v/>
      </c>
    </row>
    <row r="807">
      <c r="A807" s="73" t="n"/>
      <c r="B807" s="74" t="n"/>
      <c r="C807" s="74" t="n"/>
      <c r="D807" s="75">
        <f>IF($C807="","",IFERROR(INDEX(CAT_TIPO,MATCH($C807,CAT_NOME,0)),"Sem categoria"))</f>
        <v/>
      </c>
      <c r="E807" s="75">
        <f>IF($C807="","",IFERROR(INDEX(CAT_GRUPO,MATCH($C807,CAT_NOME,0)),"Sem categoria"))</f>
        <v/>
      </c>
      <c r="F807" s="76" t="n"/>
      <c r="G807" s="74" t="n"/>
      <c r="H807" s="74" t="n"/>
      <c r="I807" s="74" t="n"/>
      <c r="J807" s="77" t="n"/>
      <c r="K807" s="77" t="n"/>
      <c r="L807" s="74" t="n"/>
      <c r="M807" s="74" t="n"/>
      <c r="O807" s="78">
        <f>IF($A807="","",YEAR($A807)*100+MONTH($A807))</f>
        <v/>
      </c>
      <c r="P807" s="79">
        <f>IF(OR($F807="",$D807=""),"",IF($D807="Receita",$F807,IF($D807="Transferência",0,-$F807)))</f>
        <v/>
      </c>
    </row>
    <row r="808">
      <c r="A808" s="73" t="n"/>
      <c r="B808" s="74" t="n"/>
      <c r="C808" s="74" t="n"/>
      <c r="D808" s="75">
        <f>IF($C808="","",IFERROR(INDEX(CAT_TIPO,MATCH($C808,CAT_NOME,0)),"Sem categoria"))</f>
        <v/>
      </c>
      <c r="E808" s="75">
        <f>IF($C808="","",IFERROR(INDEX(CAT_GRUPO,MATCH($C808,CAT_NOME,0)),"Sem categoria"))</f>
        <v/>
      </c>
      <c r="F808" s="76" t="n"/>
      <c r="G808" s="74" t="n"/>
      <c r="H808" s="74" t="n"/>
      <c r="I808" s="74" t="n"/>
      <c r="J808" s="77" t="n"/>
      <c r="K808" s="77" t="n"/>
      <c r="L808" s="74" t="n"/>
      <c r="M808" s="74" t="n"/>
      <c r="O808" s="78">
        <f>IF($A808="","",YEAR($A808)*100+MONTH($A808))</f>
        <v/>
      </c>
      <c r="P808" s="79">
        <f>IF(OR($F808="",$D808=""),"",IF($D808="Receita",$F808,IF($D808="Transferência",0,-$F808)))</f>
        <v/>
      </c>
    </row>
    <row r="809">
      <c r="A809" s="73" t="n"/>
      <c r="B809" s="74" t="n"/>
      <c r="C809" s="74" t="n"/>
      <c r="D809" s="75">
        <f>IF($C809="","",IFERROR(INDEX(CAT_TIPO,MATCH($C809,CAT_NOME,0)),"Sem categoria"))</f>
        <v/>
      </c>
      <c r="E809" s="75">
        <f>IF($C809="","",IFERROR(INDEX(CAT_GRUPO,MATCH($C809,CAT_NOME,0)),"Sem categoria"))</f>
        <v/>
      </c>
      <c r="F809" s="76" t="n"/>
      <c r="G809" s="74" t="n"/>
      <c r="H809" s="74" t="n"/>
      <c r="I809" s="74" t="n"/>
      <c r="J809" s="77" t="n"/>
      <c r="K809" s="77" t="n"/>
      <c r="L809" s="74" t="n"/>
      <c r="M809" s="74" t="n"/>
      <c r="O809" s="78">
        <f>IF($A809="","",YEAR($A809)*100+MONTH($A809))</f>
        <v/>
      </c>
      <c r="P809" s="79">
        <f>IF(OR($F809="",$D809=""),"",IF($D809="Receita",$F809,IF($D809="Transferência",0,-$F809)))</f>
        <v/>
      </c>
    </row>
    <row r="810">
      <c r="A810" s="73" t="n"/>
      <c r="B810" s="74" t="n"/>
      <c r="C810" s="74" t="n"/>
      <c r="D810" s="75">
        <f>IF($C810="","",IFERROR(INDEX(CAT_TIPO,MATCH($C810,CAT_NOME,0)),"Sem categoria"))</f>
        <v/>
      </c>
      <c r="E810" s="75">
        <f>IF($C810="","",IFERROR(INDEX(CAT_GRUPO,MATCH($C810,CAT_NOME,0)),"Sem categoria"))</f>
        <v/>
      </c>
      <c r="F810" s="76" t="n"/>
      <c r="G810" s="74" t="n"/>
      <c r="H810" s="74" t="n"/>
      <c r="I810" s="74" t="n"/>
      <c r="J810" s="77" t="n"/>
      <c r="K810" s="77" t="n"/>
      <c r="L810" s="74" t="n"/>
      <c r="M810" s="74" t="n"/>
      <c r="O810" s="78">
        <f>IF($A810="","",YEAR($A810)*100+MONTH($A810))</f>
        <v/>
      </c>
      <c r="P810" s="79">
        <f>IF(OR($F810="",$D810=""),"",IF($D810="Receita",$F810,IF($D810="Transferência",0,-$F810)))</f>
        <v/>
      </c>
    </row>
    <row r="811">
      <c r="A811" s="73" t="n"/>
      <c r="B811" s="74" t="n"/>
      <c r="C811" s="74" t="n"/>
      <c r="D811" s="75">
        <f>IF($C811="","",IFERROR(INDEX(CAT_TIPO,MATCH($C811,CAT_NOME,0)),"Sem categoria"))</f>
        <v/>
      </c>
      <c r="E811" s="75">
        <f>IF($C811="","",IFERROR(INDEX(CAT_GRUPO,MATCH($C811,CAT_NOME,0)),"Sem categoria"))</f>
        <v/>
      </c>
      <c r="F811" s="76" t="n"/>
      <c r="G811" s="74" t="n"/>
      <c r="H811" s="74" t="n"/>
      <c r="I811" s="74" t="n"/>
      <c r="J811" s="77" t="n"/>
      <c r="K811" s="77" t="n"/>
      <c r="L811" s="74" t="n"/>
      <c r="M811" s="74" t="n"/>
      <c r="O811" s="78">
        <f>IF($A811="","",YEAR($A811)*100+MONTH($A811))</f>
        <v/>
      </c>
      <c r="P811" s="79">
        <f>IF(OR($F811="",$D811=""),"",IF($D811="Receita",$F811,IF($D811="Transferência",0,-$F811)))</f>
        <v/>
      </c>
    </row>
    <row r="812">
      <c r="A812" s="73" t="n"/>
      <c r="B812" s="74" t="n"/>
      <c r="C812" s="74" t="n"/>
      <c r="D812" s="75">
        <f>IF($C812="","",IFERROR(INDEX(CAT_TIPO,MATCH($C812,CAT_NOME,0)),"Sem categoria"))</f>
        <v/>
      </c>
      <c r="E812" s="75">
        <f>IF($C812="","",IFERROR(INDEX(CAT_GRUPO,MATCH($C812,CAT_NOME,0)),"Sem categoria"))</f>
        <v/>
      </c>
      <c r="F812" s="76" t="n"/>
      <c r="G812" s="74" t="n"/>
      <c r="H812" s="74" t="n"/>
      <c r="I812" s="74" t="n"/>
      <c r="J812" s="77" t="n"/>
      <c r="K812" s="77" t="n"/>
      <c r="L812" s="74" t="n"/>
      <c r="M812" s="74" t="n"/>
      <c r="O812" s="78">
        <f>IF($A812="","",YEAR($A812)*100+MONTH($A812))</f>
        <v/>
      </c>
      <c r="P812" s="79">
        <f>IF(OR($F812="",$D812=""),"",IF($D812="Receita",$F812,IF($D812="Transferência",0,-$F812)))</f>
        <v/>
      </c>
    </row>
    <row r="813">
      <c r="A813" s="73" t="n"/>
      <c r="B813" s="74" t="n"/>
      <c r="C813" s="74" t="n"/>
      <c r="D813" s="75">
        <f>IF($C813="","",IFERROR(INDEX(CAT_TIPO,MATCH($C813,CAT_NOME,0)),"Sem categoria"))</f>
        <v/>
      </c>
      <c r="E813" s="75">
        <f>IF($C813="","",IFERROR(INDEX(CAT_GRUPO,MATCH($C813,CAT_NOME,0)),"Sem categoria"))</f>
        <v/>
      </c>
      <c r="F813" s="76" t="n"/>
      <c r="G813" s="74" t="n"/>
      <c r="H813" s="74" t="n"/>
      <c r="I813" s="74" t="n"/>
      <c r="J813" s="77" t="n"/>
      <c r="K813" s="77" t="n"/>
      <c r="L813" s="74" t="n"/>
      <c r="M813" s="74" t="n"/>
      <c r="O813" s="78">
        <f>IF($A813="","",YEAR($A813)*100+MONTH($A813))</f>
        <v/>
      </c>
      <c r="P813" s="79">
        <f>IF(OR($F813="",$D813=""),"",IF($D813="Receita",$F813,IF($D813="Transferência",0,-$F813)))</f>
        <v/>
      </c>
    </row>
    <row r="814">
      <c r="A814" s="73" t="n"/>
      <c r="B814" s="74" t="n"/>
      <c r="C814" s="74" t="n"/>
      <c r="D814" s="75">
        <f>IF($C814="","",IFERROR(INDEX(CAT_TIPO,MATCH($C814,CAT_NOME,0)),"Sem categoria"))</f>
        <v/>
      </c>
      <c r="E814" s="75">
        <f>IF($C814="","",IFERROR(INDEX(CAT_GRUPO,MATCH($C814,CAT_NOME,0)),"Sem categoria"))</f>
        <v/>
      </c>
      <c r="F814" s="76" t="n"/>
      <c r="G814" s="74" t="n"/>
      <c r="H814" s="74" t="n"/>
      <c r="I814" s="74" t="n"/>
      <c r="J814" s="77" t="n"/>
      <c r="K814" s="77" t="n"/>
      <c r="L814" s="74" t="n"/>
      <c r="M814" s="74" t="n"/>
      <c r="O814" s="78">
        <f>IF($A814="","",YEAR($A814)*100+MONTH($A814))</f>
        <v/>
      </c>
      <c r="P814" s="79">
        <f>IF(OR($F814="",$D814=""),"",IF($D814="Receita",$F814,IF($D814="Transferência",0,-$F814)))</f>
        <v/>
      </c>
    </row>
    <row r="815">
      <c r="A815" s="73" t="n"/>
      <c r="B815" s="74" t="n"/>
      <c r="C815" s="74" t="n"/>
      <c r="D815" s="75">
        <f>IF($C815="","",IFERROR(INDEX(CAT_TIPO,MATCH($C815,CAT_NOME,0)),"Sem categoria"))</f>
        <v/>
      </c>
      <c r="E815" s="75">
        <f>IF($C815="","",IFERROR(INDEX(CAT_GRUPO,MATCH($C815,CAT_NOME,0)),"Sem categoria"))</f>
        <v/>
      </c>
      <c r="F815" s="76" t="n"/>
      <c r="G815" s="74" t="n"/>
      <c r="H815" s="74" t="n"/>
      <c r="I815" s="74" t="n"/>
      <c r="J815" s="77" t="n"/>
      <c r="K815" s="77" t="n"/>
      <c r="L815" s="74" t="n"/>
      <c r="M815" s="74" t="n"/>
      <c r="O815" s="78">
        <f>IF($A815="","",YEAR($A815)*100+MONTH($A815))</f>
        <v/>
      </c>
      <c r="P815" s="79">
        <f>IF(OR($F815="",$D815=""),"",IF($D815="Receita",$F815,IF($D815="Transferência",0,-$F815)))</f>
        <v/>
      </c>
    </row>
    <row r="816">
      <c r="A816" s="73" t="n"/>
      <c r="B816" s="74" t="n"/>
      <c r="C816" s="74" t="n"/>
      <c r="D816" s="75">
        <f>IF($C816="","",IFERROR(INDEX(CAT_TIPO,MATCH($C816,CAT_NOME,0)),"Sem categoria"))</f>
        <v/>
      </c>
      <c r="E816" s="75">
        <f>IF($C816="","",IFERROR(INDEX(CAT_GRUPO,MATCH($C816,CAT_NOME,0)),"Sem categoria"))</f>
        <v/>
      </c>
      <c r="F816" s="76" t="n"/>
      <c r="G816" s="74" t="n"/>
      <c r="H816" s="74" t="n"/>
      <c r="I816" s="74" t="n"/>
      <c r="J816" s="77" t="n"/>
      <c r="K816" s="77" t="n"/>
      <c r="L816" s="74" t="n"/>
      <c r="M816" s="74" t="n"/>
      <c r="O816" s="78">
        <f>IF($A816="","",YEAR($A816)*100+MONTH($A816))</f>
        <v/>
      </c>
      <c r="P816" s="79">
        <f>IF(OR($F816="",$D816=""),"",IF($D816="Receita",$F816,IF($D816="Transferência",0,-$F816)))</f>
        <v/>
      </c>
    </row>
    <row r="817">
      <c r="A817" s="73" t="n"/>
      <c r="B817" s="74" t="n"/>
      <c r="C817" s="74" t="n"/>
      <c r="D817" s="75">
        <f>IF($C817="","",IFERROR(INDEX(CAT_TIPO,MATCH($C817,CAT_NOME,0)),"Sem categoria"))</f>
        <v/>
      </c>
      <c r="E817" s="75">
        <f>IF($C817="","",IFERROR(INDEX(CAT_GRUPO,MATCH($C817,CAT_NOME,0)),"Sem categoria"))</f>
        <v/>
      </c>
      <c r="F817" s="76" t="n"/>
      <c r="G817" s="74" t="n"/>
      <c r="H817" s="74" t="n"/>
      <c r="I817" s="74" t="n"/>
      <c r="J817" s="77" t="n"/>
      <c r="K817" s="77" t="n"/>
      <c r="L817" s="74" t="n"/>
      <c r="M817" s="74" t="n"/>
      <c r="O817" s="78">
        <f>IF($A817="","",YEAR($A817)*100+MONTH($A817))</f>
        <v/>
      </c>
      <c r="P817" s="79">
        <f>IF(OR($F817="",$D817=""),"",IF($D817="Receita",$F817,IF($D817="Transferência",0,-$F817)))</f>
        <v/>
      </c>
    </row>
    <row r="818">
      <c r="A818" s="73" t="n"/>
      <c r="B818" s="74" t="n"/>
      <c r="C818" s="74" t="n"/>
      <c r="D818" s="75">
        <f>IF($C818="","",IFERROR(INDEX(CAT_TIPO,MATCH($C818,CAT_NOME,0)),"Sem categoria"))</f>
        <v/>
      </c>
      <c r="E818" s="75">
        <f>IF($C818="","",IFERROR(INDEX(CAT_GRUPO,MATCH($C818,CAT_NOME,0)),"Sem categoria"))</f>
        <v/>
      </c>
      <c r="F818" s="76" t="n"/>
      <c r="G818" s="74" t="n"/>
      <c r="H818" s="74" t="n"/>
      <c r="I818" s="74" t="n"/>
      <c r="J818" s="77" t="n"/>
      <c r="K818" s="77" t="n"/>
      <c r="L818" s="74" t="n"/>
      <c r="M818" s="74" t="n"/>
      <c r="O818" s="78">
        <f>IF($A818="","",YEAR($A818)*100+MONTH($A818))</f>
        <v/>
      </c>
      <c r="P818" s="79">
        <f>IF(OR($F818="",$D818=""),"",IF($D818="Receita",$F818,IF($D818="Transferência",0,-$F818)))</f>
        <v/>
      </c>
    </row>
    <row r="819">
      <c r="A819" s="73" t="n"/>
      <c r="B819" s="74" t="n"/>
      <c r="C819" s="74" t="n"/>
      <c r="D819" s="75">
        <f>IF($C819="","",IFERROR(INDEX(CAT_TIPO,MATCH($C819,CAT_NOME,0)),"Sem categoria"))</f>
        <v/>
      </c>
      <c r="E819" s="75">
        <f>IF($C819="","",IFERROR(INDEX(CAT_GRUPO,MATCH($C819,CAT_NOME,0)),"Sem categoria"))</f>
        <v/>
      </c>
      <c r="F819" s="76" t="n"/>
      <c r="G819" s="74" t="n"/>
      <c r="H819" s="74" t="n"/>
      <c r="I819" s="74" t="n"/>
      <c r="J819" s="77" t="n"/>
      <c r="K819" s="77" t="n"/>
      <c r="L819" s="74" t="n"/>
      <c r="M819" s="74" t="n"/>
      <c r="O819" s="78">
        <f>IF($A819="","",YEAR($A819)*100+MONTH($A819))</f>
        <v/>
      </c>
      <c r="P819" s="79">
        <f>IF(OR($F819="",$D819=""),"",IF($D819="Receita",$F819,IF($D819="Transferência",0,-$F819)))</f>
        <v/>
      </c>
    </row>
    <row r="820">
      <c r="A820" s="73" t="n"/>
      <c r="B820" s="74" t="n"/>
      <c r="C820" s="74" t="n"/>
      <c r="D820" s="75">
        <f>IF($C820="","",IFERROR(INDEX(CAT_TIPO,MATCH($C820,CAT_NOME,0)),"Sem categoria"))</f>
        <v/>
      </c>
      <c r="E820" s="75">
        <f>IF($C820="","",IFERROR(INDEX(CAT_GRUPO,MATCH($C820,CAT_NOME,0)),"Sem categoria"))</f>
        <v/>
      </c>
      <c r="F820" s="76" t="n"/>
      <c r="G820" s="74" t="n"/>
      <c r="H820" s="74" t="n"/>
      <c r="I820" s="74" t="n"/>
      <c r="J820" s="77" t="n"/>
      <c r="K820" s="77" t="n"/>
      <c r="L820" s="74" t="n"/>
      <c r="M820" s="74" t="n"/>
      <c r="O820" s="78">
        <f>IF($A820="","",YEAR($A820)*100+MONTH($A820))</f>
        <v/>
      </c>
      <c r="P820" s="79">
        <f>IF(OR($F820="",$D820=""),"",IF($D820="Receita",$F820,IF($D820="Transferência",0,-$F820)))</f>
        <v/>
      </c>
    </row>
    <row r="821">
      <c r="A821" s="73" t="n"/>
      <c r="B821" s="74" t="n"/>
      <c r="C821" s="74" t="n"/>
      <c r="D821" s="75">
        <f>IF($C821="","",IFERROR(INDEX(CAT_TIPO,MATCH($C821,CAT_NOME,0)),"Sem categoria"))</f>
        <v/>
      </c>
      <c r="E821" s="75">
        <f>IF($C821="","",IFERROR(INDEX(CAT_GRUPO,MATCH($C821,CAT_NOME,0)),"Sem categoria"))</f>
        <v/>
      </c>
      <c r="F821" s="76" t="n"/>
      <c r="G821" s="74" t="n"/>
      <c r="H821" s="74" t="n"/>
      <c r="I821" s="74" t="n"/>
      <c r="J821" s="77" t="n"/>
      <c r="K821" s="77" t="n"/>
      <c r="L821" s="74" t="n"/>
      <c r="M821" s="74" t="n"/>
      <c r="O821" s="78">
        <f>IF($A821="","",YEAR($A821)*100+MONTH($A821))</f>
        <v/>
      </c>
      <c r="P821" s="79">
        <f>IF(OR($F821="",$D821=""),"",IF($D821="Receita",$F821,IF($D821="Transferência",0,-$F821)))</f>
        <v/>
      </c>
    </row>
    <row r="822">
      <c r="A822" s="73" t="n"/>
      <c r="B822" s="74" t="n"/>
      <c r="C822" s="74" t="n"/>
      <c r="D822" s="75">
        <f>IF($C822="","",IFERROR(INDEX(CAT_TIPO,MATCH($C822,CAT_NOME,0)),"Sem categoria"))</f>
        <v/>
      </c>
      <c r="E822" s="75">
        <f>IF($C822="","",IFERROR(INDEX(CAT_GRUPO,MATCH($C822,CAT_NOME,0)),"Sem categoria"))</f>
        <v/>
      </c>
      <c r="F822" s="76" t="n"/>
      <c r="G822" s="74" t="n"/>
      <c r="H822" s="74" t="n"/>
      <c r="I822" s="74" t="n"/>
      <c r="J822" s="77" t="n"/>
      <c r="K822" s="77" t="n"/>
      <c r="L822" s="74" t="n"/>
      <c r="M822" s="74" t="n"/>
      <c r="O822" s="78">
        <f>IF($A822="","",YEAR($A822)*100+MONTH($A822))</f>
        <v/>
      </c>
      <c r="P822" s="79">
        <f>IF(OR($F822="",$D822=""),"",IF($D822="Receita",$F822,IF($D822="Transferência",0,-$F822)))</f>
        <v/>
      </c>
    </row>
    <row r="823">
      <c r="A823" s="73" t="n"/>
      <c r="B823" s="74" t="n"/>
      <c r="C823" s="74" t="n"/>
      <c r="D823" s="75">
        <f>IF($C823="","",IFERROR(INDEX(CAT_TIPO,MATCH($C823,CAT_NOME,0)),"Sem categoria"))</f>
        <v/>
      </c>
      <c r="E823" s="75">
        <f>IF($C823="","",IFERROR(INDEX(CAT_GRUPO,MATCH($C823,CAT_NOME,0)),"Sem categoria"))</f>
        <v/>
      </c>
      <c r="F823" s="76" t="n"/>
      <c r="G823" s="74" t="n"/>
      <c r="H823" s="74" t="n"/>
      <c r="I823" s="74" t="n"/>
      <c r="J823" s="77" t="n"/>
      <c r="K823" s="77" t="n"/>
      <c r="L823" s="74" t="n"/>
      <c r="M823" s="74" t="n"/>
      <c r="O823" s="78">
        <f>IF($A823="","",YEAR($A823)*100+MONTH($A823))</f>
        <v/>
      </c>
      <c r="P823" s="79">
        <f>IF(OR($F823="",$D823=""),"",IF($D823="Receita",$F823,IF($D823="Transferência",0,-$F823)))</f>
        <v/>
      </c>
    </row>
    <row r="824">
      <c r="A824" s="73" t="n"/>
      <c r="B824" s="74" t="n"/>
      <c r="C824" s="74" t="n"/>
      <c r="D824" s="75">
        <f>IF($C824="","",IFERROR(INDEX(CAT_TIPO,MATCH($C824,CAT_NOME,0)),"Sem categoria"))</f>
        <v/>
      </c>
      <c r="E824" s="75">
        <f>IF($C824="","",IFERROR(INDEX(CAT_GRUPO,MATCH($C824,CAT_NOME,0)),"Sem categoria"))</f>
        <v/>
      </c>
      <c r="F824" s="76" t="n"/>
      <c r="G824" s="74" t="n"/>
      <c r="H824" s="74" t="n"/>
      <c r="I824" s="74" t="n"/>
      <c r="J824" s="77" t="n"/>
      <c r="K824" s="77" t="n"/>
      <c r="L824" s="74" t="n"/>
      <c r="M824" s="74" t="n"/>
      <c r="O824" s="78">
        <f>IF($A824="","",YEAR($A824)*100+MONTH($A824))</f>
        <v/>
      </c>
      <c r="P824" s="79">
        <f>IF(OR($F824="",$D824=""),"",IF($D824="Receita",$F824,IF($D824="Transferência",0,-$F824)))</f>
        <v/>
      </c>
    </row>
    <row r="825">
      <c r="A825" s="73" t="n"/>
      <c r="B825" s="74" t="n"/>
      <c r="C825" s="74" t="n"/>
      <c r="D825" s="75">
        <f>IF($C825="","",IFERROR(INDEX(CAT_TIPO,MATCH($C825,CAT_NOME,0)),"Sem categoria"))</f>
        <v/>
      </c>
      <c r="E825" s="75">
        <f>IF($C825="","",IFERROR(INDEX(CAT_GRUPO,MATCH($C825,CAT_NOME,0)),"Sem categoria"))</f>
        <v/>
      </c>
      <c r="F825" s="76" t="n"/>
      <c r="G825" s="74" t="n"/>
      <c r="H825" s="74" t="n"/>
      <c r="I825" s="74" t="n"/>
      <c r="J825" s="77" t="n"/>
      <c r="K825" s="77" t="n"/>
      <c r="L825" s="74" t="n"/>
      <c r="M825" s="74" t="n"/>
      <c r="O825" s="78">
        <f>IF($A825="","",YEAR($A825)*100+MONTH($A825))</f>
        <v/>
      </c>
      <c r="P825" s="79">
        <f>IF(OR($F825="",$D825=""),"",IF($D825="Receita",$F825,IF($D825="Transferência",0,-$F825)))</f>
        <v/>
      </c>
    </row>
    <row r="826">
      <c r="A826" s="73" t="n"/>
      <c r="B826" s="74" t="n"/>
      <c r="C826" s="74" t="n"/>
      <c r="D826" s="75">
        <f>IF($C826="","",IFERROR(INDEX(CAT_TIPO,MATCH($C826,CAT_NOME,0)),"Sem categoria"))</f>
        <v/>
      </c>
      <c r="E826" s="75">
        <f>IF($C826="","",IFERROR(INDEX(CAT_GRUPO,MATCH($C826,CAT_NOME,0)),"Sem categoria"))</f>
        <v/>
      </c>
      <c r="F826" s="76" t="n"/>
      <c r="G826" s="74" t="n"/>
      <c r="H826" s="74" t="n"/>
      <c r="I826" s="74" t="n"/>
      <c r="J826" s="77" t="n"/>
      <c r="K826" s="77" t="n"/>
      <c r="L826" s="74" t="n"/>
      <c r="M826" s="74" t="n"/>
      <c r="O826" s="78">
        <f>IF($A826="","",YEAR($A826)*100+MONTH($A826))</f>
        <v/>
      </c>
      <c r="P826" s="79">
        <f>IF(OR($F826="",$D826=""),"",IF($D826="Receita",$F826,IF($D826="Transferência",0,-$F826)))</f>
        <v/>
      </c>
    </row>
    <row r="827">
      <c r="A827" s="73" t="n"/>
      <c r="B827" s="74" t="n"/>
      <c r="C827" s="74" t="n"/>
      <c r="D827" s="75">
        <f>IF($C827="","",IFERROR(INDEX(CAT_TIPO,MATCH($C827,CAT_NOME,0)),"Sem categoria"))</f>
        <v/>
      </c>
      <c r="E827" s="75">
        <f>IF($C827="","",IFERROR(INDEX(CAT_GRUPO,MATCH($C827,CAT_NOME,0)),"Sem categoria"))</f>
        <v/>
      </c>
      <c r="F827" s="76" t="n"/>
      <c r="G827" s="74" t="n"/>
      <c r="H827" s="74" t="n"/>
      <c r="I827" s="74" t="n"/>
      <c r="J827" s="77" t="n"/>
      <c r="K827" s="77" t="n"/>
      <c r="L827" s="74" t="n"/>
      <c r="M827" s="74" t="n"/>
      <c r="O827" s="78">
        <f>IF($A827="","",YEAR($A827)*100+MONTH($A827))</f>
        <v/>
      </c>
      <c r="P827" s="79">
        <f>IF(OR($F827="",$D827=""),"",IF($D827="Receita",$F827,IF($D827="Transferência",0,-$F827)))</f>
        <v/>
      </c>
    </row>
    <row r="828">
      <c r="A828" s="73" t="n"/>
      <c r="B828" s="74" t="n"/>
      <c r="C828" s="74" t="n"/>
      <c r="D828" s="75">
        <f>IF($C828="","",IFERROR(INDEX(CAT_TIPO,MATCH($C828,CAT_NOME,0)),"Sem categoria"))</f>
        <v/>
      </c>
      <c r="E828" s="75">
        <f>IF($C828="","",IFERROR(INDEX(CAT_GRUPO,MATCH($C828,CAT_NOME,0)),"Sem categoria"))</f>
        <v/>
      </c>
      <c r="F828" s="76" t="n"/>
      <c r="G828" s="74" t="n"/>
      <c r="H828" s="74" t="n"/>
      <c r="I828" s="74" t="n"/>
      <c r="J828" s="77" t="n"/>
      <c r="K828" s="77" t="n"/>
      <c r="L828" s="74" t="n"/>
      <c r="M828" s="74" t="n"/>
      <c r="O828" s="78">
        <f>IF($A828="","",YEAR($A828)*100+MONTH($A828))</f>
        <v/>
      </c>
      <c r="P828" s="79">
        <f>IF(OR($F828="",$D828=""),"",IF($D828="Receita",$F828,IF($D828="Transferência",0,-$F828)))</f>
        <v/>
      </c>
    </row>
    <row r="829">
      <c r="A829" s="73" t="n"/>
      <c r="B829" s="74" t="n"/>
      <c r="C829" s="74" t="n"/>
      <c r="D829" s="75">
        <f>IF($C829="","",IFERROR(INDEX(CAT_TIPO,MATCH($C829,CAT_NOME,0)),"Sem categoria"))</f>
        <v/>
      </c>
      <c r="E829" s="75">
        <f>IF($C829="","",IFERROR(INDEX(CAT_GRUPO,MATCH($C829,CAT_NOME,0)),"Sem categoria"))</f>
        <v/>
      </c>
      <c r="F829" s="76" t="n"/>
      <c r="G829" s="74" t="n"/>
      <c r="H829" s="74" t="n"/>
      <c r="I829" s="74" t="n"/>
      <c r="J829" s="77" t="n"/>
      <c r="K829" s="77" t="n"/>
      <c r="L829" s="74" t="n"/>
      <c r="M829" s="74" t="n"/>
      <c r="O829" s="78">
        <f>IF($A829="","",YEAR($A829)*100+MONTH($A829))</f>
        <v/>
      </c>
      <c r="P829" s="79">
        <f>IF(OR($F829="",$D829=""),"",IF($D829="Receita",$F829,IF($D829="Transferência",0,-$F829)))</f>
        <v/>
      </c>
    </row>
    <row r="830">
      <c r="A830" s="73" t="n"/>
      <c r="B830" s="74" t="n"/>
      <c r="C830" s="74" t="n"/>
      <c r="D830" s="75">
        <f>IF($C830="","",IFERROR(INDEX(CAT_TIPO,MATCH($C830,CAT_NOME,0)),"Sem categoria"))</f>
        <v/>
      </c>
      <c r="E830" s="75">
        <f>IF($C830="","",IFERROR(INDEX(CAT_GRUPO,MATCH($C830,CAT_NOME,0)),"Sem categoria"))</f>
        <v/>
      </c>
      <c r="F830" s="76" t="n"/>
      <c r="G830" s="74" t="n"/>
      <c r="H830" s="74" t="n"/>
      <c r="I830" s="74" t="n"/>
      <c r="J830" s="77" t="n"/>
      <c r="K830" s="77" t="n"/>
      <c r="L830" s="74" t="n"/>
      <c r="M830" s="74" t="n"/>
      <c r="O830" s="78">
        <f>IF($A830="","",YEAR($A830)*100+MONTH($A830))</f>
        <v/>
      </c>
      <c r="P830" s="79">
        <f>IF(OR($F830="",$D830=""),"",IF($D830="Receita",$F830,IF($D830="Transferência",0,-$F830)))</f>
        <v/>
      </c>
    </row>
    <row r="831">
      <c r="A831" s="73" t="n"/>
      <c r="B831" s="74" t="n"/>
      <c r="C831" s="74" t="n"/>
      <c r="D831" s="75">
        <f>IF($C831="","",IFERROR(INDEX(CAT_TIPO,MATCH($C831,CAT_NOME,0)),"Sem categoria"))</f>
        <v/>
      </c>
      <c r="E831" s="75">
        <f>IF($C831="","",IFERROR(INDEX(CAT_GRUPO,MATCH($C831,CAT_NOME,0)),"Sem categoria"))</f>
        <v/>
      </c>
      <c r="F831" s="76" t="n"/>
      <c r="G831" s="74" t="n"/>
      <c r="H831" s="74" t="n"/>
      <c r="I831" s="74" t="n"/>
      <c r="J831" s="77" t="n"/>
      <c r="K831" s="77" t="n"/>
      <c r="L831" s="74" t="n"/>
      <c r="M831" s="74" t="n"/>
      <c r="O831" s="78">
        <f>IF($A831="","",YEAR($A831)*100+MONTH($A831))</f>
        <v/>
      </c>
      <c r="P831" s="79">
        <f>IF(OR($F831="",$D831=""),"",IF($D831="Receita",$F831,IF($D831="Transferência",0,-$F831)))</f>
        <v/>
      </c>
    </row>
    <row r="832">
      <c r="A832" s="73" t="n"/>
      <c r="B832" s="74" t="n"/>
      <c r="C832" s="74" t="n"/>
      <c r="D832" s="75">
        <f>IF($C832="","",IFERROR(INDEX(CAT_TIPO,MATCH($C832,CAT_NOME,0)),"Sem categoria"))</f>
        <v/>
      </c>
      <c r="E832" s="75">
        <f>IF($C832="","",IFERROR(INDEX(CAT_GRUPO,MATCH($C832,CAT_NOME,0)),"Sem categoria"))</f>
        <v/>
      </c>
      <c r="F832" s="76" t="n"/>
      <c r="G832" s="74" t="n"/>
      <c r="H832" s="74" t="n"/>
      <c r="I832" s="74" t="n"/>
      <c r="J832" s="77" t="n"/>
      <c r="K832" s="77" t="n"/>
      <c r="L832" s="74" t="n"/>
      <c r="M832" s="74" t="n"/>
      <c r="O832" s="78">
        <f>IF($A832="","",YEAR($A832)*100+MONTH($A832))</f>
        <v/>
      </c>
      <c r="P832" s="79">
        <f>IF(OR($F832="",$D832=""),"",IF($D832="Receita",$F832,IF($D832="Transferência",0,-$F832)))</f>
        <v/>
      </c>
    </row>
    <row r="833">
      <c r="A833" s="73" t="n"/>
      <c r="B833" s="74" t="n"/>
      <c r="C833" s="74" t="n"/>
      <c r="D833" s="75">
        <f>IF($C833="","",IFERROR(INDEX(CAT_TIPO,MATCH($C833,CAT_NOME,0)),"Sem categoria"))</f>
        <v/>
      </c>
      <c r="E833" s="75">
        <f>IF($C833="","",IFERROR(INDEX(CAT_GRUPO,MATCH($C833,CAT_NOME,0)),"Sem categoria"))</f>
        <v/>
      </c>
      <c r="F833" s="76" t="n"/>
      <c r="G833" s="74" t="n"/>
      <c r="H833" s="74" t="n"/>
      <c r="I833" s="74" t="n"/>
      <c r="J833" s="77" t="n"/>
      <c r="K833" s="77" t="n"/>
      <c r="L833" s="74" t="n"/>
      <c r="M833" s="74" t="n"/>
      <c r="O833" s="78">
        <f>IF($A833="","",YEAR($A833)*100+MONTH($A833))</f>
        <v/>
      </c>
      <c r="P833" s="79">
        <f>IF(OR($F833="",$D833=""),"",IF($D833="Receita",$F833,IF($D833="Transferência",0,-$F833)))</f>
        <v/>
      </c>
    </row>
    <row r="834">
      <c r="A834" s="73" t="n"/>
      <c r="B834" s="74" t="n"/>
      <c r="C834" s="74" t="n"/>
      <c r="D834" s="75">
        <f>IF($C834="","",IFERROR(INDEX(CAT_TIPO,MATCH($C834,CAT_NOME,0)),"Sem categoria"))</f>
        <v/>
      </c>
      <c r="E834" s="75">
        <f>IF($C834="","",IFERROR(INDEX(CAT_GRUPO,MATCH($C834,CAT_NOME,0)),"Sem categoria"))</f>
        <v/>
      </c>
      <c r="F834" s="76" t="n"/>
      <c r="G834" s="74" t="n"/>
      <c r="H834" s="74" t="n"/>
      <c r="I834" s="74" t="n"/>
      <c r="J834" s="77" t="n"/>
      <c r="K834" s="77" t="n"/>
      <c r="L834" s="74" t="n"/>
      <c r="M834" s="74" t="n"/>
      <c r="O834" s="78">
        <f>IF($A834="","",YEAR($A834)*100+MONTH($A834))</f>
        <v/>
      </c>
      <c r="P834" s="79">
        <f>IF(OR($F834="",$D834=""),"",IF($D834="Receita",$F834,IF($D834="Transferência",0,-$F834)))</f>
        <v/>
      </c>
    </row>
    <row r="835">
      <c r="A835" s="73" t="n"/>
      <c r="B835" s="74" t="n"/>
      <c r="C835" s="74" t="n"/>
      <c r="D835" s="75">
        <f>IF($C835="","",IFERROR(INDEX(CAT_TIPO,MATCH($C835,CAT_NOME,0)),"Sem categoria"))</f>
        <v/>
      </c>
      <c r="E835" s="75">
        <f>IF($C835="","",IFERROR(INDEX(CAT_GRUPO,MATCH($C835,CAT_NOME,0)),"Sem categoria"))</f>
        <v/>
      </c>
      <c r="F835" s="76" t="n"/>
      <c r="G835" s="74" t="n"/>
      <c r="H835" s="74" t="n"/>
      <c r="I835" s="74" t="n"/>
      <c r="J835" s="77" t="n"/>
      <c r="K835" s="77" t="n"/>
      <c r="L835" s="74" t="n"/>
      <c r="M835" s="74" t="n"/>
      <c r="O835" s="78">
        <f>IF($A835="","",YEAR($A835)*100+MONTH($A835))</f>
        <v/>
      </c>
      <c r="P835" s="79">
        <f>IF(OR($F835="",$D835=""),"",IF($D835="Receita",$F835,IF($D835="Transferência",0,-$F835)))</f>
        <v/>
      </c>
    </row>
    <row r="836">
      <c r="A836" s="73" t="n"/>
      <c r="B836" s="74" t="n"/>
      <c r="C836" s="74" t="n"/>
      <c r="D836" s="75">
        <f>IF($C836="","",IFERROR(INDEX(CAT_TIPO,MATCH($C836,CAT_NOME,0)),"Sem categoria"))</f>
        <v/>
      </c>
      <c r="E836" s="75">
        <f>IF($C836="","",IFERROR(INDEX(CAT_GRUPO,MATCH($C836,CAT_NOME,0)),"Sem categoria"))</f>
        <v/>
      </c>
      <c r="F836" s="76" t="n"/>
      <c r="G836" s="74" t="n"/>
      <c r="H836" s="74" t="n"/>
      <c r="I836" s="74" t="n"/>
      <c r="J836" s="77" t="n"/>
      <c r="K836" s="77" t="n"/>
      <c r="L836" s="74" t="n"/>
      <c r="M836" s="74" t="n"/>
      <c r="O836" s="78">
        <f>IF($A836="","",YEAR($A836)*100+MONTH($A836))</f>
        <v/>
      </c>
      <c r="P836" s="79">
        <f>IF(OR($F836="",$D836=""),"",IF($D836="Receita",$F836,IF($D836="Transferência",0,-$F836)))</f>
        <v/>
      </c>
    </row>
    <row r="837">
      <c r="A837" s="73" t="n"/>
      <c r="B837" s="74" t="n"/>
      <c r="C837" s="74" t="n"/>
      <c r="D837" s="75">
        <f>IF($C837="","",IFERROR(INDEX(CAT_TIPO,MATCH($C837,CAT_NOME,0)),"Sem categoria"))</f>
        <v/>
      </c>
      <c r="E837" s="75">
        <f>IF($C837="","",IFERROR(INDEX(CAT_GRUPO,MATCH($C837,CAT_NOME,0)),"Sem categoria"))</f>
        <v/>
      </c>
      <c r="F837" s="76" t="n"/>
      <c r="G837" s="74" t="n"/>
      <c r="H837" s="74" t="n"/>
      <c r="I837" s="74" t="n"/>
      <c r="J837" s="77" t="n"/>
      <c r="K837" s="77" t="n"/>
      <c r="L837" s="74" t="n"/>
      <c r="M837" s="74" t="n"/>
      <c r="O837" s="78">
        <f>IF($A837="","",YEAR($A837)*100+MONTH($A837))</f>
        <v/>
      </c>
      <c r="P837" s="79">
        <f>IF(OR($F837="",$D837=""),"",IF($D837="Receita",$F837,IF($D837="Transferência",0,-$F837)))</f>
        <v/>
      </c>
    </row>
    <row r="838">
      <c r="A838" s="73" t="n"/>
      <c r="B838" s="74" t="n"/>
      <c r="C838" s="74" t="n"/>
      <c r="D838" s="75">
        <f>IF($C838="","",IFERROR(INDEX(CAT_TIPO,MATCH($C838,CAT_NOME,0)),"Sem categoria"))</f>
        <v/>
      </c>
      <c r="E838" s="75">
        <f>IF($C838="","",IFERROR(INDEX(CAT_GRUPO,MATCH($C838,CAT_NOME,0)),"Sem categoria"))</f>
        <v/>
      </c>
      <c r="F838" s="76" t="n"/>
      <c r="G838" s="74" t="n"/>
      <c r="H838" s="74" t="n"/>
      <c r="I838" s="74" t="n"/>
      <c r="J838" s="77" t="n"/>
      <c r="K838" s="77" t="n"/>
      <c r="L838" s="74" t="n"/>
      <c r="M838" s="74" t="n"/>
      <c r="O838" s="78">
        <f>IF($A838="","",YEAR($A838)*100+MONTH($A838))</f>
        <v/>
      </c>
      <c r="P838" s="79">
        <f>IF(OR($F838="",$D838=""),"",IF($D838="Receita",$F838,IF($D838="Transferência",0,-$F838)))</f>
        <v/>
      </c>
    </row>
    <row r="839">
      <c r="A839" s="73" t="n"/>
      <c r="B839" s="74" t="n"/>
      <c r="C839" s="74" t="n"/>
      <c r="D839" s="75">
        <f>IF($C839="","",IFERROR(INDEX(CAT_TIPO,MATCH($C839,CAT_NOME,0)),"Sem categoria"))</f>
        <v/>
      </c>
      <c r="E839" s="75">
        <f>IF($C839="","",IFERROR(INDEX(CAT_GRUPO,MATCH($C839,CAT_NOME,0)),"Sem categoria"))</f>
        <v/>
      </c>
      <c r="F839" s="76" t="n"/>
      <c r="G839" s="74" t="n"/>
      <c r="H839" s="74" t="n"/>
      <c r="I839" s="74" t="n"/>
      <c r="J839" s="77" t="n"/>
      <c r="K839" s="77" t="n"/>
      <c r="L839" s="74" t="n"/>
      <c r="M839" s="74" t="n"/>
      <c r="O839" s="78">
        <f>IF($A839="","",YEAR($A839)*100+MONTH($A839))</f>
        <v/>
      </c>
      <c r="P839" s="79">
        <f>IF(OR($F839="",$D839=""),"",IF($D839="Receita",$F839,IF($D839="Transferência",0,-$F839)))</f>
        <v/>
      </c>
    </row>
    <row r="840">
      <c r="A840" s="73" t="n"/>
      <c r="B840" s="74" t="n"/>
      <c r="C840" s="74" t="n"/>
      <c r="D840" s="75">
        <f>IF($C840="","",IFERROR(INDEX(CAT_TIPO,MATCH($C840,CAT_NOME,0)),"Sem categoria"))</f>
        <v/>
      </c>
      <c r="E840" s="75">
        <f>IF($C840="","",IFERROR(INDEX(CAT_GRUPO,MATCH($C840,CAT_NOME,0)),"Sem categoria"))</f>
        <v/>
      </c>
      <c r="F840" s="76" t="n"/>
      <c r="G840" s="74" t="n"/>
      <c r="H840" s="74" t="n"/>
      <c r="I840" s="74" t="n"/>
      <c r="J840" s="77" t="n"/>
      <c r="K840" s="77" t="n"/>
      <c r="L840" s="74" t="n"/>
      <c r="M840" s="74" t="n"/>
      <c r="O840" s="78">
        <f>IF($A840="","",YEAR($A840)*100+MONTH($A840))</f>
        <v/>
      </c>
      <c r="P840" s="79">
        <f>IF(OR($F840="",$D840=""),"",IF($D840="Receita",$F840,IF($D840="Transferência",0,-$F840)))</f>
        <v/>
      </c>
    </row>
    <row r="841">
      <c r="A841" s="73" t="n"/>
      <c r="B841" s="74" t="n"/>
      <c r="C841" s="74" t="n"/>
      <c r="D841" s="75">
        <f>IF($C841="","",IFERROR(INDEX(CAT_TIPO,MATCH($C841,CAT_NOME,0)),"Sem categoria"))</f>
        <v/>
      </c>
      <c r="E841" s="75">
        <f>IF($C841="","",IFERROR(INDEX(CAT_GRUPO,MATCH($C841,CAT_NOME,0)),"Sem categoria"))</f>
        <v/>
      </c>
      <c r="F841" s="76" t="n"/>
      <c r="G841" s="74" t="n"/>
      <c r="H841" s="74" t="n"/>
      <c r="I841" s="74" t="n"/>
      <c r="J841" s="77" t="n"/>
      <c r="K841" s="77" t="n"/>
      <c r="L841" s="74" t="n"/>
      <c r="M841" s="74" t="n"/>
      <c r="O841" s="78">
        <f>IF($A841="","",YEAR($A841)*100+MONTH($A841))</f>
        <v/>
      </c>
      <c r="P841" s="79">
        <f>IF(OR($F841="",$D841=""),"",IF($D841="Receita",$F841,IF($D841="Transferência",0,-$F841)))</f>
        <v/>
      </c>
    </row>
    <row r="842">
      <c r="A842" s="73" t="n"/>
      <c r="B842" s="74" t="n"/>
      <c r="C842" s="74" t="n"/>
      <c r="D842" s="75">
        <f>IF($C842="","",IFERROR(INDEX(CAT_TIPO,MATCH($C842,CAT_NOME,0)),"Sem categoria"))</f>
        <v/>
      </c>
      <c r="E842" s="75">
        <f>IF($C842="","",IFERROR(INDEX(CAT_GRUPO,MATCH($C842,CAT_NOME,0)),"Sem categoria"))</f>
        <v/>
      </c>
      <c r="F842" s="76" t="n"/>
      <c r="G842" s="74" t="n"/>
      <c r="H842" s="74" t="n"/>
      <c r="I842" s="74" t="n"/>
      <c r="J842" s="77" t="n"/>
      <c r="K842" s="77" t="n"/>
      <c r="L842" s="74" t="n"/>
      <c r="M842" s="74" t="n"/>
      <c r="O842" s="78">
        <f>IF($A842="","",YEAR($A842)*100+MONTH($A842))</f>
        <v/>
      </c>
      <c r="P842" s="79">
        <f>IF(OR($F842="",$D842=""),"",IF($D842="Receita",$F842,IF($D842="Transferência",0,-$F842)))</f>
        <v/>
      </c>
    </row>
    <row r="843">
      <c r="A843" s="73" t="n"/>
      <c r="B843" s="74" t="n"/>
      <c r="C843" s="74" t="n"/>
      <c r="D843" s="75">
        <f>IF($C843="","",IFERROR(INDEX(CAT_TIPO,MATCH($C843,CAT_NOME,0)),"Sem categoria"))</f>
        <v/>
      </c>
      <c r="E843" s="75">
        <f>IF($C843="","",IFERROR(INDEX(CAT_GRUPO,MATCH($C843,CAT_NOME,0)),"Sem categoria"))</f>
        <v/>
      </c>
      <c r="F843" s="76" t="n"/>
      <c r="G843" s="74" t="n"/>
      <c r="H843" s="74" t="n"/>
      <c r="I843" s="74" t="n"/>
      <c r="J843" s="77" t="n"/>
      <c r="K843" s="77" t="n"/>
      <c r="L843" s="74" t="n"/>
      <c r="M843" s="74" t="n"/>
      <c r="O843" s="78">
        <f>IF($A843="","",YEAR($A843)*100+MONTH($A843))</f>
        <v/>
      </c>
      <c r="P843" s="79">
        <f>IF(OR($F843="",$D843=""),"",IF($D843="Receita",$F843,IF($D843="Transferência",0,-$F843)))</f>
        <v/>
      </c>
    </row>
    <row r="844">
      <c r="A844" s="73" t="n"/>
      <c r="B844" s="74" t="n"/>
      <c r="C844" s="74" t="n"/>
      <c r="D844" s="75">
        <f>IF($C844="","",IFERROR(INDEX(CAT_TIPO,MATCH($C844,CAT_NOME,0)),"Sem categoria"))</f>
        <v/>
      </c>
      <c r="E844" s="75">
        <f>IF($C844="","",IFERROR(INDEX(CAT_GRUPO,MATCH($C844,CAT_NOME,0)),"Sem categoria"))</f>
        <v/>
      </c>
      <c r="F844" s="76" t="n"/>
      <c r="G844" s="74" t="n"/>
      <c r="H844" s="74" t="n"/>
      <c r="I844" s="74" t="n"/>
      <c r="J844" s="77" t="n"/>
      <c r="K844" s="77" t="n"/>
      <c r="L844" s="74" t="n"/>
      <c r="M844" s="74" t="n"/>
      <c r="O844" s="78">
        <f>IF($A844="","",YEAR($A844)*100+MONTH($A844))</f>
        <v/>
      </c>
      <c r="P844" s="79">
        <f>IF(OR($F844="",$D844=""),"",IF($D844="Receita",$F844,IF($D844="Transferência",0,-$F844)))</f>
        <v/>
      </c>
    </row>
    <row r="845">
      <c r="A845" s="73" t="n"/>
      <c r="B845" s="74" t="n"/>
      <c r="C845" s="74" t="n"/>
      <c r="D845" s="75">
        <f>IF($C845="","",IFERROR(INDEX(CAT_TIPO,MATCH($C845,CAT_NOME,0)),"Sem categoria"))</f>
        <v/>
      </c>
      <c r="E845" s="75">
        <f>IF($C845="","",IFERROR(INDEX(CAT_GRUPO,MATCH($C845,CAT_NOME,0)),"Sem categoria"))</f>
        <v/>
      </c>
      <c r="F845" s="76" t="n"/>
      <c r="G845" s="74" t="n"/>
      <c r="H845" s="74" t="n"/>
      <c r="I845" s="74" t="n"/>
      <c r="J845" s="77" t="n"/>
      <c r="K845" s="77" t="n"/>
      <c r="L845" s="74" t="n"/>
      <c r="M845" s="74" t="n"/>
      <c r="O845" s="78">
        <f>IF($A845="","",YEAR($A845)*100+MONTH($A845))</f>
        <v/>
      </c>
      <c r="P845" s="79">
        <f>IF(OR($F845="",$D845=""),"",IF($D845="Receita",$F845,IF($D845="Transferência",0,-$F845)))</f>
        <v/>
      </c>
    </row>
    <row r="846">
      <c r="A846" s="73" t="n"/>
      <c r="B846" s="74" t="n"/>
      <c r="C846" s="74" t="n"/>
      <c r="D846" s="75">
        <f>IF($C846="","",IFERROR(INDEX(CAT_TIPO,MATCH($C846,CAT_NOME,0)),"Sem categoria"))</f>
        <v/>
      </c>
      <c r="E846" s="75">
        <f>IF($C846="","",IFERROR(INDEX(CAT_GRUPO,MATCH($C846,CAT_NOME,0)),"Sem categoria"))</f>
        <v/>
      </c>
      <c r="F846" s="76" t="n"/>
      <c r="G846" s="74" t="n"/>
      <c r="H846" s="74" t="n"/>
      <c r="I846" s="74" t="n"/>
      <c r="J846" s="77" t="n"/>
      <c r="K846" s="77" t="n"/>
      <c r="L846" s="74" t="n"/>
      <c r="M846" s="74" t="n"/>
      <c r="O846" s="78">
        <f>IF($A846="","",YEAR($A846)*100+MONTH($A846))</f>
        <v/>
      </c>
      <c r="P846" s="79">
        <f>IF(OR($F846="",$D846=""),"",IF($D846="Receita",$F846,IF($D846="Transferência",0,-$F846)))</f>
        <v/>
      </c>
    </row>
    <row r="847">
      <c r="A847" s="73" t="n"/>
      <c r="B847" s="74" t="n"/>
      <c r="C847" s="74" t="n"/>
      <c r="D847" s="75">
        <f>IF($C847="","",IFERROR(INDEX(CAT_TIPO,MATCH($C847,CAT_NOME,0)),"Sem categoria"))</f>
        <v/>
      </c>
      <c r="E847" s="75">
        <f>IF($C847="","",IFERROR(INDEX(CAT_GRUPO,MATCH($C847,CAT_NOME,0)),"Sem categoria"))</f>
        <v/>
      </c>
      <c r="F847" s="76" t="n"/>
      <c r="G847" s="74" t="n"/>
      <c r="H847" s="74" t="n"/>
      <c r="I847" s="74" t="n"/>
      <c r="J847" s="77" t="n"/>
      <c r="K847" s="77" t="n"/>
      <c r="L847" s="74" t="n"/>
      <c r="M847" s="74" t="n"/>
      <c r="O847" s="78">
        <f>IF($A847="","",YEAR($A847)*100+MONTH($A847))</f>
        <v/>
      </c>
      <c r="P847" s="79">
        <f>IF(OR($F847="",$D847=""),"",IF($D847="Receita",$F847,IF($D847="Transferência",0,-$F847)))</f>
        <v/>
      </c>
    </row>
    <row r="848">
      <c r="A848" s="73" t="n"/>
      <c r="B848" s="74" t="n"/>
      <c r="C848" s="74" t="n"/>
      <c r="D848" s="75">
        <f>IF($C848="","",IFERROR(INDEX(CAT_TIPO,MATCH($C848,CAT_NOME,0)),"Sem categoria"))</f>
        <v/>
      </c>
      <c r="E848" s="75">
        <f>IF($C848="","",IFERROR(INDEX(CAT_GRUPO,MATCH($C848,CAT_NOME,0)),"Sem categoria"))</f>
        <v/>
      </c>
      <c r="F848" s="76" t="n"/>
      <c r="G848" s="74" t="n"/>
      <c r="H848" s="74" t="n"/>
      <c r="I848" s="74" t="n"/>
      <c r="J848" s="77" t="n"/>
      <c r="K848" s="77" t="n"/>
      <c r="L848" s="74" t="n"/>
      <c r="M848" s="74" t="n"/>
      <c r="O848" s="78">
        <f>IF($A848="","",YEAR($A848)*100+MONTH($A848))</f>
        <v/>
      </c>
      <c r="P848" s="79">
        <f>IF(OR($F848="",$D848=""),"",IF($D848="Receita",$F848,IF($D848="Transferência",0,-$F848)))</f>
        <v/>
      </c>
    </row>
    <row r="849">
      <c r="A849" s="73" t="n"/>
      <c r="B849" s="74" t="n"/>
      <c r="C849" s="74" t="n"/>
      <c r="D849" s="75">
        <f>IF($C849="","",IFERROR(INDEX(CAT_TIPO,MATCH($C849,CAT_NOME,0)),"Sem categoria"))</f>
        <v/>
      </c>
      <c r="E849" s="75">
        <f>IF($C849="","",IFERROR(INDEX(CAT_GRUPO,MATCH($C849,CAT_NOME,0)),"Sem categoria"))</f>
        <v/>
      </c>
      <c r="F849" s="76" t="n"/>
      <c r="G849" s="74" t="n"/>
      <c r="H849" s="74" t="n"/>
      <c r="I849" s="74" t="n"/>
      <c r="J849" s="77" t="n"/>
      <c r="K849" s="77" t="n"/>
      <c r="L849" s="74" t="n"/>
      <c r="M849" s="74" t="n"/>
      <c r="O849" s="78">
        <f>IF($A849="","",YEAR($A849)*100+MONTH($A849))</f>
        <v/>
      </c>
      <c r="P849" s="79">
        <f>IF(OR($F849="",$D849=""),"",IF($D849="Receita",$F849,IF($D849="Transferência",0,-$F849)))</f>
        <v/>
      </c>
    </row>
    <row r="850">
      <c r="A850" s="73" t="n"/>
      <c r="B850" s="74" t="n"/>
      <c r="C850" s="74" t="n"/>
      <c r="D850" s="75">
        <f>IF($C850="","",IFERROR(INDEX(CAT_TIPO,MATCH($C850,CAT_NOME,0)),"Sem categoria"))</f>
        <v/>
      </c>
      <c r="E850" s="75">
        <f>IF($C850="","",IFERROR(INDEX(CAT_GRUPO,MATCH($C850,CAT_NOME,0)),"Sem categoria"))</f>
        <v/>
      </c>
      <c r="F850" s="76" t="n"/>
      <c r="G850" s="74" t="n"/>
      <c r="H850" s="74" t="n"/>
      <c r="I850" s="74" t="n"/>
      <c r="J850" s="77" t="n"/>
      <c r="K850" s="77" t="n"/>
      <c r="L850" s="74" t="n"/>
      <c r="M850" s="74" t="n"/>
      <c r="O850" s="78">
        <f>IF($A850="","",YEAR($A850)*100+MONTH($A850))</f>
        <v/>
      </c>
      <c r="P850" s="79">
        <f>IF(OR($F850="",$D850=""),"",IF($D850="Receita",$F850,IF($D850="Transferência",0,-$F850)))</f>
        <v/>
      </c>
    </row>
    <row r="851">
      <c r="A851" s="73" t="n"/>
      <c r="B851" s="74" t="n"/>
      <c r="C851" s="74" t="n"/>
      <c r="D851" s="75">
        <f>IF($C851="","",IFERROR(INDEX(CAT_TIPO,MATCH($C851,CAT_NOME,0)),"Sem categoria"))</f>
        <v/>
      </c>
      <c r="E851" s="75">
        <f>IF($C851="","",IFERROR(INDEX(CAT_GRUPO,MATCH($C851,CAT_NOME,0)),"Sem categoria"))</f>
        <v/>
      </c>
      <c r="F851" s="76" t="n"/>
      <c r="G851" s="74" t="n"/>
      <c r="H851" s="74" t="n"/>
      <c r="I851" s="74" t="n"/>
      <c r="J851" s="77" t="n"/>
      <c r="K851" s="77" t="n"/>
      <c r="L851" s="74" t="n"/>
      <c r="M851" s="74" t="n"/>
      <c r="O851" s="78">
        <f>IF($A851="","",YEAR($A851)*100+MONTH($A851))</f>
        <v/>
      </c>
      <c r="P851" s="79">
        <f>IF(OR($F851="",$D851=""),"",IF($D851="Receita",$F851,IF($D851="Transferência",0,-$F851)))</f>
        <v/>
      </c>
    </row>
    <row r="852">
      <c r="A852" s="73" t="n"/>
      <c r="B852" s="74" t="n"/>
      <c r="C852" s="74" t="n"/>
      <c r="D852" s="75">
        <f>IF($C852="","",IFERROR(INDEX(CAT_TIPO,MATCH($C852,CAT_NOME,0)),"Sem categoria"))</f>
        <v/>
      </c>
      <c r="E852" s="75">
        <f>IF($C852="","",IFERROR(INDEX(CAT_GRUPO,MATCH($C852,CAT_NOME,0)),"Sem categoria"))</f>
        <v/>
      </c>
      <c r="F852" s="76" t="n"/>
      <c r="G852" s="74" t="n"/>
      <c r="H852" s="74" t="n"/>
      <c r="I852" s="74" t="n"/>
      <c r="J852" s="77" t="n"/>
      <c r="K852" s="77" t="n"/>
      <c r="L852" s="74" t="n"/>
      <c r="M852" s="74" t="n"/>
      <c r="O852" s="78">
        <f>IF($A852="","",YEAR($A852)*100+MONTH($A852))</f>
        <v/>
      </c>
      <c r="P852" s="79">
        <f>IF(OR($F852="",$D852=""),"",IF($D852="Receita",$F852,IF($D852="Transferência",0,-$F852)))</f>
        <v/>
      </c>
    </row>
    <row r="853">
      <c r="A853" s="73" t="n"/>
      <c r="B853" s="74" t="n"/>
      <c r="C853" s="74" t="n"/>
      <c r="D853" s="75">
        <f>IF($C853="","",IFERROR(INDEX(CAT_TIPO,MATCH($C853,CAT_NOME,0)),"Sem categoria"))</f>
        <v/>
      </c>
      <c r="E853" s="75">
        <f>IF($C853="","",IFERROR(INDEX(CAT_GRUPO,MATCH($C853,CAT_NOME,0)),"Sem categoria"))</f>
        <v/>
      </c>
      <c r="F853" s="76" t="n"/>
      <c r="G853" s="74" t="n"/>
      <c r="H853" s="74" t="n"/>
      <c r="I853" s="74" t="n"/>
      <c r="J853" s="77" t="n"/>
      <c r="K853" s="77" t="n"/>
      <c r="L853" s="74" t="n"/>
      <c r="M853" s="74" t="n"/>
      <c r="O853" s="78">
        <f>IF($A853="","",YEAR($A853)*100+MONTH($A853))</f>
        <v/>
      </c>
      <c r="P853" s="79">
        <f>IF(OR($F853="",$D853=""),"",IF($D853="Receita",$F853,IF($D853="Transferência",0,-$F853)))</f>
        <v/>
      </c>
    </row>
    <row r="854">
      <c r="A854" s="73" t="n"/>
      <c r="B854" s="74" t="n"/>
      <c r="C854" s="74" t="n"/>
      <c r="D854" s="75">
        <f>IF($C854="","",IFERROR(INDEX(CAT_TIPO,MATCH($C854,CAT_NOME,0)),"Sem categoria"))</f>
        <v/>
      </c>
      <c r="E854" s="75">
        <f>IF($C854="","",IFERROR(INDEX(CAT_GRUPO,MATCH($C854,CAT_NOME,0)),"Sem categoria"))</f>
        <v/>
      </c>
      <c r="F854" s="76" t="n"/>
      <c r="G854" s="74" t="n"/>
      <c r="H854" s="74" t="n"/>
      <c r="I854" s="74" t="n"/>
      <c r="J854" s="77" t="n"/>
      <c r="K854" s="77" t="n"/>
      <c r="L854" s="74" t="n"/>
      <c r="M854" s="74" t="n"/>
      <c r="O854" s="78">
        <f>IF($A854="","",YEAR($A854)*100+MONTH($A854))</f>
        <v/>
      </c>
      <c r="P854" s="79">
        <f>IF(OR($F854="",$D854=""),"",IF($D854="Receita",$F854,IF($D854="Transferência",0,-$F854)))</f>
        <v/>
      </c>
    </row>
    <row r="855">
      <c r="A855" s="73" t="n"/>
      <c r="B855" s="74" t="n"/>
      <c r="C855" s="74" t="n"/>
      <c r="D855" s="75">
        <f>IF($C855="","",IFERROR(INDEX(CAT_TIPO,MATCH($C855,CAT_NOME,0)),"Sem categoria"))</f>
        <v/>
      </c>
      <c r="E855" s="75">
        <f>IF($C855="","",IFERROR(INDEX(CAT_GRUPO,MATCH($C855,CAT_NOME,0)),"Sem categoria"))</f>
        <v/>
      </c>
      <c r="F855" s="76" t="n"/>
      <c r="G855" s="74" t="n"/>
      <c r="H855" s="74" t="n"/>
      <c r="I855" s="74" t="n"/>
      <c r="J855" s="77" t="n"/>
      <c r="K855" s="77" t="n"/>
      <c r="L855" s="74" t="n"/>
      <c r="M855" s="74" t="n"/>
      <c r="O855" s="78">
        <f>IF($A855="","",YEAR($A855)*100+MONTH($A855))</f>
        <v/>
      </c>
      <c r="P855" s="79">
        <f>IF(OR($F855="",$D855=""),"",IF($D855="Receita",$F855,IF($D855="Transferência",0,-$F855)))</f>
        <v/>
      </c>
    </row>
    <row r="856">
      <c r="A856" s="73" t="n"/>
      <c r="B856" s="74" t="n"/>
      <c r="C856" s="74" t="n"/>
      <c r="D856" s="75">
        <f>IF($C856="","",IFERROR(INDEX(CAT_TIPO,MATCH($C856,CAT_NOME,0)),"Sem categoria"))</f>
        <v/>
      </c>
      <c r="E856" s="75">
        <f>IF($C856="","",IFERROR(INDEX(CAT_GRUPO,MATCH($C856,CAT_NOME,0)),"Sem categoria"))</f>
        <v/>
      </c>
      <c r="F856" s="76" t="n"/>
      <c r="G856" s="74" t="n"/>
      <c r="H856" s="74" t="n"/>
      <c r="I856" s="74" t="n"/>
      <c r="J856" s="77" t="n"/>
      <c r="K856" s="77" t="n"/>
      <c r="L856" s="74" t="n"/>
      <c r="M856" s="74" t="n"/>
      <c r="O856" s="78">
        <f>IF($A856="","",YEAR($A856)*100+MONTH($A856))</f>
        <v/>
      </c>
      <c r="P856" s="79">
        <f>IF(OR($F856="",$D856=""),"",IF($D856="Receita",$F856,IF($D856="Transferência",0,-$F856)))</f>
        <v/>
      </c>
    </row>
    <row r="857">
      <c r="A857" s="73" t="n"/>
      <c r="B857" s="74" t="n"/>
      <c r="C857" s="74" t="n"/>
      <c r="D857" s="75">
        <f>IF($C857="","",IFERROR(INDEX(CAT_TIPO,MATCH($C857,CAT_NOME,0)),"Sem categoria"))</f>
        <v/>
      </c>
      <c r="E857" s="75">
        <f>IF($C857="","",IFERROR(INDEX(CAT_GRUPO,MATCH($C857,CAT_NOME,0)),"Sem categoria"))</f>
        <v/>
      </c>
      <c r="F857" s="76" t="n"/>
      <c r="G857" s="74" t="n"/>
      <c r="H857" s="74" t="n"/>
      <c r="I857" s="74" t="n"/>
      <c r="J857" s="77" t="n"/>
      <c r="K857" s="77" t="n"/>
      <c r="L857" s="74" t="n"/>
      <c r="M857" s="74" t="n"/>
      <c r="O857" s="78">
        <f>IF($A857="","",YEAR($A857)*100+MONTH($A857))</f>
        <v/>
      </c>
      <c r="P857" s="79">
        <f>IF(OR($F857="",$D857=""),"",IF($D857="Receita",$F857,IF($D857="Transferência",0,-$F857)))</f>
        <v/>
      </c>
    </row>
    <row r="858">
      <c r="A858" s="73" t="n"/>
      <c r="B858" s="74" t="n"/>
      <c r="C858" s="74" t="n"/>
      <c r="D858" s="75">
        <f>IF($C858="","",IFERROR(INDEX(CAT_TIPO,MATCH($C858,CAT_NOME,0)),"Sem categoria"))</f>
        <v/>
      </c>
      <c r="E858" s="75">
        <f>IF($C858="","",IFERROR(INDEX(CAT_GRUPO,MATCH($C858,CAT_NOME,0)),"Sem categoria"))</f>
        <v/>
      </c>
      <c r="F858" s="76" t="n"/>
      <c r="G858" s="74" t="n"/>
      <c r="H858" s="74" t="n"/>
      <c r="I858" s="74" t="n"/>
      <c r="J858" s="77" t="n"/>
      <c r="K858" s="77" t="n"/>
      <c r="L858" s="74" t="n"/>
      <c r="M858" s="74" t="n"/>
      <c r="O858" s="78">
        <f>IF($A858="","",YEAR($A858)*100+MONTH($A858))</f>
        <v/>
      </c>
      <c r="P858" s="79">
        <f>IF(OR($F858="",$D858=""),"",IF($D858="Receita",$F858,IF($D858="Transferência",0,-$F858)))</f>
        <v/>
      </c>
    </row>
    <row r="859">
      <c r="A859" s="73" t="n"/>
      <c r="B859" s="74" t="n"/>
      <c r="C859" s="74" t="n"/>
      <c r="D859" s="75">
        <f>IF($C859="","",IFERROR(INDEX(CAT_TIPO,MATCH($C859,CAT_NOME,0)),"Sem categoria"))</f>
        <v/>
      </c>
      <c r="E859" s="75">
        <f>IF($C859="","",IFERROR(INDEX(CAT_GRUPO,MATCH($C859,CAT_NOME,0)),"Sem categoria"))</f>
        <v/>
      </c>
      <c r="F859" s="76" t="n"/>
      <c r="G859" s="74" t="n"/>
      <c r="H859" s="74" t="n"/>
      <c r="I859" s="74" t="n"/>
      <c r="J859" s="77" t="n"/>
      <c r="K859" s="77" t="n"/>
      <c r="L859" s="74" t="n"/>
      <c r="M859" s="74" t="n"/>
      <c r="O859" s="78">
        <f>IF($A859="","",YEAR($A859)*100+MONTH($A859))</f>
        <v/>
      </c>
      <c r="P859" s="79">
        <f>IF(OR($F859="",$D859=""),"",IF($D859="Receita",$F859,IF($D859="Transferência",0,-$F859)))</f>
        <v/>
      </c>
    </row>
    <row r="860">
      <c r="A860" s="73" t="n"/>
      <c r="B860" s="74" t="n"/>
      <c r="C860" s="74" t="n"/>
      <c r="D860" s="75">
        <f>IF($C860="","",IFERROR(INDEX(CAT_TIPO,MATCH($C860,CAT_NOME,0)),"Sem categoria"))</f>
        <v/>
      </c>
      <c r="E860" s="75">
        <f>IF($C860="","",IFERROR(INDEX(CAT_GRUPO,MATCH($C860,CAT_NOME,0)),"Sem categoria"))</f>
        <v/>
      </c>
      <c r="F860" s="76" t="n"/>
      <c r="G860" s="74" t="n"/>
      <c r="H860" s="74" t="n"/>
      <c r="I860" s="74" t="n"/>
      <c r="J860" s="77" t="n"/>
      <c r="K860" s="77" t="n"/>
      <c r="L860" s="74" t="n"/>
      <c r="M860" s="74" t="n"/>
      <c r="O860" s="78">
        <f>IF($A860="","",YEAR($A860)*100+MONTH($A860))</f>
        <v/>
      </c>
      <c r="P860" s="79">
        <f>IF(OR($F860="",$D860=""),"",IF($D860="Receita",$F860,IF($D860="Transferência",0,-$F860)))</f>
        <v/>
      </c>
    </row>
    <row r="861">
      <c r="A861" s="73" t="n"/>
      <c r="B861" s="74" t="n"/>
      <c r="C861" s="74" t="n"/>
      <c r="D861" s="75">
        <f>IF($C861="","",IFERROR(INDEX(CAT_TIPO,MATCH($C861,CAT_NOME,0)),"Sem categoria"))</f>
        <v/>
      </c>
      <c r="E861" s="75">
        <f>IF($C861="","",IFERROR(INDEX(CAT_GRUPO,MATCH($C861,CAT_NOME,0)),"Sem categoria"))</f>
        <v/>
      </c>
      <c r="F861" s="76" t="n"/>
      <c r="G861" s="74" t="n"/>
      <c r="H861" s="74" t="n"/>
      <c r="I861" s="74" t="n"/>
      <c r="J861" s="77" t="n"/>
      <c r="K861" s="77" t="n"/>
      <c r="L861" s="74" t="n"/>
      <c r="M861" s="74" t="n"/>
      <c r="O861" s="78">
        <f>IF($A861="","",YEAR($A861)*100+MONTH($A861))</f>
        <v/>
      </c>
      <c r="P861" s="79">
        <f>IF(OR($F861="",$D861=""),"",IF($D861="Receita",$F861,IF($D861="Transferência",0,-$F861)))</f>
        <v/>
      </c>
    </row>
    <row r="862">
      <c r="A862" s="73" t="n"/>
      <c r="B862" s="74" t="n"/>
      <c r="C862" s="74" t="n"/>
      <c r="D862" s="75">
        <f>IF($C862="","",IFERROR(INDEX(CAT_TIPO,MATCH($C862,CAT_NOME,0)),"Sem categoria"))</f>
        <v/>
      </c>
      <c r="E862" s="75">
        <f>IF($C862="","",IFERROR(INDEX(CAT_GRUPO,MATCH($C862,CAT_NOME,0)),"Sem categoria"))</f>
        <v/>
      </c>
      <c r="F862" s="76" t="n"/>
      <c r="G862" s="74" t="n"/>
      <c r="H862" s="74" t="n"/>
      <c r="I862" s="74" t="n"/>
      <c r="J862" s="77" t="n"/>
      <c r="K862" s="77" t="n"/>
      <c r="L862" s="74" t="n"/>
      <c r="M862" s="74" t="n"/>
      <c r="O862" s="78">
        <f>IF($A862="","",YEAR($A862)*100+MONTH($A862))</f>
        <v/>
      </c>
      <c r="P862" s="79">
        <f>IF(OR($F862="",$D862=""),"",IF($D862="Receita",$F862,IF($D862="Transferência",0,-$F862)))</f>
        <v/>
      </c>
    </row>
    <row r="863">
      <c r="A863" s="73" t="n"/>
      <c r="B863" s="74" t="n"/>
      <c r="C863" s="74" t="n"/>
      <c r="D863" s="75">
        <f>IF($C863="","",IFERROR(INDEX(CAT_TIPO,MATCH($C863,CAT_NOME,0)),"Sem categoria"))</f>
        <v/>
      </c>
      <c r="E863" s="75">
        <f>IF($C863="","",IFERROR(INDEX(CAT_GRUPO,MATCH($C863,CAT_NOME,0)),"Sem categoria"))</f>
        <v/>
      </c>
      <c r="F863" s="76" t="n"/>
      <c r="G863" s="74" t="n"/>
      <c r="H863" s="74" t="n"/>
      <c r="I863" s="74" t="n"/>
      <c r="J863" s="77" t="n"/>
      <c r="K863" s="77" t="n"/>
      <c r="L863" s="74" t="n"/>
      <c r="M863" s="74" t="n"/>
      <c r="O863" s="78">
        <f>IF($A863="","",YEAR($A863)*100+MONTH($A863))</f>
        <v/>
      </c>
      <c r="P863" s="79">
        <f>IF(OR($F863="",$D863=""),"",IF($D863="Receita",$F863,IF($D863="Transferência",0,-$F863)))</f>
        <v/>
      </c>
    </row>
    <row r="864">
      <c r="A864" s="73" t="n"/>
      <c r="B864" s="74" t="n"/>
      <c r="C864" s="74" t="n"/>
      <c r="D864" s="75">
        <f>IF($C864="","",IFERROR(INDEX(CAT_TIPO,MATCH($C864,CAT_NOME,0)),"Sem categoria"))</f>
        <v/>
      </c>
      <c r="E864" s="75">
        <f>IF($C864="","",IFERROR(INDEX(CAT_GRUPO,MATCH($C864,CAT_NOME,0)),"Sem categoria"))</f>
        <v/>
      </c>
      <c r="F864" s="76" t="n"/>
      <c r="G864" s="74" t="n"/>
      <c r="H864" s="74" t="n"/>
      <c r="I864" s="74" t="n"/>
      <c r="J864" s="77" t="n"/>
      <c r="K864" s="77" t="n"/>
      <c r="L864" s="74" t="n"/>
      <c r="M864" s="74" t="n"/>
      <c r="O864" s="78">
        <f>IF($A864="","",YEAR($A864)*100+MONTH($A864))</f>
        <v/>
      </c>
      <c r="P864" s="79">
        <f>IF(OR($F864="",$D864=""),"",IF($D864="Receita",$F864,IF($D864="Transferência",0,-$F864)))</f>
        <v/>
      </c>
    </row>
    <row r="865">
      <c r="A865" s="73" t="n"/>
      <c r="B865" s="74" t="n"/>
      <c r="C865" s="74" t="n"/>
      <c r="D865" s="75">
        <f>IF($C865="","",IFERROR(INDEX(CAT_TIPO,MATCH($C865,CAT_NOME,0)),"Sem categoria"))</f>
        <v/>
      </c>
      <c r="E865" s="75">
        <f>IF($C865="","",IFERROR(INDEX(CAT_GRUPO,MATCH($C865,CAT_NOME,0)),"Sem categoria"))</f>
        <v/>
      </c>
      <c r="F865" s="76" t="n"/>
      <c r="G865" s="74" t="n"/>
      <c r="H865" s="74" t="n"/>
      <c r="I865" s="74" t="n"/>
      <c r="J865" s="77" t="n"/>
      <c r="K865" s="77" t="n"/>
      <c r="L865" s="74" t="n"/>
      <c r="M865" s="74" t="n"/>
      <c r="O865" s="78">
        <f>IF($A865="","",YEAR($A865)*100+MONTH($A865))</f>
        <v/>
      </c>
      <c r="P865" s="79">
        <f>IF(OR($F865="",$D865=""),"",IF($D865="Receita",$F865,IF($D865="Transferência",0,-$F865)))</f>
        <v/>
      </c>
    </row>
    <row r="866">
      <c r="A866" s="73" t="n"/>
      <c r="B866" s="74" t="n"/>
      <c r="C866" s="74" t="n"/>
      <c r="D866" s="75">
        <f>IF($C866="","",IFERROR(INDEX(CAT_TIPO,MATCH($C866,CAT_NOME,0)),"Sem categoria"))</f>
        <v/>
      </c>
      <c r="E866" s="75">
        <f>IF($C866="","",IFERROR(INDEX(CAT_GRUPO,MATCH($C866,CAT_NOME,0)),"Sem categoria"))</f>
        <v/>
      </c>
      <c r="F866" s="76" t="n"/>
      <c r="G866" s="74" t="n"/>
      <c r="H866" s="74" t="n"/>
      <c r="I866" s="74" t="n"/>
      <c r="J866" s="77" t="n"/>
      <c r="K866" s="77" t="n"/>
      <c r="L866" s="74" t="n"/>
      <c r="M866" s="74" t="n"/>
      <c r="O866" s="78">
        <f>IF($A866="","",YEAR($A866)*100+MONTH($A866))</f>
        <v/>
      </c>
      <c r="P866" s="79">
        <f>IF(OR($F866="",$D866=""),"",IF($D866="Receita",$F866,IF($D866="Transferência",0,-$F866)))</f>
        <v/>
      </c>
    </row>
    <row r="867">
      <c r="A867" s="73" t="n"/>
      <c r="B867" s="74" t="n"/>
      <c r="C867" s="74" t="n"/>
      <c r="D867" s="75">
        <f>IF($C867="","",IFERROR(INDEX(CAT_TIPO,MATCH($C867,CAT_NOME,0)),"Sem categoria"))</f>
        <v/>
      </c>
      <c r="E867" s="75">
        <f>IF($C867="","",IFERROR(INDEX(CAT_GRUPO,MATCH($C867,CAT_NOME,0)),"Sem categoria"))</f>
        <v/>
      </c>
      <c r="F867" s="76" t="n"/>
      <c r="G867" s="74" t="n"/>
      <c r="H867" s="74" t="n"/>
      <c r="I867" s="74" t="n"/>
      <c r="J867" s="77" t="n"/>
      <c r="K867" s="77" t="n"/>
      <c r="L867" s="74" t="n"/>
      <c r="M867" s="74" t="n"/>
      <c r="O867" s="78">
        <f>IF($A867="","",YEAR($A867)*100+MONTH($A867))</f>
        <v/>
      </c>
      <c r="P867" s="79">
        <f>IF(OR($F867="",$D867=""),"",IF($D867="Receita",$F867,IF($D867="Transferência",0,-$F867)))</f>
        <v/>
      </c>
    </row>
    <row r="868">
      <c r="A868" s="73" t="n"/>
      <c r="B868" s="74" t="n"/>
      <c r="C868" s="74" t="n"/>
      <c r="D868" s="75">
        <f>IF($C868="","",IFERROR(INDEX(CAT_TIPO,MATCH($C868,CAT_NOME,0)),"Sem categoria"))</f>
        <v/>
      </c>
      <c r="E868" s="75">
        <f>IF($C868="","",IFERROR(INDEX(CAT_GRUPO,MATCH($C868,CAT_NOME,0)),"Sem categoria"))</f>
        <v/>
      </c>
      <c r="F868" s="76" t="n"/>
      <c r="G868" s="74" t="n"/>
      <c r="H868" s="74" t="n"/>
      <c r="I868" s="74" t="n"/>
      <c r="J868" s="77" t="n"/>
      <c r="K868" s="77" t="n"/>
      <c r="L868" s="74" t="n"/>
      <c r="M868" s="74" t="n"/>
      <c r="O868" s="78">
        <f>IF($A868="","",YEAR($A868)*100+MONTH($A868))</f>
        <v/>
      </c>
      <c r="P868" s="79">
        <f>IF(OR($F868="",$D868=""),"",IF($D868="Receita",$F868,IF($D868="Transferência",0,-$F868)))</f>
        <v/>
      </c>
    </row>
    <row r="869">
      <c r="A869" s="73" t="n"/>
      <c r="B869" s="74" t="n"/>
      <c r="C869" s="74" t="n"/>
      <c r="D869" s="75">
        <f>IF($C869="","",IFERROR(INDEX(CAT_TIPO,MATCH($C869,CAT_NOME,0)),"Sem categoria"))</f>
        <v/>
      </c>
      <c r="E869" s="75">
        <f>IF($C869="","",IFERROR(INDEX(CAT_GRUPO,MATCH($C869,CAT_NOME,0)),"Sem categoria"))</f>
        <v/>
      </c>
      <c r="F869" s="76" t="n"/>
      <c r="G869" s="74" t="n"/>
      <c r="H869" s="74" t="n"/>
      <c r="I869" s="74" t="n"/>
      <c r="J869" s="77" t="n"/>
      <c r="K869" s="77" t="n"/>
      <c r="L869" s="74" t="n"/>
      <c r="M869" s="74" t="n"/>
      <c r="O869" s="78">
        <f>IF($A869="","",YEAR($A869)*100+MONTH($A869))</f>
        <v/>
      </c>
      <c r="P869" s="79">
        <f>IF(OR($F869="",$D869=""),"",IF($D869="Receita",$F869,IF($D869="Transferência",0,-$F869)))</f>
        <v/>
      </c>
    </row>
    <row r="870">
      <c r="A870" s="73" t="n"/>
      <c r="B870" s="74" t="n"/>
      <c r="C870" s="74" t="n"/>
      <c r="D870" s="75">
        <f>IF($C870="","",IFERROR(INDEX(CAT_TIPO,MATCH($C870,CAT_NOME,0)),"Sem categoria"))</f>
        <v/>
      </c>
      <c r="E870" s="75">
        <f>IF($C870="","",IFERROR(INDEX(CAT_GRUPO,MATCH($C870,CAT_NOME,0)),"Sem categoria"))</f>
        <v/>
      </c>
      <c r="F870" s="76" t="n"/>
      <c r="G870" s="74" t="n"/>
      <c r="H870" s="74" t="n"/>
      <c r="I870" s="74" t="n"/>
      <c r="J870" s="77" t="n"/>
      <c r="K870" s="77" t="n"/>
      <c r="L870" s="74" t="n"/>
      <c r="M870" s="74" t="n"/>
      <c r="O870" s="78">
        <f>IF($A870="","",YEAR($A870)*100+MONTH($A870))</f>
        <v/>
      </c>
      <c r="P870" s="79">
        <f>IF(OR($F870="",$D870=""),"",IF($D870="Receita",$F870,IF($D870="Transferência",0,-$F870)))</f>
        <v/>
      </c>
    </row>
    <row r="871">
      <c r="A871" s="73" t="n"/>
      <c r="B871" s="74" t="n"/>
      <c r="C871" s="74" t="n"/>
      <c r="D871" s="75">
        <f>IF($C871="","",IFERROR(INDEX(CAT_TIPO,MATCH($C871,CAT_NOME,0)),"Sem categoria"))</f>
        <v/>
      </c>
      <c r="E871" s="75">
        <f>IF($C871="","",IFERROR(INDEX(CAT_GRUPO,MATCH($C871,CAT_NOME,0)),"Sem categoria"))</f>
        <v/>
      </c>
      <c r="F871" s="76" t="n"/>
      <c r="G871" s="74" t="n"/>
      <c r="H871" s="74" t="n"/>
      <c r="I871" s="74" t="n"/>
      <c r="J871" s="77" t="n"/>
      <c r="K871" s="77" t="n"/>
      <c r="L871" s="74" t="n"/>
      <c r="M871" s="74" t="n"/>
      <c r="O871" s="78">
        <f>IF($A871="","",YEAR($A871)*100+MONTH($A871))</f>
        <v/>
      </c>
      <c r="P871" s="79">
        <f>IF(OR($F871="",$D871=""),"",IF($D871="Receita",$F871,IF($D871="Transferência",0,-$F871)))</f>
        <v/>
      </c>
    </row>
    <row r="872">
      <c r="A872" s="73" t="n"/>
      <c r="B872" s="74" t="n"/>
      <c r="C872" s="74" t="n"/>
      <c r="D872" s="75">
        <f>IF($C872="","",IFERROR(INDEX(CAT_TIPO,MATCH($C872,CAT_NOME,0)),"Sem categoria"))</f>
        <v/>
      </c>
      <c r="E872" s="75">
        <f>IF($C872="","",IFERROR(INDEX(CAT_GRUPO,MATCH($C872,CAT_NOME,0)),"Sem categoria"))</f>
        <v/>
      </c>
      <c r="F872" s="76" t="n"/>
      <c r="G872" s="74" t="n"/>
      <c r="H872" s="74" t="n"/>
      <c r="I872" s="74" t="n"/>
      <c r="J872" s="77" t="n"/>
      <c r="K872" s="77" t="n"/>
      <c r="L872" s="74" t="n"/>
      <c r="M872" s="74" t="n"/>
      <c r="O872" s="78">
        <f>IF($A872="","",YEAR($A872)*100+MONTH($A872))</f>
        <v/>
      </c>
      <c r="P872" s="79">
        <f>IF(OR($F872="",$D872=""),"",IF($D872="Receita",$F872,IF($D872="Transferência",0,-$F872)))</f>
        <v/>
      </c>
    </row>
    <row r="873">
      <c r="A873" s="73" t="n"/>
      <c r="B873" s="74" t="n"/>
      <c r="C873" s="74" t="n"/>
      <c r="D873" s="75">
        <f>IF($C873="","",IFERROR(INDEX(CAT_TIPO,MATCH($C873,CAT_NOME,0)),"Sem categoria"))</f>
        <v/>
      </c>
      <c r="E873" s="75">
        <f>IF($C873="","",IFERROR(INDEX(CAT_GRUPO,MATCH($C873,CAT_NOME,0)),"Sem categoria"))</f>
        <v/>
      </c>
      <c r="F873" s="76" t="n"/>
      <c r="G873" s="74" t="n"/>
      <c r="H873" s="74" t="n"/>
      <c r="I873" s="74" t="n"/>
      <c r="J873" s="77" t="n"/>
      <c r="K873" s="77" t="n"/>
      <c r="L873" s="74" t="n"/>
      <c r="M873" s="74" t="n"/>
      <c r="O873" s="78">
        <f>IF($A873="","",YEAR($A873)*100+MONTH($A873))</f>
        <v/>
      </c>
      <c r="P873" s="79">
        <f>IF(OR($F873="",$D873=""),"",IF($D873="Receita",$F873,IF($D873="Transferência",0,-$F873)))</f>
        <v/>
      </c>
    </row>
    <row r="874">
      <c r="A874" s="73" t="n"/>
      <c r="B874" s="74" t="n"/>
      <c r="C874" s="74" t="n"/>
      <c r="D874" s="75">
        <f>IF($C874="","",IFERROR(INDEX(CAT_TIPO,MATCH($C874,CAT_NOME,0)),"Sem categoria"))</f>
        <v/>
      </c>
      <c r="E874" s="75">
        <f>IF($C874="","",IFERROR(INDEX(CAT_GRUPO,MATCH($C874,CAT_NOME,0)),"Sem categoria"))</f>
        <v/>
      </c>
      <c r="F874" s="76" t="n"/>
      <c r="G874" s="74" t="n"/>
      <c r="H874" s="74" t="n"/>
      <c r="I874" s="74" t="n"/>
      <c r="J874" s="77" t="n"/>
      <c r="K874" s="77" t="n"/>
      <c r="L874" s="74" t="n"/>
      <c r="M874" s="74" t="n"/>
      <c r="O874" s="78">
        <f>IF($A874="","",YEAR($A874)*100+MONTH($A874))</f>
        <v/>
      </c>
      <c r="P874" s="79">
        <f>IF(OR($F874="",$D874=""),"",IF($D874="Receita",$F874,IF($D874="Transferência",0,-$F874)))</f>
        <v/>
      </c>
    </row>
    <row r="875">
      <c r="A875" s="73" t="n"/>
      <c r="B875" s="74" t="n"/>
      <c r="C875" s="74" t="n"/>
      <c r="D875" s="75">
        <f>IF($C875="","",IFERROR(INDEX(CAT_TIPO,MATCH($C875,CAT_NOME,0)),"Sem categoria"))</f>
        <v/>
      </c>
      <c r="E875" s="75">
        <f>IF($C875="","",IFERROR(INDEX(CAT_GRUPO,MATCH($C875,CAT_NOME,0)),"Sem categoria"))</f>
        <v/>
      </c>
      <c r="F875" s="76" t="n"/>
      <c r="G875" s="74" t="n"/>
      <c r="H875" s="74" t="n"/>
      <c r="I875" s="74" t="n"/>
      <c r="J875" s="77" t="n"/>
      <c r="K875" s="77" t="n"/>
      <c r="L875" s="74" t="n"/>
      <c r="M875" s="74" t="n"/>
      <c r="O875" s="78">
        <f>IF($A875="","",YEAR($A875)*100+MONTH($A875))</f>
        <v/>
      </c>
      <c r="P875" s="79">
        <f>IF(OR($F875="",$D875=""),"",IF($D875="Receita",$F875,IF($D875="Transferência",0,-$F875)))</f>
        <v/>
      </c>
    </row>
    <row r="876">
      <c r="A876" s="73" t="n"/>
      <c r="B876" s="74" t="n"/>
      <c r="C876" s="74" t="n"/>
      <c r="D876" s="75">
        <f>IF($C876="","",IFERROR(INDEX(CAT_TIPO,MATCH($C876,CAT_NOME,0)),"Sem categoria"))</f>
        <v/>
      </c>
      <c r="E876" s="75">
        <f>IF($C876="","",IFERROR(INDEX(CAT_GRUPO,MATCH($C876,CAT_NOME,0)),"Sem categoria"))</f>
        <v/>
      </c>
      <c r="F876" s="76" t="n"/>
      <c r="G876" s="74" t="n"/>
      <c r="H876" s="74" t="n"/>
      <c r="I876" s="74" t="n"/>
      <c r="J876" s="77" t="n"/>
      <c r="K876" s="77" t="n"/>
      <c r="L876" s="74" t="n"/>
      <c r="M876" s="74" t="n"/>
      <c r="O876" s="78">
        <f>IF($A876="","",YEAR($A876)*100+MONTH($A876))</f>
        <v/>
      </c>
      <c r="P876" s="79">
        <f>IF(OR($F876="",$D876=""),"",IF($D876="Receita",$F876,IF($D876="Transferência",0,-$F876)))</f>
        <v/>
      </c>
    </row>
    <row r="877">
      <c r="A877" s="73" t="n"/>
      <c r="B877" s="74" t="n"/>
      <c r="C877" s="74" t="n"/>
      <c r="D877" s="75">
        <f>IF($C877="","",IFERROR(INDEX(CAT_TIPO,MATCH($C877,CAT_NOME,0)),"Sem categoria"))</f>
        <v/>
      </c>
      <c r="E877" s="75">
        <f>IF($C877="","",IFERROR(INDEX(CAT_GRUPO,MATCH($C877,CAT_NOME,0)),"Sem categoria"))</f>
        <v/>
      </c>
      <c r="F877" s="76" t="n"/>
      <c r="G877" s="74" t="n"/>
      <c r="H877" s="74" t="n"/>
      <c r="I877" s="74" t="n"/>
      <c r="J877" s="77" t="n"/>
      <c r="K877" s="77" t="n"/>
      <c r="L877" s="74" t="n"/>
      <c r="M877" s="74" t="n"/>
      <c r="O877" s="78">
        <f>IF($A877="","",YEAR($A877)*100+MONTH($A877))</f>
        <v/>
      </c>
      <c r="P877" s="79">
        <f>IF(OR($F877="",$D877=""),"",IF($D877="Receita",$F877,IF($D877="Transferência",0,-$F877)))</f>
        <v/>
      </c>
    </row>
    <row r="878">
      <c r="A878" s="73" t="n"/>
      <c r="B878" s="74" t="n"/>
      <c r="C878" s="74" t="n"/>
      <c r="D878" s="75">
        <f>IF($C878="","",IFERROR(INDEX(CAT_TIPO,MATCH($C878,CAT_NOME,0)),"Sem categoria"))</f>
        <v/>
      </c>
      <c r="E878" s="75">
        <f>IF($C878="","",IFERROR(INDEX(CAT_GRUPO,MATCH($C878,CAT_NOME,0)),"Sem categoria"))</f>
        <v/>
      </c>
      <c r="F878" s="76" t="n"/>
      <c r="G878" s="74" t="n"/>
      <c r="H878" s="74" t="n"/>
      <c r="I878" s="74" t="n"/>
      <c r="J878" s="77" t="n"/>
      <c r="K878" s="77" t="n"/>
      <c r="L878" s="74" t="n"/>
      <c r="M878" s="74" t="n"/>
      <c r="O878" s="78">
        <f>IF($A878="","",YEAR($A878)*100+MONTH($A878))</f>
        <v/>
      </c>
      <c r="P878" s="79">
        <f>IF(OR($F878="",$D878=""),"",IF($D878="Receita",$F878,IF($D878="Transferência",0,-$F878)))</f>
        <v/>
      </c>
    </row>
    <row r="879">
      <c r="A879" s="73" t="n"/>
      <c r="B879" s="74" t="n"/>
      <c r="C879" s="74" t="n"/>
      <c r="D879" s="75">
        <f>IF($C879="","",IFERROR(INDEX(CAT_TIPO,MATCH($C879,CAT_NOME,0)),"Sem categoria"))</f>
        <v/>
      </c>
      <c r="E879" s="75">
        <f>IF($C879="","",IFERROR(INDEX(CAT_GRUPO,MATCH($C879,CAT_NOME,0)),"Sem categoria"))</f>
        <v/>
      </c>
      <c r="F879" s="76" t="n"/>
      <c r="G879" s="74" t="n"/>
      <c r="H879" s="74" t="n"/>
      <c r="I879" s="74" t="n"/>
      <c r="J879" s="77" t="n"/>
      <c r="K879" s="77" t="n"/>
      <c r="L879" s="74" t="n"/>
      <c r="M879" s="74" t="n"/>
      <c r="O879" s="78">
        <f>IF($A879="","",YEAR($A879)*100+MONTH($A879))</f>
        <v/>
      </c>
      <c r="P879" s="79">
        <f>IF(OR($F879="",$D879=""),"",IF($D879="Receita",$F879,IF($D879="Transferência",0,-$F879)))</f>
        <v/>
      </c>
    </row>
    <row r="880">
      <c r="A880" s="73" t="n"/>
      <c r="B880" s="74" t="n"/>
      <c r="C880" s="74" t="n"/>
      <c r="D880" s="75">
        <f>IF($C880="","",IFERROR(INDEX(CAT_TIPO,MATCH($C880,CAT_NOME,0)),"Sem categoria"))</f>
        <v/>
      </c>
      <c r="E880" s="75">
        <f>IF($C880="","",IFERROR(INDEX(CAT_GRUPO,MATCH($C880,CAT_NOME,0)),"Sem categoria"))</f>
        <v/>
      </c>
      <c r="F880" s="76" t="n"/>
      <c r="G880" s="74" t="n"/>
      <c r="H880" s="74" t="n"/>
      <c r="I880" s="74" t="n"/>
      <c r="J880" s="77" t="n"/>
      <c r="K880" s="77" t="n"/>
      <c r="L880" s="74" t="n"/>
      <c r="M880" s="74" t="n"/>
      <c r="O880" s="78">
        <f>IF($A880="","",YEAR($A880)*100+MONTH($A880))</f>
        <v/>
      </c>
      <c r="P880" s="79">
        <f>IF(OR($F880="",$D880=""),"",IF($D880="Receita",$F880,IF($D880="Transferência",0,-$F880)))</f>
        <v/>
      </c>
    </row>
    <row r="881">
      <c r="A881" s="73" t="n"/>
      <c r="B881" s="74" t="n"/>
      <c r="C881" s="74" t="n"/>
      <c r="D881" s="75">
        <f>IF($C881="","",IFERROR(INDEX(CAT_TIPO,MATCH($C881,CAT_NOME,0)),"Sem categoria"))</f>
        <v/>
      </c>
      <c r="E881" s="75">
        <f>IF($C881="","",IFERROR(INDEX(CAT_GRUPO,MATCH($C881,CAT_NOME,0)),"Sem categoria"))</f>
        <v/>
      </c>
      <c r="F881" s="76" t="n"/>
      <c r="G881" s="74" t="n"/>
      <c r="H881" s="74" t="n"/>
      <c r="I881" s="74" t="n"/>
      <c r="J881" s="77" t="n"/>
      <c r="K881" s="77" t="n"/>
      <c r="L881" s="74" t="n"/>
      <c r="M881" s="74" t="n"/>
      <c r="O881" s="78">
        <f>IF($A881="","",YEAR($A881)*100+MONTH($A881))</f>
        <v/>
      </c>
      <c r="P881" s="79">
        <f>IF(OR($F881="",$D881=""),"",IF($D881="Receita",$F881,IF($D881="Transferência",0,-$F881)))</f>
        <v/>
      </c>
    </row>
    <row r="882">
      <c r="A882" s="73" t="n"/>
      <c r="B882" s="74" t="n"/>
      <c r="C882" s="74" t="n"/>
      <c r="D882" s="75">
        <f>IF($C882="","",IFERROR(INDEX(CAT_TIPO,MATCH($C882,CAT_NOME,0)),"Sem categoria"))</f>
        <v/>
      </c>
      <c r="E882" s="75">
        <f>IF($C882="","",IFERROR(INDEX(CAT_GRUPO,MATCH($C882,CAT_NOME,0)),"Sem categoria"))</f>
        <v/>
      </c>
      <c r="F882" s="76" t="n"/>
      <c r="G882" s="74" t="n"/>
      <c r="H882" s="74" t="n"/>
      <c r="I882" s="74" t="n"/>
      <c r="J882" s="77" t="n"/>
      <c r="K882" s="77" t="n"/>
      <c r="L882" s="74" t="n"/>
      <c r="M882" s="74" t="n"/>
      <c r="O882" s="78">
        <f>IF($A882="","",YEAR($A882)*100+MONTH($A882))</f>
        <v/>
      </c>
      <c r="P882" s="79">
        <f>IF(OR($F882="",$D882=""),"",IF($D882="Receita",$F882,IF($D882="Transferência",0,-$F882)))</f>
        <v/>
      </c>
    </row>
    <row r="883">
      <c r="A883" s="73" t="n"/>
      <c r="B883" s="74" t="n"/>
      <c r="C883" s="74" t="n"/>
      <c r="D883" s="75">
        <f>IF($C883="","",IFERROR(INDEX(CAT_TIPO,MATCH($C883,CAT_NOME,0)),"Sem categoria"))</f>
        <v/>
      </c>
      <c r="E883" s="75">
        <f>IF($C883="","",IFERROR(INDEX(CAT_GRUPO,MATCH($C883,CAT_NOME,0)),"Sem categoria"))</f>
        <v/>
      </c>
      <c r="F883" s="76" t="n"/>
      <c r="G883" s="74" t="n"/>
      <c r="H883" s="74" t="n"/>
      <c r="I883" s="74" t="n"/>
      <c r="J883" s="77" t="n"/>
      <c r="K883" s="77" t="n"/>
      <c r="L883" s="74" t="n"/>
      <c r="M883" s="74" t="n"/>
      <c r="O883" s="78">
        <f>IF($A883="","",YEAR($A883)*100+MONTH($A883))</f>
        <v/>
      </c>
      <c r="P883" s="79">
        <f>IF(OR($F883="",$D883=""),"",IF($D883="Receita",$F883,IF($D883="Transferência",0,-$F883)))</f>
        <v/>
      </c>
    </row>
    <row r="884">
      <c r="A884" s="73" t="n"/>
      <c r="B884" s="74" t="n"/>
      <c r="C884" s="74" t="n"/>
      <c r="D884" s="75">
        <f>IF($C884="","",IFERROR(INDEX(CAT_TIPO,MATCH($C884,CAT_NOME,0)),"Sem categoria"))</f>
        <v/>
      </c>
      <c r="E884" s="75">
        <f>IF($C884="","",IFERROR(INDEX(CAT_GRUPO,MATCH($C884,CAT_NOME,0)),"Sem categoria"))</f>
        <v/>
      </c>
      <c r="F884" s="76" t="n"/>
      <c r="G884" s="74" t="n"/>
      <c r="H884" s="74" t="n"/>
      <c r="I884" s="74" t="n"/>
      <c r="J884" s="77" t="n"/>
      <c r="K884" s="77" t="n"/>
      <c r="L884" s="74" t="n"/>
      <c r="M884" s="74" t="n"/>
      <c r="O884" s="78">
        <f>IF($A884="","",YEAR($A884)*100+MONTH($A884))</f>
        <v/>
      </c>
      <c r="P884" s="79">
        <f>IF(OR($F884="",$D884=""),"",IF($D884="Receita",$F884,IF($D884="Transferência",0,-$F884)))</f>
        <v/>
      </c>
    </row>
    <row r="885">
      <c r="A885" s="73" t="n"/>
      <c r="B885" s="74" t="n"/>
      <c r="C885" s="74" t="n"/>
      <c r="D885" s="75">
        <f>IF($C885="","",IFERROR(INDEX(CAT_TIPO,MATCH($C885,CAT_NOME,0)),"Sem categoria"))</f>
        <v/>
      </c>
      <c r="E885" s="75">
        <f>IF($C885="","",IFERROR(INDEX(CAT_GRUPO,MATCH($C885,CAT_NOME,0)),"Sem categoria"))</f>
        <v/>
      </c>
      <c r="F885" s="76" t="n"/>
      <c r="G885" s="74" t="n"/>
      <c r="H885" s="74" t="n"/>
      <c r="I885" s="74" t="n"/>
      <c r="J885" s="77" t="n"/>
      <c r="K885" s="77" t="n"/>
      <c r="L885" s="74" t="n"/>
      <c r="M885" s="74" t="n"/>
      <c r="O885" s="78">
        <f>IF($A885="","",YEAR($A885)*100+MONTH($A885))</f>
        <v/>
      </c>
      <c r="P885" s="79">
        <f>IF(OR($F885="",$D885=""),"",IF($D885="Receita",$F885,IF($D885="Transferência",0,-$F885)))</f>
        <v/>
      </c>
    </row>
    <row r="886">
      <c r="A886" s="73" t="n"/>
      <c r="B886" s="74" t="n"/>
      <c r="C886" s="74" t="n"/>
      <c r="D886" s="75">
        <f>IF($C886="","",IFERROR(INDEX(CAT_TIPO,MATCH($C886,CAT_NOME,0)),"Sem categoria"))</f>
        <v/>
      </c>
      <c r="E886" s="75">
        <f>IF($C886="","",IFERROR(INDEX(CAT_GRUPO,MATCH($C886,CAT_NOME,0)),"Sem categoria"))</f>
        <v/>
      </c>
      <c r="F886" s="76" t="n"/>
      <c r="G886" s="74" t="n"/>
      <c r="H886" s="74" t="n"/>
      <c r="I886" s="74" t="n"/>
      <c r="J886" s="77" t="n"/>
      <c r="K886" s="77" t="n"/>
      <c r="L886" s="74" t="n"/>
      <c r="M886" s="74" t="n"/>
      <c r="O886" s="78">
        <f>IF($A886="","",YEAR($A886)*100+MONTH($A886))</f>
        <v/>
      </c>
      <c r="P886" s="79">
        <f>IF(OR($F886="",$D886=""),"",IF($D886="Receita",$F886,IF($D886="Transferência",0,-$F886)))</f>
        <v/>
      </c>
    </row>
    <row r="887">
      <c r="A887" s="73" t="n"/>
      <c r="B887" s="74" t="n"/>
      <c r="C887" s="74" t="n"/>
      <c r="D887" s="75">
        <f>IF($C887="","",IFERROR(INDEX(CAT_TIPO,MATCH($C887,CAT_NOME,0)),"Sem categoria"))</f>
        <v/>
      </c>
      <c r="E887" s="75">
        <f>IF($C887="","",IFERROR(INDEX(CAT_GRUPO,MATCH($C887,CAT_NOME,0)),"Sem categoria"))</f>
        <v/>
      </c>
      <c r="F887" s="76" t="n"/>
      <c r="G887" s="74" t="n"/>
      <c r="H887" s="74" t="n"/>
      <c r="I887" s="74" t="n"/>
      <c r="J887" s="77" t="n"/>
      <c r="K887" s="77" t="n"/>
      <c r="L887" s="74" t="n"/>
      <c r="M887" s="74" t="n"/>
      <c r="O887" s="78">
        <f>IF($A887="","",YEAR($A887)*100+MONTH($A887))</f>
        <v/>
      </c>
      <c r="P887" s="79">
        <f>IF(OR($F887="",$D887=""),"",IF($D887="Receita",$F887,IF($D887="Transferência",0,-$F887)))</f>
        <v/>
      </c>
    </row>
    <row r="888">
      <c r="A888" s="73" t="n"/>
      <c r="B888" s="74" t="n"/>
      <c r="C888" s="74" t="n"/>
      <c r="D888" s="75">
        <f>IF($C888="","",IFERROR(INDEX(CAT_TIPO,MATCH($C888,CAT_NOME,0)),"Sem categoria"))</f>
        <v/>
      </c>
      <c r="E888" s="75">
        <f>IF($C888="","",IFERROR(INDEX(CAT_GRUPO,MATCH($C888,CAT_NOME,0)),"Sem categoria"))</f>
        <v/>
      </c>
      <c r="F888" s="76" t="n"/>
      <c r="G888" s="74" t="n"/>
      <c r="H888" s="74" t="n"/>
      <c r="I888" s="74" t="n"/>
      <c r="J888" s="77" t="n"/>
      <c r="K888" s="77" t="n"/>
      <c r="L888" s="74" t="n"/>
      <c r="M888" s="74" t="n"/>
      <c r="O888" s="78">
        <f>IF($A888="","",YEAR($A888)*100+MONTH($A888))</f>
        <v/>
      </c>
      <c r="P888" s="79">
        <f>IF(OR($F888="",$D888=""),"",IF($D888="Receita",$F888,IF($D888="Transferência",0,-$F888)))</f>
        <v/>
      </c>
    </row>
    <row r="889">
      <c r="A889" s="73" t="n"/>
      <c r="B889" s="74" t="n"/>
      <c r="C889" s="74" t="n"/>
      <c r="D889" s="75">
        <f>IF($C889="","",IFERROR(INDEX(CAT_TIPO,MATCH($C889,CAT_NOME,0)),"Sem categoria"))</f>
        <v/>
      </c>
      <c r="E889" s="75">
        <f>IF($C889="","",IFERROR(INDEX(CAT_GRUPO,MATCH($C889,CAT_NOME,0)),"Sem categoria"))</f>
        <v/>
      </c>
      <c r="F889" s="76" t="n"/>
      <c r="G889" s="74" t="n"/>
      <c r="H889" s="74" t="n"/>
      <c r="I889" s="74" t="n"/>
      <c r="J889" s="77" t="n"/>
      <c r="K889" s="77" t="n"/>
      <c r="L889" s="74" t="n"/>
      <c r="M889" s="74" t="n"/>
      <c r="O889" s="78">
        <f>IF($A889="","",YEAR($A889)*100+MONTH($A889))</f>
        <v/>
      </c>
      <c r="P889" s="79">
        <f>IF(OR($F889="",$D889=""),"",IF($D889="Receita",$F889,IF($D889="Transferência",0,-$F889)))</f>
        <v/>
      </c>
    </row>
    <row r="890">
      <c r="A890" s="73" t="n"/>
      <c r="B890" s="74" t="n"/>
      <c r="C890" s="74" t="n"/>
      <c r="D890" s="75">
        <f>IF($C890="","",IFERROR(INDEX(CAT_TIPO,MATCH($C890,CAT_NOME,0)),"Sem categoria"))</f>
        <v/>
      </c>
      <c r="E890" s="75">
        <f>IF($C890="","",IFERROR(INDEX(CAT_GRUPO,MATCH($C890,CAT_NOME,0)),"Sem categoria"))</f>
        <v/>
      </c>
      <c r="F890" s="76" t="n"/>
      <c r="G890" s="74" t="n"/>
      <c r="H890" s="74" t="n"/>
      <c r="I890" s="74" t="n"/>
      <c r="J890" s="77" t="n"/>
      <c r="K890" s="77" t="n"/>
      <c r="L890" s="74" t="n"/>
      <c r="M890" s="74" t="n"/>
      <c r="O890" s="78">
        <f>IF($A890="","",YEAR($A890)*100+MONTH($A890))</f>
        <v/>
      </c>
      <c r="P890" s="79">
        <f>IF(OR($F890="",$D890=""),"",IF($D890="Receita",$F890,IF($D890="Transferência",0,-$F890)))</f>
        <v/>
      </c>
    </row>
    <row r="891">
      <c r="A891" s="73" t="n"/>
      <c r="B891" s="74" t="n"/>
      <c r="C891" s="74" t="n"/>
      <c r="D891" s="75">
        <f>IF($C891="","",IFERROR(INDEX(CAT_TIPO,MATCH($C891,CAT_NOME,0)),"Sem categoria"))</f>
        <v/>
      </c>
      <c r="E891" s="75">
        <f>IF($C891="","",IFERROR(INDEX(CAT_GRUPO,MATCH($C891,CAT_NOME,0)),"Sem categoria"))</f>
        <v/>
      </c>
      <c r="F891" s="76" t="n"/>
      <c r="G891" s="74" t="n"/>
      <c r="H891" s="74" t="n"/>
      <c r="I891" s="74" t="n"/>
      <c r="J891" s="77" t="n"/>
      <c r="K891" s="77" t="n"/>
      <c r="L891" s="74" t="n"/>
      <c r="M891" s="74" t="n"/>
      <c r="O891" s="78">
        <f>IF($A891="","",YEAR($A891)*100+MONTH($A891))</f>
        <v/>
      </c>
      <c r="P891" s="79">
        <f>IF(OR($F891="",$D891=""),"",IF($D891="Receita",$F891,IF($D891="Transferência",0,-$F891)))</f>
        <v/>
      </c>
    </row>
    <row r="892">
      <c r="A892" s="73" t="n"/>
      <c r="B892" s="74" t="n"/>
      <c r="C892" s="74" t="n"/>
      <c r="D892" s="75">
        <f>IF($C892="","",IFERROR(INDEX(CAT_TIPO,MATCH($C892,CAT_NOME,0)),"Sem categoria"))</f>
        <v/>
      </c>
      <c r="E892" s="75">
        <f>IF($C892="","",IFERROR(INDEX(CAT_GRUPO,MATCH($C892,CAT_NOME,0)),"Sem categoria"))</f>
        <v/>
      </c>
      <c r="F892" s="76" t="n"/>
      <c r="G892" s="74" t="n"/>
      <c r="H892" s="74" t="n"/>
      <c r="I892" s="74" t="n"/>
      <c r="J892" s="77" t="n"/>
      <c r="K892" s="77" t="n"/>
      <c r="L892" s="74" t="n"/>
      <c r="M892" s="74" t="n"/>
      <c r="O892" s="78">
        <f>IF($A892="","",YEAR($A892)*100+MONTH($A892))</f>
        <v/>
      </c>
      <c r="P892" s="79">
        <f>IF(OR($F892="",$D892=""),"",IF($D892="Receita",$F892,IF($D892="Transferência",0,-$F892)))</f>
        <v/>
      </c>
    </row>
    <row r="893">
      <c r="A893" s="73" t="n"/>
      <c r="B893" s="74" t="n"/>
      <c r="C893" s="74" t="n"/>
      <c r="D893" s="75">
        <f>IF($C893="","",IFERROR(INDEX(CAT_TIPO,MATCH($C893,CAT_NOME,0)),"Sem categoria"))</f>
        <v/>
      </c>
      <c r="E893" s="75">
        <f>IF($C893="","",IFERROR(INDEX(CAT_GRUPO,MATCH($C893,CAT_NOME,0)),"Sem categoria"))</f>
        <v/>
      </c>
      <c r="F893" s="76" t="n"/>
      <c r="G893" s="74" t="n"/>
      <c r="H893" s="74" t="n"/>
      <c r="I893" s="74" t="n"/>
      <c r="J893" s="77" t="n"/>
      <c r="K893" s="77" t="n"/>
      <c r="L893" s="74" t="n"/>
      <c r="M893" s="74" t="n"/>
      <c r="O893" s="78">
        <f>IF($A893="","",YEAR($A893)*100+MONTH($A893))</f>
        <v/>
      </c>
      <c r="P893" s="79">
        <f>IF(OR($F893="",$D893=""),"",IF($D893="Receita",$F893,IF($D893="Transferência",0,-$F893)))</f>
        <v/>
      </c>
    </row>
    <row r="894">
      <c r="A894" s="73" t="n"/>
      <c r="B894" s="74" t="n"/>
      <c r="C894" s="74" t="n"/>
      <c r="D894" s="75">
        <f>IF($C894="","",IFERROR(INDEX(CAT_TIPO,MATCH($C894,CAT_NOME,0)),"Sem categoria"))</f>
        <v/>
      </c>
      <c r="E894" s="75">
        <f>IF($C894="","",IFERROR(INDEX(CAT_GRUPO,MATCH($C894,CAT_NOME,0)),"Sem categoria"))</f>
        <v/>
      </c>
      <c r="F894" s="76" t="n"/>
      <c r="G894" s="74" t="n"/>
      <c r="H894" s="74" t="n"/>
      <c r="I894" s="74" t="n"/>
      <c r="J894" s="77" t="n"/>
      <c r="K894" s="77" t="n"/>
      <c r="L894" s="74" t="n"/>
      <c r="M894" s="74" t="n"/>
      <c r="O894" s="78">
        <f>IF($A894="","",YEAR($A894)*100+MONTH($A894))</f>
        <v/>
      </c>
      <c r="P894" s="79">
        <f>IF(OR($F894="",$D894=""),"",IF($D894="Receita",$F894,IF($D894="Transferência",0,-$F894)))</f>
        <v/>
      </c>
    </row>
    <row r="895">
      <c r="A895" s="73" t="n"/>
      <c r="B895" s="74" t="n"/>
      <c r="C895" s="74" t="n"/>
      <c r="D895" s="75">
        <f>IF($C895="","",IFERROR(INDEX(CAT_TIPO,MATCH($C895,CAT_NOME,0)),"Sem categoria"))</f>
        <v/>
      </c>
      <c r="E895" s="75">
        <f>IF($C895="","",IFERROR(INDEX(CAT_GRUPO,MATCH($C895,CAT_NOME,0)),"Sem categoria"))</f>
        <v/>
      </c>
      <c r="F895" s="76" t="n"/>
      <c r="G895" s="74" t="n"/>
      <c r="H895" s="74" t="n"/>
      <c r="I895" s="74" t="n"/>
      <c r="J895" s="77" t="n"/>
      <c r="K895" s="77" t="n"/>
      <c r="L895" s="74" t="n"/>
      <c r="M895" s="74" t="n"/>
      <c r="O895" s="78">
        <f>IF($A895="","",YEAR($A895)*100+MONTH($A895))</f>
        <v/>
      </c>
      <c r="P895" s="79">
        <f>IF(OR($F895="",$D895=""),"",IF($D895="Receita",$F895,IF($D895="Transferência",0,-$F895)))</f>
        <v/>
      </c>
    </row>
    <row r="896">
      <c r="A896" s="73" t="n"/>
      <c r="B896" s="74" t="n"/>
      <c r="C896" s="74" t="n"/>
      <c r="D896" s="75">
        <f>IF($C896="","",IFERROR(INDEX(CAT_TIPO,MATCH($C896,CAT_NOME,0)),"Sem categoria"))</f>
        <v/>
      </c>
      <c r="E896" s="75">
        <f>IF($C896="","",IFERROR(INDEX(CAT_GRUPO,MATCH($C896,CAT_NOME,0)),"Sem categoria"))</f>
        <v/>
      </c>
      <c r="F896" s="76" t="n"/>
      <c r="G896" s="74" t="n"/>
      <c r="H896" s="74" t="n"/>
      <c r="I896" s="74" t="n"/>
      <c r="J896" s="77" t="n"/>
      <c r="K896" s="77" t="n"/>
      <c r="L896" s="74" t="n"/>
      <c r="M896" s="74" t="n"/>
      <c r="O896" s="78">
        <f>IF($A896="","",YEAR($A896)*100+MONTH($A896))</f>
        <v/>
      </c>
      <c r="P896" s="79">
        <f>IF(OR($F896="",$D896=""),"",IF($D896="Receita",$F896,IF($D896="Transferência",0,-$F896)))</f>
        <v/>
      </c>
    </row>
    <row r="897">
      <c r="A897" s="73" t="n"/>
      <c r="B897" s="74" t="n"/>
      <c r="C897" s="74" t="n"/>
      <c r="D897" s="75">
        <f>IF($C897="","",IFERROR(INDEX(CAT_TIPO,MATCH($C897,CAT_NOME,0)),"Sem categoria"))</f>
        <v/>
      </c>
      <c r="E897" s="75">
        <f>IF($C897="","",IFERROR(INDEX(CAT_GRUPO,MATCH($C897,CAT_NOME,0)),"Sem categoria"))</f>
        <v/>
      </c>
      <c r="F897" s="76" t="n"/>
      <c r="G897" s="74" t="n"/>
      <c r="H897" s="74" t="n"/>
      <c r="I897" s="74" t="n"/>
      <c r="J897" s="77" t="n"/>
      <c r="K897" s="77" t="n"/>
      <c r="L897" s="74" t="n"/>
      <c r="M897" s="74" t="n"/>
      <c r="O897" s="78">
        <f>IF($A897="","",YEAR($A897)*100+MONTH($A897))</f>
        <v/>
      </c>
      <c r="P897" s="79">
        <f>IF(OR($F897="",$D897=""),"",IF($D897="Receita",$F897,IF($D897="Transferência",0,-$F897)))</f>
        <v/>
      </c>
    </row>
    <row r="898">
      <c r="A898" s="73" t="n"/>
      <c r="B898" s="74" t="n"/>
      <c r="C898" s="74" t="n"/>
      <c r="D898" s="75">
        <f>IF($C898="","",IFERROR(INDEX(CAT_TIPO,MATCH($C898,CAT_NOME,0)),"Sem categoria"))</f>
        <v/>
      </c>
      <c r="E898" s="75">
        <f>IF($C898="","",IFERROR(INDEX(CAT_GRUPO,MATCH($C898,CAT_NOME,0)),"Sem categoria"))</f>
        <v/>
      </c>
      <c r="F898" s="76" t="n"/>
      <c r="G898" s="74" t="n"/>
      <c r="H898" s="74" t="n"/>
      <c r="I898" s="74" t="n"/>
      <c r="J898" s="77" t="n"/>
      <c r="K898" s="77" t="n"/>
      <c r="L898" s="74" t="n"/>
      <c r="M898" s="74" t="n"/>
      <c r="O898" s="78">
        <f>IF($A898="","",YEAR($A898)*100+MONTH($A898))</f>
        <v/>
      </c>
      <c r="P898" s="79">
        <f>IF(OR($F898="",$D898=""),"",IF($D898="Receita",$F898,IF($D898="Transferência",0,-$F898)))</f>
        <v/>
      </c>
    </row>
    <row r="899">
      <c r="A899" s="73" t="n"/>
      <c r="B899" s="74" t="n"/>
      <c r="C899" s="74" t="n"/>
      <c r="D899" s="75">
        <f>IF($C899="","",IFERROR(INDEX(CAT_TIPO,MATCH($C899,CAT_NOME,0)),"Sem categoria"))</f>
        <v/>
      </c>
      <c r="E899" s="75">
        <f>IF($C899="","",IFERROR(INDEX(CAT_GRUPO,MATCH($C899,CAT_NOME,0)),"Sem categoria"))</f>
        <v/>
      </c>
      <c r="F899" s="76" t="n"/>
      <c r="G899" s="74" t="n"/>
      <c r="H899" s="74" t="n"/>
      <c r="I899" s="74" t="n"/>
      <c r="J899" s="77" t="n"/>
      <c r="K899" s="77" t="n"/>
      <c r="L899" s="74" t="n"/>
      <c r="M899" s="74" t="n"/>
      <c r="O899" s="78">
        <f>IF($A899="","",YEAR($A899)*100+MONTH($A899))</f>
        <v/>
      </c>
      <c r="P899" s="79">
        <f>IF(OR($F899="",$D899=""),"",IF($D899="Receita",$F899,IF($D899="Transferência",0,-$F899)))</f>
        <v/>
      </c>
    </row>
    <row r="900">
      <c r="A900" s="73" t="n"/>
      <c r="B900" s="74" t="n"/>
      <c r="C900" s="74" t="n"/>
      <c r="D900" s="75">
        <f>IF($C900="","",IFERROR(INDEX(CAT_TIPO,MATCH($C900,CAT_NOME,0)),"Sem categoria"))</f>
        <v/>
      </c>
      <c r="E900" s="75">
        <f>IF($C900="","",IFERROR(INDEX(CAT_GRUPO,MATCH($C900,CAT_NOME,0)),"Sem categoria"))</f>
        <v/>
      </c>
      <c r="F900" s="76" t="n"/>
      <c r="G900" s="74" t="n"/>
      <c r="H900" s="74" t="n"/>
      <c r="I900" s="74" t="n"/>
      <c r="J900" s="77" t="n"/>
      <c r="K900" s="77" t="n"/>
      <c r="L900" s="74" t="n"/>
      <c r="M900" s="74" t="n"/>
      <c r="O900" s="78">
        <f>IF($A900="","",YEAR($A900)*100+MONTH($A900))</f>
        <v/>
      </c>
      <c r="P900" s="79">
        <f>IF(OR($F900="",$D900=""),"",IF($D900="Receita",$F900,IF($D900="Transferência",0,-$F900)))</f>
        <v/>
      </c>
    </row>
    <row r="901">
      <c r="A901" s="73" t="n"/>
      <c r="B901" s="74" t="n"/>
      <c r="C901" s="74" t="n"/>
      <c r="D901" s="75">
        <f>IF($C901="","",IFERROR(INDEX(CAT_TIPO,MATCH($C901,CAT_NOME,0)),"Sem categoria"))</f>
        <v/>
      </c>
      <c r="E901" s="75">
        <f>IF($C901="","",IFERROR(INDEX(CAT_GRUPO,MATCH($C901,CAT_NOME,0)),"Sem categoria"))</f>
        <v/>
      </c>
      <c r="F901" s="76" t="n"/>
      <c r="G901" s="74" t="n"/>
      <c r="H901" s="74" t="n"/>
      <c r="I901" s="74" t="n"/>
      <c r="J901" s="77" t="n"/>
      <c r="K901" s="77" t="n"/>
      <c r="L901" s="74" t="n"/>
      <c r="M901" s="74" t="n"/>
      <c r="O901" s="78">
        <f>IF($A901="","",YEAR($A901)*100+MONTH($A901))</f>
        <v/>
      </c>
      <c r="P901" s="79">
        <f>IF(OR($F901="",$D901=""),"",IF($D901="Receita",$F901,IF($D901="Transferência",0,-$F901)))</f>
        <v/>
      </c>
    </row>
    <row r="902">
      <c r="A902" s="73" t="n"/>
      <c r="B902" s="74" t="n"/>
      <c r="C902" s="74" t="n"/>
      <c r="D902" s="75">
        <f>IF($C902="","",IFERROR(INDEX(CAT_TIPO,MATCH($C902,CAT_NOME,0)),"Sem categoria"))</f>
        <v/>
      </c>
      <c r="E902" s="75">
        <f>IF($C902="","",IFERROR(INDEX(CAT_GRUPO,MATCH($C902,CAT_NOME,0)),"Sem categoria"))</f>
        <v/>
      </c>
      <c r="F902" s="76" t="n"/>
      <c r="G902" s="74" t="n"/>
      <c r="H902" s="74" t="n"/>
      <c r="I902" s="74" t="n"/>
      <c r="J902" s="77" t="n"/>
      <c r="K902" s="77" t="n"/>
      <c r="L902" s="74" t="n"/>
      <c r="M902" s="74" t="n"/>
      <c r="O902" s="78">
        <f>IF($A902="","",YEAR($A902)*100+MONTH($A902))</f>
        <v/>
      </c>
      <c r="P902" s="79">
        <f>IF(OR($F902="",$D902=""),"",IF($D902="Receita",$F902,IF($D902="Transferência",0,-$F902)))</f>
        <v/>
      </c>
    </row>
    <row r="903">
      <c r="A903" s="73" t="n"/>
      <c r="B903" s="74" t="n"/>
      <c r="C903" s="74" t="n"/>
      <c r="D903" s="75">
        <f>IF($C903="","",IFERROR(INDEX(CAT_TIPO,MATCH($C903,CAT_NOME,0)),"Sem categoria"))</f>
        <v/>
      </c>
      <c r="E903" s="75">
        <f>IF($C903="","",IFERROR(INDEX(CAT_GRUPO,MATCH($C903,CAT_NOME,0)),"Sem categoria"))</f>
        <v/>
      </c>
      <c r="F903" s="76" t="n"/>
      <c r="G903" s="74" t="n"/>
      <c r="H903" s="74" t="n"/>
      <c r="I903" s="74" t="n"/>
      <c r="J903" s="77" t="n"/>
      <c r="K903" s="77" t="n"/>
      <c r="L903" s="74" t="n"/>
      <c r="M903" s="74" t="n"/>
      <c r="O903" s="78">
        <f>IF($A903="","",YEAR($A903)*100+MONTH($A903))</f>
        <v/>
      </c>
      <c r="P903" s="79">
        <f>IF(OR($F903="",$D903=""),"",IF($D903="Receita",$F903,IF($D903="Transferência",0,-$F903)))</f>
        <v/>
      </c>
    </row>
    <row r="904">
      <c r="A904" s="73" t="n"/>
      <c r="B904" s="74" t="n"/>
      <c r="C904" s="74" t="n"/>
      <c r="D904" s="75">
        <f>IF($C904="","",IFERROR(INDEX(CAT_TIPO,MATCH($C904,CAT_NOME,0)),"Sem categoria"))</f>
        <v/>
      </c>
      <c r="E904" s="75">
        <f>IF($C904="","",IFERROR(INDEX(CAT_GRUPO,MATCH($C904,CAT_NOME,0)),"Sem categoria"))</f>
        <v/>
      </c>
      <c r="F904" s="76" t="n"/>
      <c r="G904" s="74" t="n"/>
      <c r="H904" s="74" t="n"/>
      <c r="I904" s="74" t="n"/>
      <c r="J904" s="77" t="n"/>
      <c r="K904" s="77" t="n"/>
      <c r="L904" s="74" t="n"/>
      <c r="M904" s="74" t="n"/>
      <c r="O904" s="78">
        <f>IF($A904="","",YEAR($A904)*100+MONTH($A904))</f>
        <v/>
      </c>
      <c r="P904" s="79">
        <f>IF(OR($F904="",$D904=""),"",IF($D904="Receita",$F904,IF($D904="Transferência",0,-$F904)))</f>
        <v/>
      </c>
    </row>
    <row r="905">
      <c r="A905" s="73" t="n"/>
      <c r="B905" s="74" t="n"/>
      <c r="C905" s="74" t="n"/>
      <c r="D905" s="75">
        <f>IF($C905="","",IFERROR(INDEX(CAT_TIPO,MATCH($C905,CAT_NOME,0)),"Sem categoria"))</f>
        <v/>
      </c>
      <c r="E905" s="75">
        <f>IF($C905="","",IFERROR(INDEX(CAT_GRUPO,MATCH($C905,CAT_NOME,0)),"Sem categoria"))</f>
        <v/>
      </c>
      <c r="F905" s="76" t="n"/>
      <c r="G905" s="74" t="n"/>
      <c r="H905" s="74" t="n"/>
      <c r="I905" s="74" t="n"/>
      <c r="J905" s="77" t="n"/>
      <c r="K905" s="77" t="n"/>
      <c r="L905" s="74" t="n"/>
      <c r="M905" s="74" t="n"/>
      <c r="O905" s="78">
        <f>IF($A905="","",YEAR($A905)*100+MONTH($A905))</f>
        <v/>
      </c>
      <c r="P905" s="79">
        <f>IF(OR($F905="",$D905=""),"",IF($D905="Receita",$F905,IF($D905="Transferência",0,-$F905)))</f>
        <v/>
      </c>
    </row>
    <row r="906">
      <c r="A906" s="73" t="n"/>
      <c r="B906" s="74" t="n"/>
      <c r="C906" s="74" t="n"/>
      <c r="D906" s="75">
        <f>IF($C906="","",IFERROR(INDEX(CAT_TIPO,MATCH($C906,CAT_NOME,0)),"Sem categoria"))</f>
        <v/>
      </c>
      <c r="E906" s="75">
        <f>IF($C906="","",IFERROR(INDEX(CAT_GRUPO,MATCH($C906,CAT_NOME,0)),"Sem categoria"))</f>
        <v/>
      </c>
      <c r="F906" s="76" t="n"/>
      <c r="G906" s="74" t="n"/>
      <c r="H906" s="74" t="n"/>
      <c r="I906" s="74" t="n"/>
      <c r="J906" s="77" t="n"/>
      <c r="K906" s="77" t="n"/>
      <c r="L906" s="74" t="n"/>
      <c r="M906" s="74" t="n"/>
      <c r="O906" s="78">
        <f>IF($A906="","",YEAR($A906)*100+MONTH($A906))</f>
        <v/>
      </c>
      <c r="P906" s="79">
        <f>IF(OR($F906="",$D906=""),"",IF($D906="Receita",$F906,IF($D906="Transferência",0,-$F906)))</f>
        <v/>
      </c>
    </row>
    <row r="907">
      <c r="A907" s="73" t="n"/>
      <c r="B907" s="74" t="n"/>
      <c r="C907" s="74" t="n"/>
      <c r="D907" s="75">
        <f>IF($C907="","",IFERROR(INDEX(CAT_TIPO,MATCH($C907,CAT_NOME,0)),"Sem categoria"))</f>
        <v/>
      </c>
      <c r="E907" s="75">
        <f>IF($C907="","",IFERROR(INDEX(CAT_GRUPO,MATCH($C907,CAT_NOME,0)),"Sem categoria"))</f>
        <v/>
      </c>
      <c r="F907" s="76" t="n"/>
      <c r="G907" s="74" t="n"/>
      <c r="H907" s="74" t="n"/>
      <c r="I907" s="74" t="n"/>
      <c r="J907" s="77" t="n"/>
      <c r="K907" s="77" t="n"/>
      <c r="L907" s="74" t="n"/>
      <c r="M907" s="74" t="n"/>
      <c r="O907" s="78">
        <f>IF($A907="","",YEAR($A907)*100+MONTH($A907))</f>
        <v/>
      </c>
      <c r="P907" s="79">
        <f>IF(OR($F907="",$D907=""),"",IF($D907="Receita",$F907,IF($D907="Transferência",0,-$F907)))</f>
        <v/>
      </c>
    </row>
    <row r="908">
      <c r="A908" s="73" t="n"/>
      <c r="B908" s="74" t="n"/>
      <c r="C908" s="74" t="n"/>
      <c r="D908" s="75">
        <f>IF($C908="","",IFERROR(INDEX(CAT_TIPO,MATCH($C908,CAT_NOME,0)),"Sem categoria"))</f>
        <v/>
      </c>
      <c r="E908" s="75">
        <f>IF($C908="","",IFERROR(INDEX(CAT_GRUPO,MATCH($C908,CAT_NOME,0)),"Sem categoria"))</f>
        <v/>
      </c>
      <c r="F908" s="76" t="n"/>
      <c r="G908" s="74" t="n"/>
      <c r="H908" s="74" t="n"/>
      <c r="I908" s="74" t="n"/>
      <c r="J908" s="77" t="n"/>
      <c r="K908" s="77" t="n"/>
      <c r="L908" s="74" t="n"/>
      <c r="M908" s="74" t="n"/>
      <c r="O908" s="78">
        <f>IF($A908="","",YEAR($A908)*100+MONTH($A908))</f>
        <v/>
      </c>
      <c r="P908" s="79">
        <f>IF(OR($F908="",$D908=""),"",IF($D908="Receita",$F908,IF($D908="Transferência",0,-$F908)))</f>
        <v/>
      </c>
    </row>
    <row r="909">
      <c r="A909" s="73" t="n"/>
      <c r="B909" s="74" t="n"/>
      <c r="C909" s="74" t="n"/>
      <c r="D909" s="75">
        <f>IF($C909="","",IFERROR(INDEX(CAT_TIPO,MATCH($C909,CAT_NOME,0)),"Sem categoria"))</f>
        <v/>
      </c>
      <c r="E909" s="75">
        <f>IF($C909="","",IFERROR(INDEX(CAT_GRUPO,MATCH($C909,CAT_NOME,0)),"Sem categoria"))</f>
        <v/>
      </c>
      <c r="F909" s="76" t="n"/>
      <c r="G909" s="74" t="n"/>
      <c r="H909" s="74" t="n"/>
      <c r="I909" s="74" t="n"/>
      <c r="J909" s="77" t="n"/>
      <c r="K909" s="77" t="n"/>
      <c r="L909" s="74" t="n"/>
      <c r="M909" s="74" t="n"/>
      <c r="O909" s="78">
        <f>IF($A909="","",YEAR($A909)*100+MONTH($A909))</f>
        <v/>
      </c>
      <c r="P909" s="79">
        <f>IF(OR($F909="",$D909=""),"",IF($D909="Receita",$F909,IF($D909="Transferência",0,-$F909)))</f>
        <v/>
      </c>
    </row>
    <row r="910">
      <c r="A910" s="73" t="n"/>
      <c r="B910" s="74" t="n"/>
      <c r="C910" s="74" t="n"/>
      <c r="D910" s="75">
        <f>IF($C910="","",IFERROR(INDEX(CAT_TIPO,MATCH($C910,CAT_NOME,0)),"Sem categoria"))</f>
        <v/>
      </c>
      <c r="E910" s="75">
        <f>IF($C910="","",IFERROR(INDEX(CAT_GRUPO,MATCH($C910,CAT_NOME,0)),"Sem categoria"))</f>
        <v/>
      </c>
      <c r="F910" s="76" t="n"/>
      <c r="G910" s="74" t="n"/>
      <c r="H910" s="74" t="n"/>
      <c r="I910" s="74" t="n"/>
      <c r="J910" s="77" t="n"/>
      <c r="K910" s="77" t="n"/>
      <c r="L910" s="74" t="n"/>
      <c r="M910" s="74" t="n"/>
      <c r="O910" s="78">
        <f>IF($A910="","",YEAR($A910)*100+MONTH($A910))</f>
        <v/>
      </c>
      <c r="P910" s="79">
        <f>IF(OR($F910="",$D910=""),"",IF($D910="Receita",$F910,IF($D910="Transferência",0,-$F910)))</f>
        <v/>
      </c>
    </row>
    <row r="911">
      <c r="A911" s="73" t="n"/>
      <c r="B911" s="74" t="n"/>
      <c r="C911" s="74" t="n"/>
      <c r="D911" s="75">
        <f>IF($C911="","",IFERROR(INDEX(CAT_TIPO,MATCH($C911,CAT_NOME,0)),"Sem categoria"))</f>
        <v/>
      </c>
      <c r="E911" s="75">
        <f>IF($C911="","",IFERROR(INDEX(CAT_GRUPO,MATCH($C911,CAT_NOME,0)),"Sem categoria"))</f>
        <v/>
      </c>
      <c r="F911" s="76" t="n"/>
      <c r="G911" s="74" t="n"/>
      <c r="H911" s="74" t="n"/>
      <c r="I911" s="74" t="n"/>
      <c r="J911" s="77" t="n"/>
      <c r="K911" s="77" t="n"/>
      <c r="L911" s="74" t="n"/>
      <c r="M911" s="74" t="n"/>
      <c r="O911" s="78">
        <f>IF($A911="","",YEAR($A911)*100+MONTH($A911))</f>
        <v/>
      </c>
      <c r="P911" s="79">
        <f>IF(OR($F911="",$D911=""),"",IF($D911="Receita",$F911,IF($D911="Transferência",0,-$F911)))</f>
        <v/>
      </c>
    </row>
    <row r="912">
      <c r="A912" s="73" t="n"/>
      <c r="B912" s="74" t="n"/>
      <c r="C912" s="74" t="n"/>
      <c r="D912" s="75">
        <f>IF($C912="","",IFERROR(INDEX(CAT_TIPO,MATCH($C912,CAT_NOME,0)),"Sem categoria"))</f>
        <v/>
      </c>
      <c r="E912" s="75">
        <f>IF($C912="","",IFERROR(INDEX(CAT_GRUPO,MATCH($C912,CAT_NOME,0)),"Sem categoria"))</f>
        <v/>
      </c>
      <c r="F912" s="76" t="n"/>
      <c r="G912" s="74" t="n"/>
      <c r="H912" s="74" t="n"/>
      <c r="I912" s="74" t="n"/>
      <c r="J912" s="77" t="n"/>
      <c r="K912" s="77" t="n"/>
      <c r="L912" s="74" t="n"/>
      <c r="M912" s="74" t="n"/>
      <c r="O912" s="78">
        <f>IF($A912="","",YEAR($A912)*100+MONTH($A912))</f>
        <v/>
      </c>
      <c r="P912" s="79">
        <f>IF(OR($F912="",$D912=""),"",IF($D912="Receita",$F912,IF($D912="Transferência",0,-$F912)))</f>
        <v/>
      </c>
    </row>
    <row r="913">
      <c r="A913" s="73" t="n"/>
      <c r="B913" s="74" t="n"/>
      <c r="C913" s="74" t="n"/>
      <c r="D913" s="75">
        <f>IF($C913="","",IFERROR(INDEX(CAT_TIPO,MATCH($C913,CAT_NOME,0)),"Sem categoria"))</f>
        <v/>
      </c>
      <c r="E913" s="75">
        <f>IF($C913="","",IFERROR(INDEX(CAT_GRUPO,MATCH($C913,CAT_NOME,0)),"Sem categoria"))</f>
        <v/>
      </c>
      <c r="F913" s="76" t="n"/>
      <c r="G913" s="74" t="n"/>
      <c r="H913" s="74" t="n"/>
      <c r="I913" s="74" t="n"/>
      <c r="J913" s="77" t="n"/>
      <c r="K913" s="77" t="n"/>
      <c r="L913" s="74" t="n"/>
      <c r="M913" s="74" t="n"/>
      <c r="O913" s="78">
        <f>IF($A913="","",YEAR($A913)*100+MONTH($A913))</f>
        <v/>
      </c>
      <c r="P913" s="79">
        <f>IF(OR($F913="",$D913=""),"",IF($D913="Receita",$F913,IF($D913="Transferência",0,-$F913)))</f>
        <v/>
      </c>
    </row>
    <row r="914">
      <c r="A914" s="73" t="n"/>
      <c r="B914" s="74" t="n"/>
      <c r="C914" s="74" t="n"/>
      <c r="D914" s="75">
        <f>IF($C914="","",IFERROR(INDEX(CAT_TIPO,MATCH($C914,CAT_NOME,0)),"Sem categoria"))</f>
        <v/>
      </c>
      <c r="E914" s="75">
        <f>IF($C914="","",IFERROR(INDEX(CAT_GRUPO,MATCH($C914,CAT_NOME,0)),"Sem categoria"))</f>
        <v/>
      </c>
      <c r="F914" s="76" t="n"/>
      <c r="G914" s="74" t="n"/>
      <c r="H914" s="74" t="n"/>
      <c r="I914" s="74" t="n"/>
      <c r="J914" s="77" t="n"/>
      <c r="K914" s="77" t="n"/>
      <c r="L914" s="74" t="n"/>
      <c r="M914" s="74" t="n"/>
      <c r="O914" s="78">
        <f>IF($A914="","",YEAR($A914)*100+MONTH($A914))</f>
        <v/>
      </c>
      <c r="P914" s="79">
        <f>IF(OR($F914="",$D914=""),"",IF($D914="Receita",$F914,IF($D914="Transferência",0,-$F914)))</f>
        <v/>
      </c>
    </row>
    <row r="915">
      <c r="A915" s="73" t="n"/>
      <c r="B915" s="74" t="n"/>
      <c r="C915" s="74" t="n"/>
      <c r="D915" s="75">
        <f>IF($C915="","",IFERROR(INDEX(CAT_TIPO,MATCH($C915,CAT_NOME,0)),"Sem categoria"))</f>
        <v/>
      </c>
      <c r="E915" s="75">
        <f>IF($C915="","",IFERROR(INDEX(CAT_GRUPO,MATCH($C915,CAT_NOME,0)),"Sem categoria"))</f>
        <v/>
      </c>
      <c r="F915" s="76" t="n"/>
      <c r="G915" s="74" t="n"/>
      <c r="H915" s="74" t="n"/>
      <c r="I915" s="74" t="n"/>
      <c r="J915" s="77" t="n"/>
      <c r="K915" s="77" t="n"/>
      <c r="L915" s="74" t="n"/>
      <c r="M915" s="74" t="n"/>
      <c r="O915" s="78">
        <f>IF($A915="","",YEAR($A915)*100+MONTH($A915))</f>
        <v/>
      </c>
      <c r="P915" s="79">
        <f>IF(OR($F915="",$D915=""),"",IF($D915="Receita",$F915,IF($D915="Transferência",0,-$F915)))</f>
        <v/>
      </c>
    </row>
    <row r="916">
      <c r="A916" s="73" t="n"/>
      <c r="B916" s="74" t="n"/>
      <c r="C916" s="74" t="n"/>
      <c r="D916" s="75">
        <f>IF($C916="","",IFERROR(INDEX(CAT_TIPO,MATCH($C916,CAT_NOME,0)),"Sem categoria"))</f>
        <v/>
      </c>
      <c r="E916" s="75">
        <f>IF($C916="","",IFERROR(INDEX(CAT_GRUPO,MATCH($C916,CAT_NOME,0)),"Sem categoria"))</f>
        <v/>
      </c>
      <c r="F916" s="76" t="n"/>
      <c r="G916" s="74" t="n"/>
      <c r="H916" s="74" t="n"/>
      <c r="I916" s="74" t="n"/>
      <c r="J916" s="77" t="n"/>
      <c r="K916" s="77" t="n"/>
      <c r="L916" s="74" t="n"/>
      <c r="M916" s="74" t="n"/>
      <c r="O916" s="78">
        <f>IF($A916="","",YEAR($A916)*100+MONTH($A916))</f>
        <v/>
      </c>
      <c r="P916" s="79">
        <f>IF(OR($F916="",$D916=""),"",IF($D916="Receita",$F916,IF($D916="Transferência",0,-$F916)))</f>
        <v/>
      </c>
    </row>
    <row r="917">
      <c r="A917" s="73" t="n"/>
      <c r="B917" s="74" t="n"/>
      <c r="C917" s="74" t="n"/>
      <c r="D917" s="75">
        <f>IF($C917="","",IFERROR(INDEX(CAT_TIPO,MATCH($C917,CAT_NOME,0)),"Sem categoria"))</f>
        <v/>
      </c>
      <c r="E917" s="75">
        <f>IF($C917="","",IFERROR(INDEX(CAT_GRUPO,MATCH($C917,CAT_NOME,0)),"Sem categoria"))</f>
        <v/>
      </c>
      <c r="F917" s="76" t="n"/>
      <c r="G917" s="74" t="n"/>
      <c r="H917" s="74" t="n"/>
      <c r="I917" s="74" t="n"/>
      <c r="J917" s="77" t="n"/>
      <c r="K917" s="77" t="n"/>
      <c r="L917" s="74" t="n"/>
      <c r="M917" s="74" t="n"/>
      <c r="O917" s="78">
        <f>IF($A917="","",YEAR($A917)*100+MONTH($A917))</f>
        <v/>
      </c>
      <c r="P917" s="79">
        <f>IF(OR($F917="",$D917=""),"",IF($D917="Receita",$F917,IF($D917="Transferência",0,-$F917)))</f>
        <v/>
      </c>
    </row>
    <row r="918">
      <c r="A918" s="73" t="n"/>
      <c r="B918" s="74" t="n"/>
      <c r="C918" s="74" t="n"/>
      <c r="D918" s="75">
        <f>IF($C918="","",IFERROR(INDEX(CAT_TIPO,MATCH($C918,CAT_NOME,0)),"Sem categoria"))</f>
        <v/>
      </c>
      <c r="E918" s="75">
        <f>IF($C918="","",IFERROR(INDEX(CAT_GRUPO,MATCH($C918,CAT_NOME,0)),"Sem categoria"))</f>
        <v/>
      </c>
      <c r="F918" s="76" t="n"/>
      <c r="G918" s="74" t="n"/>
      <c r="H918" s="74" t="n"/>
      <c r="I918" s="74" t="n"/>
      <c r="J918" s="77" t="n"/>
      <c r="K918" s="77" t="n"/>
      <c r="L918" s="74" t="n"/>
      <c r="M918" s="74" t="n"/>
      <c r="O918" s="78">
        <f>IF($A918="","",YEAR($A918)*100+MONTH($A918))</f>
        <v/>
      </c>
      <c r="P918" s="79">
        <f>IF(OR($F918="",$D918=""),"",IF($D918="Receita",$F918,IF($D918="Transferência",0,-$F918)))</f>
        <v/>
      </c>
    </row>
    <row r="919">
      <c r="A919" s="73" t="n"/>
      <c r="B919" s="74" t="n"/>
      <c r="C919" s="74" t="n"/>
      <c r="D919" s="75">
        <f>IF($C919="","",IFERROR(INDEX(CAT_TIPO,MATCH($C919,CAT_NOME,0)),"Sem categoria"))</f>
        <v/>
      </c>
      <c r="E919" s="75">
        <f>IF($C919="","",IFERROR(INDEX(CAT_GRUPO,MATCH($C919,CAT_NOME,0)),"Sem categoria"))</f>
        <v/>
      </c>
      <c r="F919" s="76" t="n"/>
      <c r="G919" s="74" t="n"/>
      <c r="H919" s="74" t="n"/>
      <c r="I919" s="74" t="n"/>
      <c r="J919" s="77" t="n"/>
      <c r="K919" s="77" t="n"/>
      <c r="L919" s="74" t="n"/>
      <c r="M919" s="74" t="n"/>
      <c r="O919" s="78">
        <f>IF($A919="","",YEAR($A919)*100+MONTH($A919))</f>
        <v/>
      </c>
      <c r="P919" s="79">
        <f>IF(OR($F919="",$D919=""),"",IF($D919="Receita",$F919,IF($D919="Transferência",0,-$F919)))</f>
        <v/>
      </c>
    </row>
    <row r="920">
      <c r="A920" s="73" t="n"/>
      <c r="B920" s="74" t="n"/>
      <c r="C920" s="74" t="n"/>
      <c r="D920" s="75">
        <f>IF($C920="","",IFERROR(INDEX(CAT_TIPO,MATCH($C920,CAT_NOME,0)),"Sem categoria"))</f>
        <v/>
      </c>
      <c r="E920" s="75">
        <f>IF($C920="","",IFERROR(INDEX(CAT_GRUPO,MATCH($C920,CAT_NOME,0)),"Sem categoria"))</f>
        <v/>
      </c>
      <c r="F920" s="76" t="n"/>
      <c r="G920" s="74" t="n"/>
      <c r="H920" s="74" t="n"/>
      <c r="I920" s="74" t="n"/>
      <c r="J920" s="77" t="n"/>
      <c r="K920" s="77" t="n"/>
      <c r="L920" s="74" t="n"/>
      <c r="M920" s="74" t="n"/>
      <c r="O920" s="78">
        <f>IF($A920="","",YEAR($A920)*100+MONTH($A920))</f>
        <v/>
      </c>
      <c r="P920" s="79">
        <f>IF(OR($F920="",$D920=""),"",IF($D920="Receita",$F920,IF($D920="Transferência",0,-$F920)))</f>
        <v/>
      </c>
    </row>
    <row r="921">
      <c r="A921" s="73" t="n"/>
      <c r="B921" s="74" t="n"/>
      <c r="C921" s="74" t="n"/>
      <c r="D921" s="75">
        <f>IF($C921="","",IFERROR(INDEX(CAT_TIPO,MATCH($C921,CAT_NOME,0)),"Sem categoria"))</f>
        <v/>
      </c>
      <c r="E921" s="75">
        <f>IF($C921="","",IFERROR(INDEX(CAT_GRUPO,MATCH($C921,CAT_NOME,0)),"Sem categoria"))</f>
        <v/>
      </c>
      <c r="F921" s="76" t="n"/>
      <c r="G921" s="74" t="n"/>
      <c r="H921" s="74" t="n"/>
      <c r="I921" s="74" t="n"/>
      <c r="J921" s="77" t="n"/>
      <c r="K921" s="77" t="n"/>
      <c r="L921" s="74" t="n"/>
      <c r="M921" s="74" t="n"/>
      <c r="O921" s="78">
        <f>IF($A921="","",YEAR($A921)*100+MONTH($A921))</f>
        <v/>
      </c>
      <c r="P921" s="79">
        <f>IF(OR($F921="",$D921=""),"",IF($D921="Receita",$F921,IF($D921="Transferência",0,-$F921)))</f>
        <v/>
      </c>
    </row>
    <row r="922">
      <c r="A922" s="73" t="n"/>
      <c r="B922" s="74" t="n"/>
      <c r="C922" s="74" t="n"/>
      <c r="D922" s="75">
        <f>IF($C922="","",IFERROR(INDEX(CAT_TIPO,MATCH($C922,CAT_NOME,0)),"Sem categoria"))</f>
        <v/>
      </c>
      <c r="E922" s="75">
        <f>IF($C922="","",IFERROR(INDEX(CAT_GRUPO,MATCH($C922,CAT_NOME,0)),"Sem categoria"))</f>
        <v/>
      </c>
      <c r="F922" s="76" t="n"/>
      <c r="G922" s="74" t="n"/>
      <c r="H922" s="74" t="n"/>
      <c r="I922" s="74" t="n"/>
      <c r="J922" s="77" t="n"/>
      <c r="K922" s="77" t="n"/>
      <c r="L922" s="74" t="n"/>
      <c r="M922" s="74" t="n"/>
      <c r="O922" s="78">
        <f>IF($A922="","",YEAR($A922)*100+MONTH($A922))</f>
        <v/>
      </c>
      <c r="P922" s="79">
        <f>IF(OR($F922="",$D922=""),"",IF($D922="Receita",$F922,IF($D922="Transferência",0,-$F922)))</f>
        <v/>
      </c>
    </row>
    <row r="923">
      <c r="A923" s="73" t="n"/>
      <c r="B923" s="74" t="n"/>
      <c r="C923" s="74" t="n"/>
      <c r="D923" s="75">
        <f>IF($C923="","",IFERROR(INDEX(CAT_TIPO,MATCH($C923,CAT_NOME,0)),"Sem categoria"))</f>
        <v/>
      </c>
      <c r="E923" s="75">
        <f>IF($C923="","",IFERROR(INDEX(CAT_GRUPO,MATCH($C923,CAT_NOME,0)),"Sem categoria"))</f>
        <v/>
      </c>
      <c r="F923" s="76" t="n"/>
      <c r="G923" s="74" t="n"/>
      <c r="H923" s="74" t="n"/>
      <c r="I923" s="74" t="n"/>
      <c r="J923" s="77" t="n"/>
      <c r="K923" s="77" t="n"/>
      <c r="L923" s="74" t="n"/>
      <c r="M923" s="74" t="n"/>
      <c r="O923" s="78">
        <f>IF($A923="","",YEAR($A923)*100+MONTH($A923))</f>
        <v/>
      </c>
      <c r="P923" s="79">
        <f>IF(OR($F923="",$D923=""),"",IF($D923="Receita",$F923,IF($D923="Transferência",0,-$F923)))</f>
        <v/>
      </c>
    </row>
    <row r="924">
      <c r="A924" s="73" t="n"/>
      <c r="B924" s="74" t="n"/>
      <c r="C924" s="74" t="n"/>
      <c r="D924" s="75">
        <f>IF($C924="","",IFERROR(INDEX(CAT_TIPO,MATCH($C924,CAT_NOME,0)),"Sem categoria"))</f>
        <v/>
      </c>
      <c r="E924" s="75">
        <f>IF($C924="","",IFERROR(INDEX(CAT_GRUPO,MATCH($C924,CAT_NOME,0)),"Sem categoria"))</f>
        <v/>
      </c>
      <c r="F924" s="76" t="n"/>
      <c r="G924" s="74" t="n"/>
      <c r="H924" s="74" t="n"/>
      <c r="I924" s="74" t="n"/>
      <c r="J924" s="77" t="n"/>
      <c r="K924" s="77" t="n"/>
      <c r="L924" s="74" t="n"/>
      <c r="M924" s="74" t="n"/>
      <c r="O924" s="78">
        <f>IF($A924="","",YEAR($A924)*100+MONTH($A924))</f>
        <v/>
      </c>
      <c r="P924" s="79">
        <f>IF(OR($F924="",$D924=""),"",IF($D924="Receita",$F924,IF($D924="Transferência",0,-$F924)))</f>
        <v/>
      </c>
    </row>
    <row r="925">
      <c r="A925" s="73" t="n"/>
      <c r="B925" s="74" t="n"/>
      <c r="C925" s="74" t="n"/>
      <c r="D925" s="75">
        <f>IF($C925="","",IFERROR(INDEX(CAT_TIPO,MATCH($C925,CAT_NOME,0)),"Sem categoria"))</f>
        <v/>
      </c>
      <c r="E925" s="75">
        <f>IF($C925="","",IFERROR(INDEX(CAT_GRUPO,MATCH($C925,CAT_NOME,0)),"Sem categoria"))</f>
        <v/>
      </c>
      <c r="F925" s="76" t="n"/>
      <c r="G925" s="74" t="n"/>
      <c r="H925" s="74" t="n"/>
      <c r="I925" s="74" t="n"/>
      <c r="J925" s="77" t="n"/>
      <c r="K925" s="77" t="n"/>
      <c r="L925" s="74" t="n"/>
      <c r="M925" s="74" t="n"/>
      <c r="O925" s="78">
        <f>IF($A925="","",YEAR($A925)*100+MONTH($A925))</f>
        <v/>
      </c>
      <c r="P925" s="79">
        <f>IF(OR($F925="",$D925=""),"",IF($D925="Receita",$F925,IF($D925="Transferência",0,-$F925)))</f>
        <v/>
      </c>
    </row>
    <row r="926">
      <c r="A926" s="73" t="n"/>
      <c r="B926" s="74" t="n"/>
      <c r="C926" s="74" t="n"/>
      <c r="D926" s="75">
        <f>IF($C926="","",IFERROR(INDEX(CAT_TIPO,MATCH($C926,CAT_NOME,0)),"Sem categoria"))</f>
        <v/>
      </c>
      <c r="E926" s="75">
        <f>IF($C926="","",IFERROR(INDEX(CAT_GRUPO,MATCH($C926,CAT_NOME,0)),"Sem categoria"))</f>
        <v/>
      </c>
      <c r="F926" s="76" t="n"/>
      <c r="G926" s="74" t="n"/>
      <c r="H926" s="74" t="n"/>
      <c r="I926" s="74" t="n"/>
      <c r="J926" s="77" t="n"/>
      <c r="K926" s="77" t="n"/>
      <c r="L926" s="74" t="n"/>
      <c r="M926" s="74" t="n"/>
      <c r="O926" s="78">
        <f>IF($A926="","",YEAR($A926)*100+MONTH($A926))</f>
        <v/>
      </c>
      <c r="P926" s="79">
        <f>IF(OR($F926="",$D926=""),"",IF($D926="Receita",$F926,IF($D926="Transferência",0,-$F926)))</f>
        <v/>
      </c>
    </row>
    <row r="927">
      <c r="A927" s="73" t="n"/>
      <c r="B927" s="74" t="n"/>
      <c r="C927" s="74" t="n"/>
      <c r="D927" s="75">
        <f>IF($C927="","",IFERROR(INDEX(CAT_TIPO,MATCH($C927,CAT_NOME,0)),"Sem categoria"))</f>
        <v/>
      </c>
      <c r="E927" s="75">
        <f>IF($C927="","",IFERROR(INDEX(CAT_GRUPO,MATCH($C927,CAT_NOME,0)),"Sem categoria"))</f>
        <v/>
      </c>
      <c r="F927" s="76" t="n"/>
      <c r="G927" s="74" t="n"/>
      <c r="H927" s="74" t="n"/>
      <c r="I927" s="74" t="n"/>
      <c r="J927" s="77" t="n"/>
      <c r="K927" s="77" t="n"/>
      <c r="L927" s="74" t="n"/>
      <c r="M927" s="74" t="n"/>
      <c r="O927" s="78">
        <f>IF($A927="","",YEAR($A927)*100+MONTH($A927))</f>
        <v/>
      </c>
      <c r="P927" s="79">
        <f>IF(OR($F927="",$D927=""),"",IF($D927="Receita",$F927,IF($D927="Transferência",0,-$F927)))</f>
        <v/>
      </c>
    </row>
    <row r="928">
      <c r="A928" s="73" t="n"/>
      <c r="B928" s="74" t="n"/>
      <c r="C928" s="74" t="n"/>
      <c r="D928" s="75">
        <f>IF($C928="","",IFERROR(INDEX(CAT_TIPO,MATCH($C928,CAT_NOME,0)),"Sem categoria"))</f>
        <v/>
      </c>
      <c r="E928" s="75">
        <f>IF($C928="","",IFERROR(INDEX(CAT_GRUPO,MATCH($C928,CAT_NOME,0)),"Sem categoria"))</f>
        <v/>
      </c>
      <c r="F928" s="76" t="n"/>
      <c r="G928" s="74" t="n"/>
      <c r="H928" s="74" t="n"/>
      <c r="I928" s="74" t="n"/>
      <c r="J928" s="77" t="n"/>
      <c r="K928" s="77" t="n"/>
      <c r="L928" s="74" t="n"/>
      <c r="M928" s="74" t="n"/>
      <c r="O928" s="78">
        <f>IF($A928="","",YEAR($A928)*100+MONTH($A928))</f>
        <v/>
      </c>
      <c r="P928" s="79">
        <f>IF(OR($F928="",$D928=""),"",IF($D928="Receita",$F928,IF($D928="Transferência",0,-$F928)))</f>
        <v/>
      </c>
    </row>
    <row r="929">
      <c r="A929" s="73" t="n"/>
      <c r="B929" s="74" t="n"/>
      <c r="C929" s="74" t="n"/>
      <c r="D929" s="75">
        <f>IF($C929="","",IFERROR(INDEX(CAT_TIPO,MATCH($C929,CAT_NOME,0)),"Sem categoria"))</f>
        <v/>
      </c>
      <c r="E929" s="75">
        <f>IF($C929="","",IFERROR(INDEX(CAT_GRUPO,MATCH($C929,CAT_NOME,0)),"Sem categoria"))</f>
        <v/>
      </c>
      <c r="F929" s="76" t="n"/>
      <c r="G929" s="74" t="n"/>
      <c r="H929" s="74" t="n"/>
      <c r="I929" s="74" t="n"/>
      <c r="J929" s="77" t="n"/>
      <c r="K929" s="77" t="n"/>
      <c r="L929" s="74" t="n"/>
      <c r="M929" s="74" t="n"/>
      <c r="O929" s="78">
        <f>IF($A929="","",YEAR($A929)*100+MONTH($A929))</f>
        <v/>
      </c>
      <c r="P929" s="79">
        <f>IF(OR($F929="",$D929=""),"",IF($D929="Receita",$F929,IF($D929="Transferência",0,-$F929)))</f>
        <v/>
      </c>
    </row>
    <row r="930">
      <c r="A930" s="73" t="n"/>
      <c r="B930" s="74" t="n"/>
      <c r="C930" s="74" t="n"/>
      <c r="D930" s="75">
        <f>IF($C930="","",IFERROR(INDEX(CAT_TIPO,MATCH($C930,CAT_NOME,0)),"Sem categoria"))</f>
        <v/>
      </c>
      <c r="E930" s="75">
        <f>IF($C930="","",IFERROR(INDEX(CAT_GRUPO,MATCH($C930,CAT_NOME,0)),"Sem categoria"))</f>
        <v/>
      </c>
      <c r="F930" s="76" t="n"/>
      <c r="G930" s="74" t="n"/>
      <c r="H930" s="74" t="n"/>
      <c r="I930" s="74" t="n"/>
      <c r="J930" s="77" t="n"/>
      <c r="K930" s="77" t="n"/>
      <c r="L930" s="74" t="n"/>
      <c r="M930" s="74" t="n"/>
      <c r="O930" s="78">
        <f>IF($A930="","",YEAR($A930)*100+MONTH($A930))</f>
        <v/>
      </c>
      <c r="P930" s="79">
        <f>IF(OR($F930="",$D930=""),"",IF($D930="Receita",$F930,IF($D930="Transferência",0,-$F930)))</f>
        <v/>
      </c>
    </row>
    <row r="931">
      <c r="A931" s="73" t="n"/>
      <c r="B931" s="74" t="n"/>
      <c r="C931" s="74" t="n"/>
      <c r="D931" s="75">
        <f>IF($C931="","",IFERROR(INDEX(CAT_TIPO,MATCH($C931,CAT_NOME,0)),"Sem categoria"))</f>
        <v/>
      </c>
      <c r="E931" s="75">
        <f>IF($C931="","",IFERROR(INDEX(CAT_GRUPO,MATCH($C931,CAT_NOME,0)),"Sem categoria"))</f>
        <v/>
      </c>
      <c r="F931" s="76" t="n"/>
      <c r="G931" s="74" t="n"/>
      <c r="H931" s="74" t="n"/>
      <c r="I931" s="74" t="n"/>
      <c r="J931" s="77" t="n"/>
      <c r="K931" s="77" t="n"/>
      <c r="L931" s="74" t="n"/>
      <c r="M931" s="74" t="n"/>
      <c r="O931" s="78">
        <f>IF($A931="","",YEAR($A931)*100+MONTH($A931))</f>
        <v/>
      </c>
      <c r="P931" s="79">
        <f>IF(OR($F931="",$D931=""),"",IF($D931="Receita",$F931,IF($D931="Transferência",0,-$F931)))</f>
        <v/>
      </c>
    </row>
    <row r="932">
      <c r="A932" s="73" t="n"/>
      <c r="B932" s="74" t="n"/>
      <c r="C932" s="74" t="n"/>
      <c r="D932" s="75">
        <f>IF($C932="","",IFERROR(INDEX(CAT_TIPO,MATCH($C932,CAT_NOME,0)),"Sem categoria"))</f>
        <v/>
      </c>
      <c r="E932" s="75">
        <f>IF($C932="","",IFERROR(INDEX(CAT_GRUPO,MATCH($C932,CAT_NOME,0)),"Sem categoria"))</f>
        <v/>
      </c>
      <c r="F932" s="76" t="n"/>
      <c r="G932" s="74" t="n"/>
      <c r="H932" s="74" t="n"/>
      <c r="I932" s="74" t="n"/>
      <c r="J932" s="77" t="n"/>
      <c r="K932" s="77" t="n"/>
      <c r="L932" s="74" t="n"/>
      <c r="M932" s="74" t="n"/>
      <c r="O932" s="78">
        <f>IF($A932="","",YEAR($A932)*100+MONTH($A932))</f>
        <v/>
      </c>
      <c r="P932" s="79">
        <f>IF(OR($F932="",$D932=""),"",IF($D932="Receita",$F932,IF($D932="Transferência",0,-$F932)))</f>
        <v/>
      </c>
    </row>
    <row r="933">
      <c r="A933" s="73" t="n"/>
      <c r="B933" s="74" t="n"/>
      <c r="C933" s="74" t="n"/>
      <c r="D933" s="75">
        <f>IF($C933="","",IFERROR(INDEX(CAT_TIPO,MATCH($C933,CAT_NOME,0)),"Sem categoria"))</f>
        <v/>
      </c>
      <c r="E933" s="75">
        <f>IF($C933="","",IFERROR(INDEX(CAT_GRUPO,MATCH($C933,CAT_NOME,0)),"Sem categoria"))</f>
        <v/>
      </c>
      <c r="F933" s="76" t="n"/>
      <c r="G933" s="74" t="n"/>
      <c r="H933" s="74" t="n"/>
      <c r="I933" s="74" t="n"/>
      <c r="J933" s="77" t="n"/>
      <c r="K933" s="77" t="n"/>
      <c r="L933" s="74" t="n"/>
      <c r="M933" s="74" t="n"/>
      <c r="O933" s="78">
        <f>IF($A933="","",YEAR($A933)*100+MONTH($A933))</f>
        <v/>
      </c>
      <c r="P933" s="79">
        <f>IF(OR($F933="",$D933=""),"",IF($D933="Receita",$F933,IF($D933="Transferência",0,-$F933)))</f>
        <v/>
      </c>
    </row>
    <row r="934">
      <c r="A934" s="73" t="n"/>
      <c r="B934" s="74" t="n"/>
      <c r="C934" s="74" t="n"/>
      <c r="D934" s="75">
        <f>IF($C934="","",IFERROR(INDEX(CAT_TIPO,MATCH($C934,CAT_NOME,0)),"Sem categoria"))</f>
        <v/>
      </c>
      <c r="E934" s="75">
        <f>IF($C934="","",IFERROR(INDEX(CAT_GRUPO,MATCH($C934,CAT_NOME,0)),"Sem categoria"))</f>
        <v/>
      </c>
      <c r="F934" s="76" t="n"/>
      <c r="G934" s="74" t="n"/>
      <c r="H934" s="74" t="n"/>
      <c r="I934" s="74" t="n"/>
      <c r="J934" s="77" t="n"/>
      <c r="K934" s="77" t="n"/>
      <c r="L934" s="74" t="n"/>
      <c r="M934" s="74" t="n"/>
      <c r="O934" s="78">
        <f>IF($A934="","",YEAR($A934)*100+MONTH($A934))</f>
        <v/>
      </c>
      <c r="P934" s="79">
        <f>IF(OR($F934="",$D934=""),"",IF($D934="Receita",$F934,IF($D934="Transferência",0,-$F934)))</f>
        <v/>
      </c>
    </row>
    <row r="935">
      <c r="A935" s="73" t="n"/>
      <c r="B935" s="74" t="n"/>
      <c r="C935" s="74" t="n"/>
      <c r="D935" s="75">
        <f>IF($C935="","",IFERROR(INDEX(CAT_TIPO,MATCH($C935,CAT_NOME,0)),"Sem categoria"))</f>
        <v/>
      </c>
      <c r="E935" s="75">
        <f>IF($C935="","",IFERROR(INDEX(CAT_GRUPO,MATCH($C935,CAT_NOME,0)),"Sem categoria"))</f>
        <v/>
      </c>
      <c r="F935" s="76" t="n"/>
      <c r="G935" s="74" t="n"/>
      <c r="H935" s="74" t="n"/>
      <c r="I935" s="74" t="n"/>
      <c r="J935" s="77" t="n"/>
      <c r="K935" s="77" t="n"/>
      <c r="L935" s="74" t="n"/>
      <c r="M935" s="74" t="n"/>
      <c r="O935" s="78">
        <f>IF($A935="","",YEAR($A935)*100+MONTH($A935))</f>
        <v/>
      </c>
      <c r="P935" s="79">
        <f>IF(OR($F935="",$D935=""),"",IF($D935="Receita",$F935,IF($D935="Transferência",0,-$F935)))</f>
        <v/>
      </c>
    </row>
    <row r="936">
      <c r="A936" s="73" t="n"/>
      <c r="B936" s="74" t="n"/>
      <c r="C936" s="74" t="n"/>
      <c r="D936" s="75">
        <f>IF($C936="","",IFERROR(INDEX(CAT_TIPO,MATCH($C936,CAT_NOME,0)),"Sem categoria"))</f>
        <v/>
      </c>
      <c r="E936" s="75">
        <f>IF($C936="","",IFERROR(INDEX(CAT_GRUPO,MATCH($C936,CAT_NOME,0)),"Sem categoria"))</f>
        <v/>
      </c>
      <c r="F936" s="76" t="n"/>
      <c r="G936" s="74" t="n"/>
      <c r="H936" s="74" t="n"/>
      <c r="I936" s="74" t="n"/>
      <c r="J936" s="77" t="n"/>
      <c r="K936" s="77" t="n"/>
      <c r="L936" s="74" t="n"/>
      <c r="M936" s="74" t="n"/>
      <c r="O936" s="78">
        <f>IF($A936="","",YEAR($A936)*100+MONTH($A936))</f>
        <v/>
      </c>
      <c r="P936" s="79">
        <f>IF(OR($F936="",$D936=""),"",IF($D936="Receita",$F936,IF($D936="Transferência",0,-$F936)))</f>
        <v/>
      </c>
    </row>
    <row r="937">
      <c r="A937" s="73" t="n"/>
      <c r="B937" s="74" t="n"/>
      <c r="C937" s="74" t="n"/>
      <c r="D937" s="75">
        <f>IF($C937="","",IFERROR(INDEX(CAT_TIPO,MATCH($C937,CAT_NOME,0)),"Sem categoria"))</f>
        <v/>
      </c>
      <c r="E937" s="75">
        <f>IF($C937="","",IFERROR(INDEX(CAT_GRUPO,MATCH($C937,CAT_NOME,0)),"Sem categoria"))</f>
        <v/>
      </c>
      <c r="F937" s="76" t="n"/>
      <c r="G937" s="74" t="n"/>
      <c r="H937" s="74" t="n"/>
      <c r="I937" s="74" t="n"/>
      <c r="J937" s="77" t="n"/>
      <c r="K937" s="77" t="n"/>
      <c r="L937" s="74" t="n"/>
      <c r="M937" s="74" t="n"/>
      <c r="O937" s="78">
        <f>IF($A937="","",YEAR($A937)*100+MONTH($A937))</f>
        <v/>
      </c>
      <c r="P937" s="79">
        <f>IF(OR($F937="",$D937=""),"",IF($D937="Receita",$F937,IF($D937="Transferência",0,-$F937)))</f>
        <v/>
      </c>
    </row>
    <row r="938">
      <c r="A938" s="73" t="n"/>
      <c r="B938" s="74" t="n"/>
      <c r="C938" s="74" t="n"/>
      <c r="D938" s="75">
        <f>IF($C938="","",IFERROR(INDEX(CAT_TIPO,MATCH($C938,CAT_NOME,0)),"Sem categoria"))</f>
        <v/>
      </c>
      <c r="E938" s="75">
        <f>IF($C938="","",IFERROR(INDEX(CAT_GRUPO,MATCH($C938,CAT_NOME,0)),"Sem categoria"))</f>
        <v/>
      </c>
      <c r="F938" s="76" t="n"/>
      <c r="G938" s="74" t="n"/>
      <c r="H938" s="74" t="n"/>
      <c r="I938" s="74" t="n"/>
      <c r="J938" s="77" t="n"/>
      <c r="K938" s="77" t="n"/>
      <c r="L938" s="74" t="n"/>
      <c r="M938" s="74" t="n"/>
      <c r="O938" s="78">
        <f>IF($A938="","",YEAR($A938)*100+MONTH($A938))</f>
        <v/>
      </c>
      <c r="P938" s="79">
        <f>IF(OR($F938="",$D938=""),"",IF($D938="Receita",$F938,IF($D938="Transferência",0,-$F938)))</f>
        <v/>
      </c>
    </row>
    <row r="939">
      <c r="A939" s="73" t="n"/>
      <c r="B939" s="74" t="n"/>
      <c r="C939" s="74" t="n"/>
      <c r="D939" s="75">
        <f>IF($C939="","",IFERROR(INDEX(CAT_TIPO,MATCH($C939,CAT_NOME,0)),"Sem categoria"))</f>
        <v/>
      </c>
      <c r="E939" s="75">
        <f>IF($C939="","",IFERROR(INDEX(CAT_GRUPO,MATCH($C939,CAT_NOME,0)),"Sem categoria"))</f>
        <v/>
      </c>
      <c r="F939" s="76" t="n"/>
      <c r="G939" s="74" t="n"/>
      <c r="H939" s="74" t="n"/>
      <c r="I939" s="74" t="n"/>
      <c r="J939" s="77" t="n"/>
      <c r="K939" s="77" t="n"/>
      <c r="L939" s="74" t="n"/>
      <c r="M939" s="74" t="n"/>
      <c r="O939" s="78">
        <f>IF($A939="","",YEAR($A939)*100+MONTH($A939))</f>
        <v/>
      </c>
      <c r="P939" s="79">
        <f>IF(OR($F939="",$D939=""),"",IF($D939="Receita",$F939,IF($D939="Transferência",0,-$F939)))</f>
        <v/>
      </c>
    </row>
    <row r="940">
      <c r="A940" s="73" t="n"/>
      <c r="B940" s="74" t="n"/>
      <c r="C940" s="74" t="n"/>
      <c r="D940" s="75">
        <f>IF($C940="","",IFERROR(INDEX(CAT_TIPO,MATCH($C940,CAT_NOME,0)),"Sem categoria"))</f>
        <v/>
      </c>
      <c r="E940" s="75">
        <f>IF($C940="","",IFERROR(INDEX(CAT_GRUPO,MATCH($C940,CAT_NOME,0)),"Sem categoria"))</f>
        <v/>
      </c>
      <c r="F940" s="76" t="n"/>
      <c r="G940" s="74" t="n"/>
      <c r="H940" s="74" t="n"/>
      <c r="I940" s="74" t="n"/>
      <c r="J940" s="77" t="n"/>
      <c r="K940" s="77" t="n"/>
      <c r="L940" s="74" t="n"/>
      <c r="M940" s="74" t="n"/>
      <c r="O940" s="78">
        <f>IF($A940="","",YEAR($A940)*100+MONTH($A940))</f>
        <v/>
      </c>
      <c r="P940" s="79">
        <f>IF(OR($F940="",$D940=""),"",IF($D940="Receita",$F940,IF($D940="Transferência",0,-$F940)))</f>
        <v/>
      </c>
    </row>
    <row r="941">
      <c r="A941" s="73" t="n"/>
      <c r="B941" s="74" t="n"/>
      <c r="C941" s="74" t="n"/>
      <c r="D941" s="75">
        <f>IF($C941="","",IFERROR(INDEX(CAT_TIPO,MATCH($C941,CAT_NOME,0)),"Sem categoria"))</f>
        <v/>
      </c>
      <c r="E941" s="75">
        <f>IF($C941="","",IFERROR(INDEX(CAT_GRUPO,MATCH($C941,CAT_NOME,0)),"Sem categoria"))</f>
        <v/>
      </c>
      <c r="F941" s="76" t="n"/>
      <c r="G941" s="74" t="n"/>
      <c r="H941" s="74" t="n"/>
      <c r="I941" s="74" t="n"/>
      <c r="J941" s="77" t="n"/>
      <c r="K941" s="77" t="n"/>
      <c r="L941" s="74" t="n"/>
      <c r="M941" s="74" t="n"/>
      <c r="O941" s="78">
        <f>IF($A941="","",YEAR($A941)*100+MONTH($A941))</f>
        <v/>
      </c>
      <c r="P941" s="79">
        <f>IF(OR($F941="",$D941=""),"",IF($D941="Receita",$F941,IF($D941="Transferência",0,-$F941)))</f>
        <v/>
      </c>
    </row>
    <row r="942">
      <c r="A942" s="73" t="n"/>
      <c r="B942" s="74" t="n"/>
      <c r="C942" s="74" t="n"/>
      <c r="D942" s="75">
        <f>IF($C942="","",IFERROR(INDEX(CAT_TIPO,MATCH($C942,CAT_NOME,0)),"Sem categoria"))</f>
        <v/>
      </c>
      <c r="E942" s="75">
        <f>IF($C942="","",IFERROR(INDEX(CAT_GRUPO,MATCH($C942,CAT_NOME,0)),"Sem categoria"))</f>
        <v/>
      </c>
      <c r="F942" s="76" t="n"/>
      <c r="G942" s="74" t="n"/>
      <c r="H942" s="74" t="n"/>
      <c r="I942" s="74" t="n"/>
      <c r="J942" s="77" t="n"/>
      <c r="K942" s="77" t="n"/>
      <c r="L942" s="74" t="n"/>
      <c r="M942" s="74" t="n"/>
      <c r="O942" s="78">
        <f>IF($A942="","",YEAR($A942)*100+MONTH($A942))</f>
        <v/>
      </c>
      <c r="P942" s="79">
        <f>IF(OR($F942="",$D942=""),"",IF($D942="Receita",$F942,IF($D942="Transferência",0,-$F942)))</f>
        <v/>
      </c>
    </row>
    <row r="943">
      <c r="A943" s="73" t="n"/>
      <c r="B943" s="74" t="n"/>
      <c r="C943" s="74" t="n"/>
      <c r="D943" s="75">
        <f>IF($C943="","",IFERROR(INDEX(CAT_TIPO,MATCH($C943,CAT_NOME,0)),"Sem categoria"))</f>
        <v/>
      </c>
      <c r="E943" s="75">
        <f>IF($C943="","",IFERROR(INDEX(CAT_GRUPO,MATCH($C943,CAT_NOME,0)),"Sem categoria"))</f>
        <v/>
      </c>
      <c r="F943" s="76" t="n"/>
      <c r="G943" s="74" t="n"/>
      <c r="H943" s="74" t="n"/>
      <c r="I943" s="74" t="n"/>
      <c r="J943" s="77" t="n"/>
      <c r="K943" s="77" t="n"/>
      <c r="L943" s="74" t="n"/>
      <c r="M943" s="74" t="n"/>
      <c r="O943" s="78">
        <f>IF($A943="","",YEAR($A943)*100+MONTH($A943))</f>
        <v/>
      </c>
      <c r="P943" s="79">
        <f>IF(OR($F943="",$D943=""),"",IF($D943="Receita",$F943,IF($D943="Transferência",0,-$F943)))</f>
        <v/>
      </c>
    </row>
    <row r="944">
      <c r="A944" s="73" t="n"/>
      <c r="B944" s="74" t="n"/>
      <c r="C944" s="74" t="n"/>
      <c r="D944" s="75">
        <f>IF($C944="","",IFERROR(INDEX(CAT_TIPO,MATCH($C944,CAT_NOME,0)),"Sem categoria"))</f>
        <v/>
      </c>
      <c r="E944" s="75">
        <f>IF($C944="","",IFERROR(INDEX(CAT_GRUPO,MATCH($C944,CAT_NOME,0)),"Sem categoria"))</f>
        <v/>
      </c>
      <c r="F944" s="76" t="n"/>
      <c r="G944" s="74" t="n"/>
      <c r="H944" s="74" t="n"/>
      <c r="I944" s="74" t="n"/>
      <c r="J944" s="77" t="n"/>
      <c r="K944" s="77" t="n"/>
      <c r="L944" s="74" t="n"/>
      <c r="M944" s="74" t="n"/>
      <c r="O944" s="78">
        <f>IF($A944="","",YEAR($A944)*100+MONTH($A944))</f>
        <v/>
      </c>
      <c r="P944" s="79">
        <f>IF(OR($F944="",$D944=""),"",IF($D944="Receita",$F944,IF($D944="Transferência",0,-$F944)))</f>
        <v/>
      </c>
    </row>
    <row r="945">
      <c r="A945" s="73" t="n"/>
      <c r="B945" s="74" t="n"/>
      <c r="C945" s="74" t="n"/>
      <c r="D945" s="75">
        <f>IF($C945="","",IFERROR(INDEX(CAT_TIPO,MATCH($C945,CAT_NOME,0)),"Sem categoria"))</f>
        <v/>
      </c>
      <c r="E945" s="75">
        <f>IF($C945="","",IFERROR(INDEX(CAT_GRUPO,MATCH($C945,CAT_NOME,0)),"Sem categoria"))</f>
        <v/>
      </c>
      <c r="F945" s="76" t="n"/>
      <c r="G945" s="74" t="n"/>
      <c r="H945" s="74" t="n"/>
      <c r="I945" s="74" t="n"/>
      <c r="J945" s="77" t="n"/>
      <c r="K945" s="77" t="n"/>
      <c r="L945" s="74" t="n"/>
      <c r="M945" s="74" t="n"/>
      <c r="O945" s="78">
        <f>IF($A945="","",YEAR($A945)*100+MONTH($A945))</f>
        <v/>
      </c>
      <c r="P945" s="79">
        <f>IF(OR($F945="",$D945=""),"",IF($D945="Receita",$F945,IF($D945="Transferência",0,-$F945)))</f>
        <v/>
      </c>
    </row>
    <row r="946">
      <c r="A946" s="73" t="n"/>
      <c r="B946" s="74" t="n"/>
      <c r="C946" s="74" t="n"/>
      <c r="D946" s="75">
        <f>IF($C946="","",IFERROR(INDEX(CAT_TIPO,MATCH($C946,CAT_NOME,0)),"Sem categoria"))</f>
        <v/>
      </c>
      <c r="E946" s="75">
        <f>IF($C946="","",IFERROR(INDEX(CAT_GRUPO,MATCH($C946,CAT_NOME,0)),"Sem categoria"))</f>
        <v/>
      </c>
      <c r="F946" s="76" t="n"/>
      <c r="G946" s="74" t="n"/>
      <c r="H946" s="74" t="n"/>
      <c r="I946" s="74" t="n"/>
      <c r="J946" s="77" t="n"/>
      <c r="K946" s="77" t="n"/>
      <c r="L946" s="74" t="n"/>
      <c r="M946" s="74" t="n"/>
      <c r="O946" s="78">
        <f>IF($A946="","",YEAR($A946)*100+MONTH($A946))</f>
        <v/>
      </c>
      <c r="P946" s="79">
        <f>IF(OR($F946="",$D946=""),"",IF($D946="Receita",$F946,IF($D946="Transferência",0,-$F946)))</f>
        <v/>
      </c>
    </row>
    <row r="947">
      <c r="A947" s="73" t="n"/>
      <c r="B947" s="74" t="n"/>
      <c r="C947" s="74" t="n"/>
      <c r="D947" s="75">
        <f>IF($C947="","",IFERROR(INDEX(CAT_TIPO,MATCH($C947,CAT_NOME,0)),"Sem categoria"))</f>
        <v/>
      </c>
      <c r="E947" s="75">
        <f>IF($C947="","",IFERROR(INDEX(CAT_GRUPO,MATCH($C947,CAT_NOME,0)),"Sem categoria"))</f>
        <v/>
      </c>
      <c r="F947" s="76" t="n"/>
      <c r="G947" s="74" t="n"/>
      <c r="H947" s="74" t="n"/>
      <c r="I947" s="74" t="n"/>
      <c r="J947" s="77" t="n"/>
      <c r="K947" s="77" t="n"/>
      <c r="L947" s="74" t="n"/>
      <c r="M947" s="74" t="n"/>
      <c r="O947" s="78">
        <f>IF($A947="","",YEAR($A947)*100+MONTH($A947))</f>
        <v/>
      </c>
      <c r="P947" s="79">
        <f>IF(OR($F947="",$D947=""),"",IF($D947="Receita",$F947,IF($D947="Transferência",0,-$F947)))</f>
        <v/>
      </c>
    </row>
    <row r="948">
      <c r="A948" s="73" t="n"/>
      <c r="B948" s="74" t="n"/>
      <c r="C948" s="74" t="n"/>
      <c r="D948" s="75">
        <f>IF($C948="","",IFERROR(INDEX(CAT_TIPO,MATCH($C948,CAT_NOME,0)),"Sem categoria"))</f>
        <v/>
      </c>
      <c r="E948" s="75">
        <f>IF($C948="","",IFERROR(INDEX(CAT_GRUPO,MATCH($C948,CAT_NOME,0)),"Sem categoria"))</f>
        <v/>
      </c>
      <c r="F948" s="76" t="n"/>
      <c r="G948" s="74" t="n"/>
      <c r="H948" s="74" t="n"/>
      <c r="I948" s="74" t="n"/>
      <c r="J948" s="77" t="n"/>
      <c r="K948" s="77" t="n"/>
      <c r="L948" s="74" t="n"/>
      <c r="M948" s="74" t="n"/>
      <c r="O948" s="78">
        <f>IF($A948="","",YEAR($A948)*100+MONTH($A948))</f>
        <v/>
      </c>
      <c r="P948" s="79">
        <f>IF(OR($F948="",$D948=""),"",IF($D948="Receita",$F948,IF($D948="Transferência",0,-$F948)))</f>
        <v/>
      </c>
    </row>
    <row r="949">
      <c r="A949" s="73" t="n"/>
      <c r="B949" s="74" t="n"/>
      <c r="C949" s="74" t="n"/>
      <c r="D949" s="75">
        <f>IF($C949="","",IFERROR(INDEX(CAT_TIPO,MATCH($C949,CAT_NOME,0)),"Sem categoria"))</f>
        <v/>
      </c>
      <c r="E949" s="75">
        <f>IF($C949="","",IFERROR(INDEX(CAT_GRUPO,MATCH($C949,CAT_NOME,0)),"Sem categoria"))</f>
        <v/>
      </c>
      <c r="F949" s="76" t="n"/>
      <c r="G949" s="74" t="n"/>
      <c r="H949" s="74" t="n"/>
      <c r="I949" s="74" t="n"/>
      <c r="J949" s="77" t="n"/>
      <c r="K949" s="77" t="n"/>
      <c r="L949" s="74" t="n"/>
      <c r="M949" s="74" t="n"/>
      <c r="O949" s="78">
        <f>IF($A949="","",YEAR($A949)*100+MONTH($A949))</f>
        <v/>
      </c>
      <c r="P949" s="79">
        <f>IF(OR($F949="",$D949=""),"",IF($D949="Receita",$F949,IF($D949="Transferência",0,-$F949)))</f>
        <v/>
      </c>
    </row>
    <row r="950">
      <c r="A950" s="73" t="n"/>
      <c r="B950" s="74" t="n"/>
      <c r="C950" s="74" t="n"/>
      <c r="D950" s="75">
        <f>IF($C950="","",IFERROR(INDEX(CAT_TIPO,MATCH($C950,CAT_NOME,0)),"Sem categoria"))</f>
        <v/>
      </c>
      <c r="E950" s="75">
        <f>IF($C950="","",IFERROR(INDEX(CAT_GRUPO,MATCH($C950,CAT_NOME,0)),"Sem categoria"))</f>
        <v/>
      </c>
      <c r="F950" s="76" t="n"/>
      <c r="G950" s="74" t="n"/>
      <c r="H950" s="74" t="n"/>
      <c r="I950" s="74" t="n"/>
      <c r="J950" s="77" t="n"/>
      <c r="K950" s="77" t="n"/>
      <c r="L950" s="74" t="n"/>
      <c r="M950" s="74" t="n"/>
      <c r="O950" s="78">
        <f>IF($A950="","",YEAR($A950)*100+MONTH($A950))</f>
        <v/>
      </c>
      <c r="P950" s="79">
        <f>IF(OR($F950="",$D950=""),"",IF($D950="Receita",$F950,IF($D950="Transferência",0,-$F950)))</f>
        <v/>
      </c>
    </row>
    <row r="951">
      <c r="A951" s="73" t="n"/>
      <c r="B951" s="74" t="n"/>
      <c r="C951" s="74" t="n"/>
      <c r="D951" s="75">
        <f>IF($C951="","",IFERROR(INDEX(CAT_TIPO,MATCH($C951,CAT_NOME,0)),"Sem categoria"))</f>
        <v/>
      </c>
      <c r="E951" s="75">
        <f>IF($C951="","",IFERROR(INDEX(CAT_GRUPO,MATCH($C951,CAT_NOME,0)),"Sem categoria"))</f>
        <v/>
      </c>
      <c r="F951" s="76" t="n"/>
      <c r="G951" s="74" t="n"/>
      <c r="H951" s="74" t="n"/>
      <c r="I951" s="74" t="n"/>
      <c r="J951" s="77" t="n"/>
      <c r="K951" s="77" t="n"/>
      <c r="L951" s="74" t="n"/>
      <c r="M951" s="74" t="n"/>
      <c r="O951" s="78">
        <f>IF($A951="","",YEAR($A951)*100+MONTH($A951))</f>
        <v/>
      </c>
      <c r="P951" s="79">
        <f>IF(OR($F951="",$D951=""),"",IF($D951="Receita",$F951,IF($D951="Transferência",0,-$F951)))</f>
        <v/>
      </c>
    </row>
    <row r="952">
      <c r="A952" s="73" t="n"/>
      <c r="B952" s="74" t="n"/>
      <c r="C952" s="74" t="n"/>
      <c r="D952" s="75">
        <f>IF($C952="","",IFERROR(INDEX(CAT_TIPO,MATCH($C952,CAT_NOME,0)),"Sem categoria"))</f>
        <v/>
      </c>
      <c r="E952" s="75">
        <f>IF($C952="","",IFERROR(INDEX(CAT_GRUPO,MATCH($C952,CAT_NOME,0)),"Sem categoria"))</f>
        <v/>
      </c>
      <c r="F952" s="76" t="n"/>
      <c r="G952" s="74" t="n"/>
      <c r="H952" s="74" t="n"/>
      <c r="I952" s="74" t="n"/>
      <c r="J952" s="77" t="n"/>
      <c r="K952" s="77" t="n"/>
      <c r="L952" s="74" t="n"/>
      <c r="M952" s="74" t="n"/>
      <c r="O952" s="78">
        <f>IF($A952="","",YEAR($A952)*100+MONTH($A952))</f>
        <v/>
      </c>
      <c r="P952" s="79">
        <f>IF(OR($F952="",$D952=""),"",IF($D952="Receita",$F952,IF($D952="Transferência",0,-$F952)))</f>
        <v/>
      </c>
    </row>
    <row r="953">
      <c r="A953" s="73" t="n"/>
      <c r="B953" s="74" t="n"/>
      <c r="C953" s="74" t="n"/>
      <c r="D953" s="75">
        <f>IF($C953="","",IFERROR(INDEX(CAT_TIPO,MATCH($C953,CAT_NOME,0)),"Sem categoria"))</f>
        <v/>
      </c>
      <c r="E953" s="75">
        <f>IF($C953="","",IFERROR(INDEX(CAT_GRUPO,MATCH($C953,CAT_NOME,0)),"Sem categoria"))</f>
        <v/>
      </c>
      <c r="F953" s="76" t="n"/>
      <c r="G953" s="74" t="n"/>
      <c r="H953" s="74" t="n"/>
      <c r="I953" s="74" t="n"/>
      <c r="J953" s="77" t="n"/>
      <c r="K953" s="77" t="n"/>
      <c r="L953" s="74" t="n"/>
      <c r="M953" s="74" t="n"/>
      <c r="O953" s="78">
        <f>IF($A953="","",YEAR($A953)*100+MONTH($A953))</f>
        <v/>
      </c>
      <c r="P953" s="79">
        <f>IF(OR($F953="",$D953=""),"",IF($D953="Receita",$F953,IF($D953="Transferência",0,-$F953)))</f>
        <v/>
      </c>
    </row>
    <row r="954">
      <c r="A954" s="73" t="n"/>
      <c r="B954" s="74" t="n"/>
      <c r="C954" s="74" t="n"/>
      <c r="D954" s="75">
        <f>IF($C954="","",IFERROR(INDEX(CAT_TIPO,MATCH($C954,CAT_NOME,0)),"Sem categoria"))</f>
        <v/>
      </c>
      <c r="E954" s="75">
        <f>IF($C954="","",IFERROR(INDEX(CAT_GRUPO,MATCH($C954,CAT_NOME,0)),"Sem categoria"))</f>
        <v/>
      </c>
      <c r="F954" s="76" t="n"/>
      <c r="G954" s="74" t="n"/>
      <c r="H954" s="74" t="n"/>
      <c r="I954" s="74" t="n"/>
      <c r="J954" s="77" t="n"/>
      <c r="K954" s="77" t="n"/>
      <c r="L954" s="74" t="n"/>
      <c r="M954" s="74" t="n"/>
      <c r="O954" s="78">
        <f>IF($A954="","",YEAR($A954)*100+MONTH($A954))</f>
        <v/>
      </c>
      <c r="P954" s="79">
        <f>IF(OR($F954="",$D954=""),"",IF($D954="Receita",$F954,IF($D954="Transferência",0,-$F954)))</f>
        <v/>
      </c>
    </row>
    <row r="955">
      <c r="A955" s="73" t="n"/>
      <c r="B955" s="74" t="n"/>
      <c r="C955" s="74" t="n"/>
      <c r="D955" s="75">
        <f>IF($C955="","",IFERROR(INDEX(CAT_TIPO,MATCH($C955,CAT_NOME,0)),"Sem categoria"))</f>
        <v/>
      </c>
      <c r="E955" s="75">
        <f>IF($C955="","",IFERROR(INDEX(CAT_GRUPO,MATCH($C955,CAT_NOME,0)),"Sem categoria"))</f>
        <v/>
      </c>
      <c r="F955" s="76" t="n"/>
      <c r="G955" s="74" t="n"/>
      <c r="H955" s="74" t="n"/>
      <c r="I955" s="74" t="n"/>
      <c r="J955" s="77" t="n"/>
      <c r="K955" s="77" t="n"/>
      <c r="L955" s="74" t="n"/>
      <c r="M955" s="74" t="n"/>
      <c r="O955" s="78">
        <f>IF($A955="","",YEAR($A955)*100+MONTH($A955))</f>
        <v/>
      </c>
      <c r="P955" s="79">
        <f>IF(OR($F955="",$D955=""),"",IF($D955="Receita",$F955,IF($D955="Transferência",0,-$F955)))</f>
        <v/>
      </c>
    </row>
    <row r="956">
      <c r="A956" s="73" t="n"/>
      <c r="B956" s="74" t="n"/>
      <c r="C956" s="74" t="n"/>
      <c r="D956" s="75">
        <f>IF($C956="","",IFERROR(INDEX(CAT_TIPO,MATCH($C956,CAT_NOME,0)),"Sem categoria"))</f>
        <v/>
      </c>
      <c r="E956" s="75">
        <f>IF($C956="","",IFERROR(INDEX(CAT_GRUPO,MATCH($C956,CAT_NOME,0)),"Sem categoria"))</f>
        <v/>
      </c>
      <c r="F956" s="76" t="n"/>
      <c r="G956" s="74" t="n"/>
      <c r="H956" s="74" t="n"/>
      <c r="I956" s="74" t="n"/>
      <c r="J956" s="77" t="n"/>
      <c r="K956" s="77" t="n"/>
      <c r="L956" s="74" t="n"/>
      <c r="M956" s="74" t="n"/>
      <c r="O956" s="78">
        <f>IF($A956="","",YEAR($A956)*100+MONTH($A956))</f>
        <v/>
      </c>
      <c r="P956" s="79">
        <f>IF(OR($F956="",$D956=""),"",IF($D956="Receita",$F956,IF($D956="Transferência",0,-$F956)))</f>
        <v/>
      </c>
    </row>
    <row r="957">
      <c r="A957" s="73" t="n"/>
      <c r="B957" s="74" t="n"/>
      <c r="C957" s="74" t="n"/>
      <c r="D957" s="75">
        <f>IF($C957="","",IFERROR(INDEX(CAT_TIPO,MATCH($C957,CAT_NOME,0)),"Sem categoria"))</f>
        <v/>
      </c>
      <c r="E957" s="75">
        <f>IF($C957="","",IFERROR(INDEX(CAT_GRUPO,MATCH($C957,CAT_NOME,0)),"Sem categoria"))</f>
        <v/>
      </c>
      <c r="F957" s="76" t="n"/>
      <c r="G957" s="74" t="n"/>
      <c r="H957" s="74" t="n"/>
      <c r="I957" s="74" t="n"/>
      <c r="J957" s="77" t="n"/>
      <c r="K957" s="77" t="n"/>
      <c r="L957" s="74" t="n"/>
      <c r="M957" s="74" t="n"/>
      <c r="O957" s="78">
        <f>IF($A957="","",YEAR($A957)*100+MONTH($A957))</f>
        <v/>
      </c>
      <c r="P957" s="79">
        <f>IF(OR($F957="",$D957=""),"",IF($D957="Receita",$F957,IF($D957="Transferência",0,-$F957)))</f>
        <v/>
      </c>
    </row>
    <row r="958">
      <c r="A958" s="73" t="n"/>
      <c r="B958" s="74" t="n"/>
      <c r="C958" s="74" t="n"/>
      <c r="D958" s="75">
        <f>IF($C958="","",IFERROR(INDEX(CAT_TIPO,MATCH($C958,CAT_NOME,0)),"Sem categoria"))</f>
        <v/>
      </c>
      <c r="E958" s="75">
        <f>IF($C958="","",IFERROR(INDEX(CAT_GRUPO,MATCH($C958,CAT_NOME,0)),"Sem categoria"))</f>
        <v/>
      </c>
      <c r="F958" s="76" t="n"/>
      <c r="G958" s="74" t="n"/>
      <c r="H958" s="74" t="n"/>
      <c r="I958" s="74" t="n"/>
      <c r="J958" s="77" t="n"/>
      <c r="K958" s="77" t="n"/>
      <c r="L958" s="74" t="n"/>
      <c r="M958" s="74" t="n"/>
      <c r="O958" s="78">
        <f>IF($A958="","",YEAR($A958)*100+MONTH($A958))</f>
        <v/>
      </c>
      <c r="P958" s="79">
        <f>IF(OR($F958="",$D958=""),"",IF($D958="Receita",$F958,IF($D958="Transferência",0,-$F958)))</f>
        <v/>
      </c>
    </row>
    <row r="959">
      <c r="A959" s="73" t="n"/>
      <c r="B959" s="74" t="n"/>
      <c r="C959" s="74" t="n"/>
      <c r="D959" s="75">
        <f>IF($C959="","",IFERROR(INDEX(CAT_TIPO,MATCH($C959,CAT_NOME,0)),"Sem categoria"))</f>
        <v/>
      </c>
      <c r="E959" s="75">
        <f>IF($C959="","",IFERROR(INDEX(CAT_GRUPO,MATCH($C959,CAT_NOME,0)),"Sem categoria"))</f>
        <v/>
      </c>
      <c r="F959" s="76" t="n"/>
      <c r="G959" s="74" t="n"/>
      <c r="H959" s="74" t="n"/>
      <c r="I959" s="74" t="n"/>
      <c r="J959" s="77" t="n"/>
      <c r="K959" s="77" t="n"/>
      <c r="L959" s="74" t="n"/>
      <c r="M959" s="74" t="n"/>
      <c r="O959" s="78">
        <f>IF($A959="","",YEAR($A959)*100+MONTH($A959))</f>
        <v/>
      </c>
      <c r="P959" s="79">
        <f>IF(OR($F959="",$D959=""),"",IF($D959="Receita",$F959,IF($D959="Transferência",0,-$F959)))</f>
        <v/>
      </c>
    </row>
    <row r="960">
      <c r="A960" s="73" t="n"/>
      <c r="B960" s="74" t="n"/>
      <c r="C960" s="74" t="n"/>
      <c r="D960" s="75">
        <f>IF($C960="","",IFERROR(INDEX(CAT_TIPO,MATCH($C960,CAT_NOME,0)),"Sem categoria"))</f>
        <v/>
      </c>
      <c r="E960" s="75">
        <f>IF($C960="","",IFERROR(INDEX(CAT_GRUPO,MATCH($C960,CAT_NOME,0)),"Sem categoria"))</f>
        <v/>
      </c>
      <c r="F960" s="76" t="n"/>
      <c r="G960" s="74" t="n"/>
      <c r="H960" s="74" t="n"/>
      <c r="I960" s="74" t="n"/>
      <c r="J960" s="77" t="n"/>
      <c r="K960" s="77" t="n"/>
      <c r="L960" s="74" t="n"/>
      <c r="M960" s="74" t="n"/>
      <c r="O960" s="78">
        <f>IF($A960="","",YEAR($A960)*100+MONTH($A960))</f>
        <v/>
      </c>
      <c r="P960" s="79">
        <f>IF(OR($F960="",$D960=""),"",IF($D960="Receita",$F960,IF($D960="Transferência",0,-$F960)))</f>
        <v/>
      </c>
    </row>
    <row r="961">
      <c r="A961" s="73" t="n"/>
      <c r="B961" s="74" t="n"/>
      <c r="C961" s="74" t="n"/>
      <c r="D961" s="75">
        <f>IF($C961="","",IFERROR(INDEX(CAT_TIPO,MATCH($C961,CAT_NOME,0)),"Sem categoria"))</f>
        <v/>
      </c>
      <c r="E961" s="75">
        <f>IF($C961="","",IFERROR(INDEX(CAT_GRUPO,MATCH($C961,CAT_NOME,0)),"Sem categoria"))</f>
        <v/>
      </c>
      <c r="F961" s="76" t="n"/>
      <c r="G961" s="74" t="n"/>
      <c r="H961" s="74" t="n"/>
      <c r="I961" s="74" t="n"/>
      <c r="J961" s="77" t="n"/>
      <c r="K961" s="77" t="n"/>
      <c r="L961" s="74" t="n"/>
      <c r="M961" s="74" t="n"/>
      <c r="O961" s="78">
        <f>IF($A961="","",YEAR($A961)*100+MONTH($A961))</f>
        <v/>
      </c>
      <c r="P961" s="79">
        <f>IF(OR($F961="",$D961=""),"",IF($D961="Receita",$F961,IF($D961="Transferência",0,-$F961)))</f>
        <v/>
      </c>
    </row>
    <row r="962">
      <c r="A962" s="73" t="n"/>
      <c r="B962" s="74" t="n"/>
      <c r="C962" s="74" t="n"/>
      <c r="D962" s="75">
        <f>IF($C962="","",IFERROR(INDEX(CAT_TIPO,MATCH($C962,CAT_NOME,0)),"Sem categoria"))</f>
        <v/>
      </c>
      <c r="E962" s="75">
        <f>IF($C962="","",IFERROR(INDEX(CAT_GRUPO,MATCH($C962,CAT_NOME,0)),"Sem categoria"))</f>
        <v/>
      </c>
      <c r="F962" s="76" t="n"/>
      <c r="G962" s="74" t="n"/>
      <c r="H962" s="74" t="n"/>
      <c r="I962" s="74" t="n"/>
      <c r="J962" s="77" t="n"/>
      <c r="K962" s="77" t="n"/>
      <c r="L962" s="74" t="n"/>
      <c r="M962" s="74" t="n"/>
      <c r="O962" s="78">
        <f>IF($A962="","",YEAR($A962)*100+MONTH($A962))</f>
        <v/>
      </c>
      <c r="P962" s="79">
        <f>IF(OR($F962="",$D962=""),"",IF($D962="Receita",$F962,IF($D962="Transferência",0,-$F962)))</f>
        <v/>
      </c>
    </row>
    <row r="963">
      <c r="A963" s="73" t="n"/>
      <c r="B963" s="74" t="n"/>
      <c r="C963" s="74" t="n"/>
      <c r="D963" s="75">
        <f>IF($C963="","",IFERROR(INDEX(CAT_TIPO,MATCH($C963,CAT_NOME,0)),"Sem categoria"))</f>
        <v/>
      </c>
      <c r="E963" s="75">
        <f>IF($C963="","",IFERROR(INDEX(CAT_GRUPO,MATCH($C963,CAT_NOME,0)),"Sem categoria"))</f>
        <v/>
      </c>
      <c r="F963" s="76" t="n"/>
      <c r="G963" s="74" t="n"/>
      <c r="H963" s="74" t="n"/>
      <c r="I963" s="74" t="n"/>
      <c r="J963" s="77" t="n"/>
      <c r="K963" s="77" t="n"/>
      <c r="L963" s="74" t="n"/>
      <c r="M963" s="74" t="n"/>
      <c r="O963" s="78">
        <f>IF($A963="","",YEAR($A963)*100+MONTH($A963))</f>
        <v/>
      </c>
      <c r="P963" s="79">
        <f>IF(OR($F963="",$D963=""),"",IF($D963="Receita",$F963,IF($D963="Transferência",0,-$F963)))</f>
        <v/>
      </c>
    </row>
    <row r="964">
      <c r="A964" s="73" t="n"/>
      <c r="B964" s="74" t="n"/>
      <c r="C964" s="74" t="n"/>
      <c r="D964" s="75">
        <f>IF($C964="","",IFERROR(INDEX(CAT_TIPO,MATCH($C964,CAT_NOME,0)),"Sem categoria"))</f>
        <v/>
      </c>
      <c r="E964" s="75">
        <f>IF($C964="","",IFERROR(INDEX(CAT_GRUPO,MATCH($C964,CAT_NOME,0)),"Sem categoria"))</f>
        <v/>
      </c>
      <c r="F964" s="76" t="n"/>
      <c r="G964" s="74" t="n"/>
      <c r="H964" s="74" t="n"/>
      <c r="I964" s="74" t="n"/>
      <c r="J964" s="77" t="n"/>
      <c r="K964" s="77" t="n"/>
      <c r="L964" s="74" t="n"/>
      <c r="M964" s="74" t="n"/>
      <c r="O964" s="78">
        <f>IF($A964="","",YEAR($A964)*100+MONTH($A964))</f>
        <v/>
      </c>
      <c r="P964" s="79">
        <f>IF(OR($F964="",$D964=""),"",IF($D964="Receita",$F964,IF($D964="Transferência",0,-$F964)))</f>
        <v/>
      </c>
    </row>
    <row r="965">
      <c r="A965" s="73" t="n"/>
      <c r="B965" s="74" t="n"/>
      <c r="C965" s="74" t="n"/>
      <c r="D965" s="75">
        <f>IF($C965="","",IFERROR(INDEX(CAT_TIPO,MATCH($C965,CAT_NOME,0)),"Sem categoria"))</f>
        <v/>
      </c>
      <c r="E965" s="75">
        <f>IF($C965="","",IFERROR(INDEX(CAT_GRUPO,MATCH($C965,CAT_NOME,0)),"Sem categoria"))</f>
        <v/>
      </c>
      <c r="F965" s="76" t="n"/>
      <c r="G965" s="74" t="n"/>
      <c r="H965" s="74" t="n"/>
      <c r="I965" s="74" t="n"/>
      <c r="J965" s="77" t="n"/>
      <c r="K965" s="77" t="n"/>
      <c r="L965" s="74" t="n"/>
      <c r="M965" s="74" t="n"/>
      <c r="O965" s="78">
        <f>IF($A965="","",YEAR($A965)*100+MONTH($A965))</f>
        <v/>
      </c>
      <c r="P965" s="79">
        <f>IF(OR($F965="",$D965=""),"",IF($D965="Receita",$F965,IF($D965="Transferência",0,-$F965)))</f>
        <v/>
      </c>
    </row>
    <row r="966">
      <c r="A966" s="73" t="n"/>
      <c r="B966" s="74" t="n"/>
      <c r="C966" s="74" t="n"/>
      <c r="D966" s="75">
        <f>IF($C966="","",IFERROR(INDEX(CAT_TIPO,MATCH($C966,CAT_NOME,0)),"Sem categoria"))</f>
        <v/>
      </c>
      <c r="E966" s="75">
        <f>IF($C966="","",IFERROR(INDEX(CAT_GRUPO,MATCH($C966,CAT_NOME,0)),"Sem categoria"))</f>
        <v/>
      </c>
      <c r="F966" s="76" t="n"/>
      <c r="G966" s="74" t="n"/>
      <c r="H966" s="74" t="n"/>
      <c r="I966" s="74" t="n"/>
      <c r="J966" s="77" t="n"/>
      <c r="K966" s="77" t="n"/>
      <c r="L966" s="74" t="n"/>
      <c r="M966" s="74" t="n"/>
      <c r="O966" s="78">
        <f>IF($A966="","",YEAR($A966)*100+MONTH($A966))</f>
        <v/>
      </c>
      <c r="P966" s="79">
        <f>IF(OR($F966="",$D966=""),"",IF($D966="Receita",$F966,IF($D966="Transferência",0,-$F966)))</f>
        <v/>
      </c>
    </row>
    <row r="967">
      <c r="A967" s="73" t="n"/>
      <c r="B967" s="74" t="n"/>
      <c r="C967" s="74" t="n"/>
      <c r="D967" s="75">
        <f>IF($C967="","",IFERROR(INDEX(CAT_TIPO,MATCH($C967,CAT_NOME,0)),"Sem categoria"))</f>
        <v/>
      </c>
      <c r="E967" s="75">
        <f>IF($C967="","",IFERROR(INDEX(CAT_GRUPO,MATCH($C967,CAT_NOME,0)),"Sem categoria"))</f>
        <v/>
      </c>
      <c r="F967" s="76" t="n"/>
      <c r="G967" s="74" t="n"/>
      <c r="H967" s="74" t="n"/>
      <c r="I967" s="74" t="n"/>
      <c r="J967" s="77" t="n"/>
      <c r="K967" s="77" t="n"/>
      <c r="L967" s="74" t="n"/>
      <c r="M967" s="74" t="n"/>
      <c r="O967" s="78">
        <f>IF($A967="","",YEAR($A967)*100+MONTH($A967))</f>
        <v/>
      </c>
      <c r="P967" s="79">
        <f>IF(OR($F967="",$D967=""),"",IF($D967="Receita",$F967,IF($D967="Transferência",0,-$F967)))</f>
        <v/>
      </c>
    </row>
    <row r="968">
      <c r="A968" s="73" t="n"/>
      <c r="B968" s="74" t="n"/>
      <c r="C968" s="74" t="n"/>
      <c r="D968" s="75">
        <f>IF($C968="","",IFERROR(INDEX(CAT_TIPO,MATCH($C968,CAT_NOME,0)),"Sem categoria"))</f>
        <v/>
      </c>
      <c r="E968" s="75">
        <f>IF($C968="","",IFERROR(INDEX(CAT_GRUPO,MATCH($C968,CAT_NOME,0)),"Sem categoria"))</f>
        <v/>
      </c>
      <c r="F968" s="76" t="n"/>
      <c r="G968" s="74" t="n"/>
      <c r="H968" s="74" t="n"/>
      <c r="I968" s="74" t="n"/>
      <c r="J968" s="77" t="n"/>
      <c r="K968" s="77" t="n"/>
      <c r="L968" s="74" t="n"/>
      <c r="M968" s="74" t="n"/>
      <c r="O968" s="78">
        <f>IF($A968="","",YEAR($A968)*100+MONTH($A968))</f>
        <v/>
      </c>
      <c r="P968" s="79">
        <f>IF(OR($F968="",$D968=""),"",IF($D968="Receita",$F968,IF($D968="Transferência",0,-$F968)))</f>
        <v/>
      </c>
    </row>
    <row r="969">
      <c r="A969" s="73" t="n"/>
      <c r="B969" s="74" t="n"/>
      <c r="C969" s="74" t="n"/>
      <c r="D969" s="75">
        <f>IF($C969="","",IFERROR(INDEX(CAT_TIPO,MATCH($C969,CAT_NOME,0)),"Sem categoria"))</f>
        <v/>
      </c>
      <c r="E969" s="75">
        <f>IF($C969="","",IFERROR(INDEX(CAT_GRUPO,MATCH($C969,CAT_NOME,0)),"Sem categoria"))</f>
        <v/>
      </c>
      <c r="F969" s="76" t="n"/>
      <c r="G969" s="74" t="n"/>
      <c r="H969" s="74" t="n"/>
      <c r="I969" s="74" t="n"/>
      <c r="J969" s="77" t="n"/>
      <c r="K969" s="77" t="n"/>
      <c r="L969" s="74" t="n"/>
      <c r="M969" s="74" t="n"/>
      <c r="O969" s="78">
        <f>IF($A969="","",YEAR($A969)*100+MONTH($A969))</f>
        <v/>
      </c>
      <c r="P969" s="79">
        <f>IF(OR($F969="",$D969=""),"",IF($D969="Receita",$F969,IF($D969="Transferência",0,-$F969)))</f>
        <v/>
      </c>
    </row>
    <row r="970">
      <c r="A970" s="73" t="n"/>
      <c r="B970" s="74" t="n"/>
      <c r="C970" s="74" t="n"/>
      <c r="D970" s="75">
        <f>IF($C970="","",IFERROR(INDEX(CAT_TIPO,MATCH($C970,CAT_NOME,0)),"Sem categoria"))</f>
        <v/>
      </c>
      <c r="E970" s="75">
        <f>IF($C970="","",IFERROR(INDEX(CAT_GRUPO,MATCH($C970,CAT_NOME,0)),"Sem categoria"))</f>
        <v/>
      </c>
      <c r="F970" s="76" t="n"/>
      <c r="G970" s="74" t="n"/>
      <c r="H970" s="74" t="n"/>
      <c r="I970" s="74" t="n"/>
      <c r="J970" s="77" t="n"/>
      <c r="K970" s="77" t="n"/>
      <c r="L970" s="74" t="n"/>
      <c r="M970" s="74" t="n"/>
      <c r="O970" s="78">
        <f>IF($A970="","",YEAR($A970)*100+MONTH($A970))</f>
        <v/>
      </c>
      <c r="P970" s="79">
        <f>IF(OR($F970="",$D970=""),"",IF($D970="Receita",$F970,IF($D970="Transferência",0,-$F970)))</f>
        <v/>
      </c>
    </row>
    <row r="971">
      <c r="A971" s="73" t="n"/>
      <c r="B971" s="74" t="n"/>
      <c r="C971" s="74" t="n"/>
      <c r="D971" s="75">
        <f>IF($C971="","",IFERROR(INDEX(CAT_TIPO,MATCH($C971,CAT_NOME,0)),"Sem categoria"))</f>
        <v/>
      </c>
      <c r="E971" s="75">
        <f>IF($C971="","",IFERROR(INDEX(CAT_GRUPO,MATCH($C971,CAT_NOME,0)),"Sem categoria"))</f>
        <v/>
      </c>
      <c r="F971" s="76" t="n"/>
      <c r="G971" s="74" t="n"/>
      <c r="H971" s="74" t="n"/>
      <c r="I971" s="74" t="n"/>
      <c r="J971" s="77" t="n"/>
      <c r="K971" s="77" t="n"/>
      <c r="L971" s="74" t="n"/>
      <c r="M971" s="74" t="n"/>
      <c r="O971" s="78">
        <f>IF($A971="","",YEAR($A971)*100+MONTH($A971))</f>
        <v/>
      </c>
      <c r="P971" s="79">
        <f>IF(OR($F971="",$D971=""),"",IF($D971="Receita",$F971,IF($D971="Transferência",0,-$F971)))</f>
        <v/>
      </c>
    </row>
    <row r="972">
      <c r="A972" s="73" t="n"/>
      <c r="B972" s="74" t="n"/>
      <c r="C972" s="74" t="n"/>
      <c r="D972" s="75">
        <f>IF($C972="","",IFERROR(INDEX(CAT_TIPO,MATCH($C972,CAT_NOME,0)),"Sem categoria"))</f>
        <v/>
      </c>
      <c r="E972" s="75">
        <f>IF($C972="","",IFERROR(INDEX(CAT_GRUPO,MATCH($C972,CAT_NOME,0)),"Sem categoria"))</f>
        <v/>
      </c>
      <c r="F972" s="76" t="n"/>
      <c r="G972" s="74" t="n"/>
      <c r="H972" s="74" t="n"/>
      <c r="I972" s="74" t="n"/>
      <c r="J972" s="77" t="n"/>
      <c r="K972" s="77" t="n"/>
      <c r="L972" s="74" t="n"/>
      <c r="M972" s="74" t="n"/>
      <c r="O972" s="78">
        <f>IF($A972="","",YEAR($A972)*100+MONTH($A972))</f>
        <v/>
      </c>
      <c r="P972" s="79">
        <f>IF(OR($F972="",$D972=""),"",IF($D972="Receita",$F972,IF($D972="Transferência",0,-$F972)))</f>
        <v/>
      </c>
    </row>
    <row r="973">
      <c r="A973" s="73" t="n"/>
      <c r="B973" s="74" t="n"/>
      <c r="C973" s="74" t="n"/>
      <c r="D973" s="75">
        <f>IF($C973="","",IFERROR(INDEX(CAT_TIPO,MATCH($C973,CAT_NOME,0)),"Sem categoria"))</f>
        <v/>
      </c>
      <c r="E973" s="75">
        <f>IF($C973="","",IFERROR(INDEX(CAT_GRUPO,MATCH($C973,CAT_NOME,0)),"Sem categoria"))</f>
        <v/>
      </c>
      <c r="F973" s="76" t="n"/>
      <c r="G973" s="74" t="n"/>
      <c r="H973" s="74" t="n"/>
      <c r="I973" s="74" t="n"/>
      <c r="J973" s="77" t="n"/>
      <c r="K973" s="77" t="n"/>
      <c r="L973" s="74" t="n"/>
      <c r="M973" s="74" t="n"/>
      <c r="O973" s="78">
        <f>IF($A973="","",YEAR($A973)*100+MONTH($A973))</f>
        <v/>
      </c>
      <c r="P973" s="79">
        <f>IF(OR($F973="",$D973=""),"",IF($D973="Receita",$F973,IF($D973="Transferência",0,-$F973)))</f>
        <v/>
      </c>
    </row>
    <row r="974">
      <c r="A974" s="73" t="n"/>
      <c r="B974" s="74" t="n"/>
      <c r="C974" s="74" t="n"/>
      <c r="D974" s="75">
        <f>IF($C974="","",IFERROR(INDEX(CAT_TIPO,MATCH($C974,CAT_NOME,0)),"Sem categoria"))</f>
        <v/>
      </c>
      <c r="E974" s="75">
        <f>IF($C974="","",IFERROR(INDEX(CAT_GRUPO,MATCH($C974,CAT_NOME,0)),"Sem categoria"))</f>
        <v/>
      </c>
      <c r="F974" s="76" t="n"/>
      <c r="G974" s="74" t="n"/>
      <c r="H974" s="74" t="n"/>
      <c r="I974" s="74" t="n"/>
      <c r="J974" s="77" t="n"/>
      <c r="K974" s="77" t="n"/>
      <c r="L974" s="74" t="n"/>
      <c r="M974" s="74" t="n"/>
      <c r="O974" s="78">
        <f>IF($A974="","",YEAR($A974)*100+MONTH($A974))</f>
        <v/>
      </c>
      <c r="P974" s="79">
        <f>IF(OR($F974="",$D974=""),"",IF($D974="Receita",$F974,IF($D974="Transferência",0,-$F974)))</f>
        <v/>
      </c>
    </row>
    <row r="975">
      <c r="A975" s="73" t="n"/>
      <c r="B975" s="74" t="n"/>
      <c r="C975" s="74" t="n"/>
      <c r="D975" s="75">
        <f>IF($C975="","",IFERROR(INDEX(CAT_TIPO,MATCH($C975,CAT_NOME,0)),"Sem categoria"))</f>
        <v/>
      </c>
      <c r="E975" s="75">
        <f>IF($C975="","",IFERROR(INDEX(CAT_GRUPO,MATCH($C975,CAT_NOME,0)),"Sem categoria"))</f>
        <v/>
      </c>
      <c r="F975" s="76" t="n"/>
      <c r="G975" s="74" t="n"/>
      <c r="H975" s="74" t="n"/>
      <c r="I975" s="74" t="n"/>
      <c r="J975" s="77" t="n"/>
      <c r="K975" s="77" t="n"/>
      <c r="L975" s="74" t="n"/>
      <c r="M975" s="74" t="n"/>
      <c r="O975" s="78">
        <f>IF($A975="","",YEAR($A975)*100+MONTH($A975))</f>
        <v/>
      </c>
      <c r="P975" s="79">
        <f>IF(OR($F975="",$D975=""),"",IF($D975="Receita",$F975,IF($D975="Transferência",0,-$F975)))</f>
        <v/>
      </c>
    </row>
    <row r="976">
      <c r="A976" s="73" t="n"/>
      <c r="B976" s="74" t="n"/>
      <c r="C976" s="74" t="n"/>
      <c r="D976" s="75">
        <f>IF($C976="","",IFERROR(INDEX(CAT_TIPO,MATCH($C976,CAT_NOME,0)),"Sem categoria"))</f>
        <v/>
      </c>
      <c r="E976" s="75">
        <f>IF($C976="","",IFERROR(INDEX(CAT_GRUPO,MATCH($C976,CAT_NOME,0)),"Sem categoria"))</f>
        <v/>
      </c>
      <c r="F976" s="76" t="n"/>
      <c r="G976" s="74" t="n"/>
      <c r="H976" s="74" t="n"/>
      <c r="I976" s="74" t="n"/>
      <c r="J976" s="77" t="n"/>
      <c r="K976" s="77" t="n"/>
      <c r="L976" s="74" t="n"/>
      <c r="M976" s="74" t="n"/>
      <c r="O976" s="78">
        <f>IF($A976="","",YEAR($A976)*100+MONTH($A976))</f>
        <v/>
      </c>
      <c r="P976" s="79">
        <f>IF(OR($F976="",$D976=""),"",IF($D976="Receita",$F976,IF($D976="Transferência",0,-$F976)))</f>
        <v/>
      </c>
    </row>
    <row r="977">
      <c r="A977" s="73" t="n"/>
      <c r="B977" s="74" t="n"/>
      <c r="C977" s="74" t="n"/>
      <c r="D977" s="75">
        <f>IF($C977="","",IFERROR(INDEX(CAT_TIPO,MATCH($C977,CAT_NOME,0)),"Sem categoria"))</f>
        <v/>
      </c>
      <c r="E977" s="75">
        <f>IF($C977="","",IFERROR(INDEX(CAT_GRUPO,MATCH($C977,CAT_NOME,0)),"Sem categoria"))</f>
        <v/>
      </c>
      <c r="F977" s="76" t="n"/>
      <c r="G977" s="74" t="n"/>
      <c r="H977" s="74" t="n"/>
      <c r="I977" s="74" t="n"/>
      <c r="J977" s="77" t="n"/>
      <c r="K977" s="77" t="n"/>
      <c r="L977" s="74" t="n"/>
      <c r="M977" s="74" t="n"/>
      <c r="O977" s="78">
        <f>IF($A977="","",YEAR($A977)*100+MONTH($A977))</f>
        <v/>
      </c>
      <c r="P977" s="79">
        <f>IF(OR($F977="",$D977=""),"",IF($D977="Receita",$F977,IF($D977="Transferência",0,-$F977)))</f>
        <v/>
      </c>
    </row>
    <row r="978">
      <c r="A978" s="73" t="n"/>
      <c r="B978" s="74" t="n"/>
      <c r="C978" s="74" t="n"/>
      <c r="D978" s="75">
        <f>IF($C978="","",IFERROR(INDEX(CAT_TIPO,MATCH($C978,CAT_NOME,0)),"Sem categoria"))</f>
        <v/>
      </c>
      <c r="E978" s="75">
        <f>IF($C978="","",IFERROR(INDEX(CAT_GRUPO,MATCH($C978,CAT_NOME,0)),"Sem categoria"))</f>
        <v/>
      </c>
      <c r="F978" s="76" t="n"/>
      <c r="G978" s="74" t="n"/>
      <c r="H978" s="74" t="n"/>
      <c r="I978" s="74" t="n"/>
      <c r="J978" s="77" t="n"/>
      <c r="K978" s="77" t="n"/>
      <c r="L978" s="74" t="n"/>
      <c r="M978" s="74" t="n"/>
      <c r="O978" s="78">
        <f>IF($A978="","",YEAR($A978)*100+MONTH($A978))</f>
        <v/>
      </c>
      <c r="P978" s="79">
        <f>IF(OR($F978="",$D978=""),"",IF($D978="Receita",$F978,IF($D978="Transferência",0,-$F978)))</f>
        <v/>
      </c>
    </row>
    <row r="979">
      <c r="A979" s="73" t="n"/>
      <c r="B979" s="74" t="n"/>
      <c r="C979" s="74" t="n"/>
      <c r="D979" s="75">
        <f>IF($C979="","",IFERROR(INDEX(CAT_TIPO,MATCH($C979,CAT_NOME,0)),"Sem categoria"))</f>
        <v/>
      </c>
      <c r="E979" s="75">
        <f>IF($C979="","",IFERROR(INDEX(CAT_GRUPO,MATCH($C979,CAT_NOME,0)),"Sem categoria"))</f>
        <v/>
      </c>
      <c r="F979" s="76" t="n"/>
      <c r="G979" s="74" t="n"/>
      <c r="H979" s="74" t="n"/>
      <c r="I979" s="74" t="n"/>
      <c r="J979" s="77" t="n"/>
      <c r="K979" s="77" t="n"/>
      <c r="L979" s="74" t="n"/>
      <c r="M979" s="74" t="n"/>
      <c r="O979" s="78">
        <f>IF($A979="","",YEAR($A979)*100+MONTH($A979))</f>
        <v/>
      </c>
      <c r="P979" s="79">
        <f>IF(OR($F979="",$D979=""),"",IF($D979="Receita",$F979,IF($D979="Transferência",0,-$F979)))</f>
        <v/>
      </c>
    </row>
    <row r="980">
      <c r="A980" s="73" t="n"/>
      <c r="B980" s="74" t="n"/>
      <c r="C980" s="74" t="n"/>
      <c r="D980" s="75">
        <f>IF($C980="","",IFERROR(INDEX(CAT_TIPO,MATCH($C980,CAT_NOME,0)),"Sem categoria"))</f>
        <v/>
      </c>
      <c r="E980" s="75">
        <f>IF($C980="","",IFERROR(INDEX(CAT_GRUPO,MATCH($C980,CAT_NOME,0)),"Sem categoria"))</f>
        <v/>
      </c>
      <c r="F980" s="76" t="n"/>
      <c r="G980" s="74" t="n"/>
      <c r="H980" s="74" t="n"/>
      <c r="I980" s="74" t="n"/>
      <c r="J980" s="77" t="n"/>
      <c r="K980" s="77" t="n"/>
      <c r="L980" s="74" t="n"/>
      <c r="M980" s="74" t="n"/>
      <c r="O980" s="78">
        <f>IF($A980="","",YEAR($A980)*100+MONTH($A980))</f>
        <v/>
      </c>
      <c r="P980" s="79">
        <f>IF(OR($F980="",$D980=""),"",IF($D980="Receita",$F980,IF($D980="Transferência",0,-$F980)))</f>
        <v/>
      </c>
    </row>
    <row r="981">
      <c r="A981" s="73" t="n"/>
      <c r="B981" s="74" t="n"/>
      <c r="C981" s="74" t="n"/>
      <c r="D981" s="75">
        <f>IF($C981="","",IFERROR(INDEX(CAT_TIPO,MATCH($C981,CAT_NOME,0)),"Sem categoria"))</f>
        <v/>
      </c>
      <c r="E981" s="75">
        <f>IF($C981="","",IFERROR(INDEX(CAT_GRUPO,MATCH($C981,CAT_NOME,0)),"Sem categoria"))</f>
        <v/>
      </c>
      <c r="F981" s="76" t="n"/>
      <c r="G981" s="74" t="n"/>
      <c r="H981" s="74" t="n"/>
      <c r="I981" s="74" t="n"/>
      <c r="J981" s="77" t="n"/>
      <c r="K981" s="77" t="n"/>
      <c r="L981" s="74" t="n"/>
      <c r="M981" s="74" t="n"/>
      <c r="O981" s="78">
        <f>IF($A981="","",YEAR($A981)*100+MONTH($A981))</f>
        <v/>
      </c>
      <c r="P981" s="79">
        <f>IF(OR($F981="",$D981=""),"",IF($D981="Receita",$F981,IF($D981="Transferência",0,-$F981)))</f>
        <v/>
      </c>
    </row>
    <row r="982">
      <c r="A982" s="73" t="n"/>
      <c r="B982" s="74" t="n"/>
      <c r="C982" s="74" t="n"/>
      <c r="D982" s="75">
        <f>IF($C982="","",IFERROR(INDEX(CAT_TIPO,MATCH($C982,CAT_NOME,0)),"Sem categoria"))</f>
        <v/>
      </c>
      <c r="E982" s="75">
        <f>IF($C982="","",IFERROR(INDEX(CAT_GRUPO,MATCH($C982,CAT_NOME,0)),"Sem categoria"))</f>
        <v/>
      </c>
      <c r="F982" s="76" t="n"/>
      <c r="G982" s="74" t="n"/>
      <c r="H982" s="74" t="n"/>
      <c r="I982" s="74" t="n"/>
      <c r="J982" s="77" t="n"/>
      <c r="K982" s="77" t="n"/>
      <c r="L982" s="74" t="n"/>
      <c r="M982" s="74" t="n"/>
      <c r="O982" s="78">
        <f>IF($A982="","",YEAR($A982)*100+MONTH($A982))</f>
        <v/>
      </c>
      <c r="P982" s="79">
        <f>IF(OR($F982="",$D982=""),"",IF($D982="Receita",$F982,IF($D982="Transferência",0,-$F982)))</f>
        <v/>
      </c>
    </row>
    <row r="983">
      <c r="A983" s="73" t="n"/>
      <c r="B983" s="74" t="n"/>
      <c r="C983" s="74" t="n"/>
      <c r="D983" s="75">
        <f>IF($C983="","",IFERROR(INDEX(CAT_TIPO,MATCH($C983,CAT_NOME,0)),"Sem categoria"))</f>
        <v/>
      </c>
      <c r="E983" s="75">
        <f>IF($C983="","",IFERROR(INDEX(CAT_GRUPO,MATCH($C983,CAT_NOME,0)),"Sem categoria"))</f>
        <v/>
      </c>
      <c r="F983" s="76" t="n"/>
      <c r="G983" s="74" t="n"/>
      <c r="H983" s="74" t="n"/>
      <c r="I983" s="74" t="n"/>
      <c r="J983" s="77" t="n"/>
      <c r="K983" s="77" t="n"/>
      <c r="L983" s="74" t="n"/>
      <c r="M983" s="74" t="n"/>
      <c r="O983" s="78">
        <f>IF($A983="","",YEAR($A983)*100+MONTH($A983))</f>
        <v/>
      </c>
      <c r="P983" s="79">
        <f>IF(OR($F983="",$D983=""),"",IF($D983="Receita",$F983,IF($D983="Transferência",0,-$F983)))</f>
        <v/>
      </c>
    </row>
    <row r="984">
      <c r="A984" s="73" t="n"/>
      <c r="B984" s="74" t="n"/>
      <c r="C984" s="74" t="n"/>
      <c r="D984" s="75">
        <f>IF($C984="","",IFERROR(INDEX(CAT_TIPO,MATCH($C984,CAT_NOME,0)),"Sem categoria"))</f>
        <v/>
      </c>
      <c r="E984" s="75">
        <f>IF($C984="","",IFERROR(INDEX(CAT_GRUPO,MATCH($C984,CAT_NOME,0)),"Sem categoria"))</f>
        <v/>
      </c>
      <c r="F984" s="76" t="n"/>
      <c r="G984" s="74" t="n"/>
      <c r="H984" s="74" t="n"/>
      <c r="I984" s="74" t="n"/>
      <c r="J984" s="77" t="n"/>
      <c r="K984" s="77" t="n"/>
      <c r="L984" s="74" t="n"/>
      <c r="M984" s="74" t="n"/>
      <c r="O984" s="78">
        <f>IF($A984="","",YEAR($A984)*100+MONTH($A984))</f>
        <v/>
      </c>
      <c r="P984" s="79">
        <f>IF(OR($F984="",$D984=""),"",IF($D984="Receita",$F984,IF($D984="Transferência",0,-$F984)))</f>
        <v/>
      </c>
    </row>
    <row r="985">
      <c r="A985" s="73" t="n"/>
      <c r="B985" s="74" t="n"/>
      <c r="C985" s="74" t="n"/>
      <c r="D985" s="75">
        <f>IF($C985="","",IFERROR(INDEX(CAT_TIPO,MATCH($C985,CAT_NOME,0)),"Sem categoria"))</f>
        <v/>
      </c>
      <c r="E985" s="75">
        <f>IF($C985="","",IFERROR(INDEX(CAT_GRUPO,MATCH($C985,CAT_NOME,0)),"Sem categoria"))</f>
        <v/>
      </c>
      <c r="F985" s="76" t="n"/>
      <c r="G985" s="74" t="n"/>
      <c r="H985" s="74" t="n"/>
      <c r="I985" s="74" t="n"/>
      <c r="J985" s="77" t="n"/>
      <c r="K985" s="77" t="n"/>
      <c r="L985" s="74" t="n"/>
      <c r="M985" s="74" t="n"/>
      <c r="O985" s="78">
        <f>IF($A985="","",YEAR($A985)*100+MONTH($A985))</f>
        <v/>
      </c>
      <c r="P985" s="79">
        <f>IF(OR($F985="",$D985=""),"",IF($D985="Receita",$F985,IF($D985="Transferência",0,-$F985)))</f>
        <v/>
      </c>
    </row>
    <row r="986">
      <c r="A986" s="73" t="n"/>
      <c r="B986" s="74" t="n"/>
      <c r="C986" s="74" t="n"/>
      <c r="D986" s="75">
        <f>IF($C986="","",IFERROR(INDEX(CAT_TIPO,MATCH($C986,CAT_NOME,0)),"Sem categoria"))</f>
        <v/>
      </c>
      <c r="E986" s="75">
        <f>IF($C986="","",IFERROR(INDEX(CAT_GRUPO,MATCH($C986,CAT_NOME,0)),"Sem categoria"))</f>
        <v/>
      </c>
      <c r="F986" s="76" t="n"/>
      <c r="G986" s="74" t="n"/>
      <c r="H986" s="74" t="n"/>
      <c r="I986" s="74" t="n"/>
      <c r="J986" s="77" t="n"/>
      <c r="K986" s="77" t="n"/>
      <c r="L986" s="74" t="n"/>
      <c r="M986" s="74" t="n"/>
      <c r="O986" s="78">
        <f>IF($A986="","",YEAR($A986)*100+MONTH($A986))</f>
        <v/>
      </c>
      <c r="P986" s="79">
        <f>IF(OR($F986="",$D986=""),"",IF($D986="Receita",$F986,IF($D986="Transferência",0,-$F986)))</f>
        <v/>
      </c>
    </row>
    <row r="987">
      <c r="A987" s="73" t="n"/>
      <c r="B987" s="74" t="n"/>
      <c r="C987" s="74" t="n"/>
      <c r="D987" s="75">
        <f>IF($C987="","",IFERROR(INDEX(CAT_TIPO,MATCH($C987,CAT_NOME,0)),"Sem categoria"))</f>
        <v/>
      </c>
      <c r="E987" s="75">
        <f>IF($C987="","",IFERROR(INDEX(CAT_GRUPO,MATCH($C987,CAT_NOME,0)),"Sem categoria"))</f>
        <v/>
      </c>
      <c r="F987" s="76" t="n"/>
      <c r="G987" s="74" t="n"/>
      <c r="H987" s="74" t="n"/>
      <c r="I987" s="74" t="n"/>
      <c r="J987" s="77" t="n"/>
      <c r="K987" s="77" t="n"/>
      <c r="L987" s="74" t="n"/>
      <c r="M987" s="74" t="n"/>
      <c r="O987" s="78">
        <f>IF($A987="","",YEAR($A987)*100+MONTH($A987))</f>
        <v/>
      </c>
      <c r="P987" s="79">
        <f>IF(OR($F987="",$D987=""),"",IF($D987="Receita",$F987,IF($D987="Transferência",0,-$F987)))</f>
        <v/>
      </c>
    </row>
    <row r="988">
      <c r="A988" s="73" t="n"/>
      <c r="B988" s="74" t="n"/>
      <c r="C988" s="74" t="n"/>
      <c r="D988" s="75">
        <f>IF($C988="","",IFERROR(INDEX(CAT_TIPO,MATCH($C988,CAT_NOME,0)),"Sem categoria"))</f>
        <v/>
      </c>
      <c r="E988" s="75">
        <f>IF($C988="","",IFERROR(INDEX(CAT_GRUPO,MATCH($C988,CAT_NOME,0)),"Sem categoria"))</f>
        <v/>
      </c>
      <c r="F988" s="76" t="n"/>
      <c r="G988" s="74" t="n"/>
      <c r="H988" s="74" t="n"/>
      <c r="I988" s="74" t="n"/>
      <c r="J988" s="77" t="n"/>
      <c r="K988" s="77" t="n"/>
      <c r="L988" s="74" t="n"/>
      <c r="M988" s="74" t="n"/>
      <c r="O988" s="78">
        <f>IF($A988="","",YEAR($A988)*100+MONTH($A988))</f>
        <v/>
      </c>
      <c r="P988" s="79">
        <f>IF(OR($F988="",$D988=""),"",IF($D988="Receita",$F988,IF($D988="Transferência",0,-$F988)))</f>
        <v/>
      </c>
    </row>
    <row r="989">
      <c r="A989" s="73" t="n"/>
      <c r="B989" s="74" t="n"/>
      <c r="C989" s="74" t="n"/>
      <c r="D989" s="75">
        <f>IF($C989="","",IFERROR(INDEX(CAT_TIPO,MATCH($C989,CAT_NOME,0)),"Sem categoria"))</f>
        <v/>
      </c>
      <c r="E989" s="75">
        <f>IF($C989="","",IFERROR(INDEX(CAT_GRUPO,MATCH($C989,CAT_NOME,0)),"Sem categoria"))</f>
        <v/>
      </c>
      <c r="F989" s="76" t="n"/>
      <c r="G989" s="74" t="n"/>
      <c r="H989" s="74" t="n"/>
      <c r="I989" s="74" t="n"/>
      <c r="J989" s="77" t="n"/>
      <c r="K989" s="77" t="n"/>
      <c r="L989" s="74" t="n"/>
      <c r="M989" s="74" t="n"/>
      <c r="O989" s="78">
        <f>IF($A989="","",YEAR($A989)*100+MONTH($A989))</f>
        <v/>
      </c>
      <c r="P989" s="79">
        <f>IF(OR($F989="",$D989=""),"",IF($D989="Receita",$F989,IF($D989="Transferência",0,-$F989)))</f>
        <v/>
      </c>
    </row>
    <row r="990">
      <c r="A990" s="73" t="n"/>
      <c r="B990" s="74" t="n"/>
      <c r="C990" s="74" t="n"/>
      <c r="D990" s="75">
        <f>IF($C990="","",IFERROR(INDEX(CAT_TIPO,MATCH($C990,CAT_NOME,0)),"Sem categoria"))</f>
        <v/>
      </c>
      <c r="E990" s="75">
        <f>IF($C990="","",IFERROR(INDEX(CAT_GRUPO,MATCH($C990,CAT_NOME,0)),"Sem categoria"))</f>
        <v/>
      </c>
      <c r="F990" s="76" t="n"/>
      <c r="G990" s="74" t="n"/>
      <c r="H990" s="74" t="n"/>
      <c r="I990" s="74" t="n"/>
      <c r="J990" s="77" t="n"/>
      <c r="K990" s="77" t="n"/>
      <c r="L990" s="74" t="n"/>
      <c r="M990" s="74" t="n"/>
      <c r="O990" s="78">
        <f>IF($A990="","",YEAR($A990)*100+MONTH($A990))</f>
        <v/>
      </c>
      <c r="P990" s="79">
        <f>IF(OR($F990="",$D990=""),"",IF($D990="Receita",$F990,IF($D990="Transferência",0,-$F990)))</f>
        <v/>
      </c>
    </row>
    <row r="991">
      <c r="A991" s="73" t="n"/>
      <c r="B991" s="74" t="n"/>
      <c r="C991" s="74" t="n"/>
      <c r="D991" s="75">
        <f>IF($C991="","",IFERROR(INDEX(CAT_TIPO,MATCH($C991,CAT_NOME,0)),"Sem categoria"))</f>
        <v/>
      </c>
      <c r="E991" s="75">
        <f>IF($C991="","",IFERROR(INDEX(CAT_GRUPO,MATCH($C991,CAT_NOME,0)),"Sem categoria"))</f>
        <v/>
      </c>
      <c r="F991" s="76" t="n"/>
      <c r="G991" s="74" t="n"/>
      <c r="H991" s="74" t="n"/>
      <c r="I991" s="74" t="n"/>
      <c r="J991" s="77" t="n"/>
      <c r="K991" s="77" t="n"/>
      <c r="L991" s="74" t="n"/>
      <c r="M991" s="74" t="n"/>
      <c r="O991" s="78">
        <f>IF($A991="","",YEAR($A991)*100+MONTH($A991))</f>
        <v/>
      </c>
      <c r="P991" s="79">
        <f>IF(OR($F991="",$D991=""),"",IF($D991="Receita",$F991,IF($D991="Transferência",0,-$F991)))</f>
        <v/>
      </c>
    </row>
    <row r="992">
      <c r="A992" s="73" t="n"/>
      <c r="B992" s="74" t="n"/>
      <c r="C992" s="74" t="n"/>
      <c r="D992" s="75">
        <f>IF($C992="","",IFERROR(INDEX(CAT_TIPO,MATCH($C992,CAT_NOME,0)),"Sem categoria"))</f>
        <v/>
      </c>
      <c r="E992" s="75">
        <f>IF($C992="","",IFERROR(INDEX(CAT_GRUPO,MATCH($C992,CAT_NOME,0)),"Sem categoria"))</f>
        <v/>
      </c>
      <c r="F992" s="76" t="n"/>
      <c r="G992" s="74" t="n"/>
      <c r="H992" s="74" t="n"/>
      <c r="I992" s="74" t="n"/>
      <c r="J992" s="77" t="n"/>
      <c r="K992" s="77" t="n"/>
      <c r="L992" s="74" t="n"/>
      <c r="M992" s="74" t="n"/>
      <c r="O992" s="78">
        <f>IF($A992="","",YEAR($A992)*100+MONTH($A992))</f>
        <v/>
      </c>
      <c r="P992" s="79">
        <f>IF(OR($F992="",$D992=""),"",IF($D992="Receita",$F992,IF($D992="Transferência",0,-$F992)))</f>
        <v/>
      </c>
    </row>
    <row r="993">
      <c r="A993" s="73" t="n"/>
      <c r="B993" s="74" t="n"/>
      <c r="C993" s="74" t="n"/>
      <c r="D993" s="75">
        <f>IF($C993="","",IFERROR(INDEX(CAT_TIPO,MATCH($C993,CAT_NOME,0)),"Sem categoria"))</f>
        <v/>
      </c>
      <c r="E993" s="75">
        <f>IF($C993="","",IFERROR(INDEX(CAT_GRUPO,MATCH($C993,CAT_NOME,0)),"Sem categoria"))</f>
        <v/>
      </c>
      <c r="F993" s="76" t="n"/>
      <c r="G993" s="74" t="n"/>
      <c r="H993" s="74" t="n"/>
      <c r="I993" s="74" t="n"/>
      <c r="J993" s="77" t="n"/>
      <c r="K993" s="77" t="n"/>
      <c r="L993" s="74" t="n"/>
      <c r="M993" s="74" t="n"/>
      <c r="O993" s="78">
        <f>IF($A993="","",YEAR($A993)*100+MONTH($A993))</f>
        <v/>
      </c>
      <c r="P993" s="79">
        <f>IF(OR($F993="",$D993=""),"",IF($D993="Receita",$F993,IF($D993="Transferência",0,-$F993)))</f>
        <v/>
      </c>
    </row>
    <row r="994">
      <c r="A994" s="73" t="n"/>
      <c r="B994" s="74" t="n"/>
      <c r="C994" s="74" t="n"/>
      <c r="D994" s="75">
        <f>IF($C994="","",IFERROR(INDEX(CAT_TIPO,MATCH($C994,CAT_NOME,0)),"Sem categoria"))</f>
        <v/>
      </c>
      <c r="E994" s="75">
        <f>IF($C994="","",IFERROR(INDEX(CAT_GRUPO,MATCH($C994,CAT_NOME,0)),"Sem categoria"))</f>
        <v/>
      </c>
      <c r="F994" s="76" t="n"/>
      <c r="G994" s="74" t="n"/>
      <c r="H994" s="74" t="n"/>
      <c r="I994" s="74" t="n"/>
      <c r="J994" s="77" t="n"/>
      <c r="K994" s="77" t="n"/>
      <c r="L994" s="74" t="n"/>
      <c r="M994" s="74" t="n"/>
      <c r="O994" s="78">
        <f>IF($A994="","",YEAR($A994)*100+MONTH($A994))</f>
        <v/>
      </c>
      <c r="P994" s="79">
        <f>IF(OR($F994="",$D994=""),"",IF($D994="Receita",$F994,IF($D994="Transferência",0,-$F994)))</f>
        <v/>
      </c>
    </row>
    <row r="995">
      <c r="A995" s="73" t="n"/>
      <c r="B995" s="74" t="n"/>
      <c r="C995" s="74" t="n"/>
      <c r="D995" s="75">
        <f>IF($C995="","",IFERROR(INDEX(CAT_TIPO,MATCH($C995,CAT_NOME,0)),"Sem categoria"))</f>
        <v/>
      </c>
      <c r="E995" s="75">
        <f>IF($C995="","",IFERROR(INDEX(CAT_GRUPO,MATCH($C995,CAT_NOME,0)),"Sem categoria"))</f>
        <v/>
      </c>
      <c r="F995" s="76" t="n"/>
      <c r="G995" s="74" t="n"/>
      <c r="H995" s="74" t="n"/>
      <c r="I995" s="74" t="n"/>
      <c r="J995" s="77" t="n"/>
      <c r="K995" s="77" t="n"/>
      <c r="L995" s="74" t="n"/>
      <c r="M995" s="74" t="n"/>
      <c r="O995" s="78">
        <f>IF($A995="","",YEAR($A995)*100+MONTH($A995))</f>
        <v/>
      </c>
      <c r="P995" s="79">
        <f>IF(OR($F995="",$D995=""),"",IF($D995="Receita",$F995,IF($D995="Transferência",0,-$F995)))</f>
        <v/>
      </c>
    </row>
    <row r="996">
      <c r="A996" s="73" t="n"/>
      <c r="B996" s="74" t="n"/>
      <c r="C996" s="74" t="n"/>
      <c r="D996" s="75">
        <f>IF($C996="","",IFERROR(INDEX(CAT_TIPO,MATCH($C996,CAT_NOME,0)),"Sem categoria"))</f>
        <v/>
      </c>
      <c r="E996" s="75">
        <f>IF($C996="","",IFERROR(INDEX(CAT_GRUPO,MATCH($C996,CAT_NOME,0)),"Sem categoria"))</f>
        <v/>
      </c>
      <c r="F996" s="76" t="n"/>
      <c r="G996" s="74" t="n"/>
      <c r="H996" s="74" t="n"/>
      <c r="I996" s="74" t="n"/>
      <c r="J996" s="77" t="n"/>
      <c r="K996" s="77" t="n"/>
      <c r="L996" s="74" t="n"/>
      <c r="M996" s="74" t="n"/>
      <c r="O996" s="78">
        <f>IF($A996="","",YEAR($A996)*100+MONTH($A996))</f>
        <v/>
      </c>
      <c r="P996" s="79">
        <f>IF(OR($F996="",$D996=""),"",IF($D996="Receita",$F996,IF($D996="Transferência",0,-$F996)))</f>
        <v/>
      </c>
    </row>
    <row r="997">
      <c r="A997" s="73" t="n"/>
      <c r="B997" s="74" t="n"/>
      <c r="C997" s="74" t="n"/>
      <c r="D997" s="75">
        <f>IF($C997="","",IFERROR(INDEX(CAT_TIPO,MATCH($C997,CAT_NOME,0)),"Sem categoria"))</f>
        <v/>
      </c>
      <c r="E997" s="75">
        <f>IF($C997="","",IFERROR(INDEX(CAT_GRUPO,MATCH($C997,CAT_NOME,0)),"Sem categoria"))</f>
        <v/>
      </c>
      <c r="F997" s="76" t="n"/>
      <c r="G997" s="74" t="n"/>
      <c r="H997" s="74" t="n"/>
      <c r="I997" s="74" t="n"/>
      <c r="J997" s="77" t="n"/>
      <c r="K997" s="77" t="n"/>
      <c r="L997" s="74" t="n"/>
      <c r="M997" s="74" t="n"/>
      <c r="O997" s="78">
        <f>IF($A997="","",YEAR($A997)*100+MONTH($A997))</f>
        <v/>
      </c>
      <c r="P997" s="79">
        <f>IF(OR($F997="",$D997=""),"",IF($D997="Receita",$F997,IF($D997="Transferência",0,-$F997)))</f>
        <v/>
      </c>
    </row>
    <row r="998">
      <c r="A998" s="73" t="n"/>
      <c r="B998" s="74" t="n"/>
      <c r="C998" s="74" t="n"/>
      <c r="D998" s="75">
        <f>IF($C998="","",IFERROR(INDEX(CAT_TIPO,MATCH($C998,CAT_NOME,0)),"Sem categoria"))</f>
        <v/>
      </c>
      <c r="E998" s="75">
        <f>IF($C998="","",IFERROR(INDEX(CAT_GRUPO,MATCH($C998,CAT_NOME,0)),"Sem categoria"))</f>
        <v/>
      </c>
      <c r="F998" s="76" t="n"/>
      <c r="G998" s="74" t="n"/>
      <c r="H998" s="74" t="n"/>
      <c r="I998" s="74" t="n"/>
      <c r="J998" s="77" t="n"/>
      <c r="K998" s="77" t="n"/>
      <c r="L998" s="74" t="n"/>
      <c r="M998" s="74" t="n"/>
      <c r="O998" s="78">
        <f>IF($A998="","",YEAR($A998)*100+MONTH($A998))</f>
        <v/>
      </c>
      <c r="P998" s="79">
        <f>IF(OR($F998="",$D998=""),"",IF($D998="Receita",$F998,IF($D998="Transferência",0,-$F998)))</f>
        <v/>
      </c>
    </row>
    <row r="999">
      <c r="A999" s="73" t="n"/>
      <c r="B999" s="74" t="n"/>
      <c r="C999" s="74" t="n"/>
      <c r="D999" s="75">
        <f>IF($C999="","",IFERROR(INDEX(CAT_TIPO,MATCH($C999,CAT_NOME,0)),"Sem categoria"))</f>
        <v/>
      </c>
      <c r="E999" s="75">
        <f>IF($C999="","",IFERROR(INDEX(CAT_GRUPO,MATCH($C999,CAT_NOME,0)),"Sem categoria"))</f>
        <v/>
      </c>
      <c r="F999" s="76" t="n"/>
      <c r="G999" s="74" t="n"/>
      <c r="H999" s="74" t="n"/>
      <c r="I999" s="74" t="n"/>
      <c r="J999" s="77" t="n"/>
      <c r="K999" s="77" t="n"/>
      <c r="L999" s="74" t="n"/>
      <c r="M999" s="74" t="n"/>
      <c r="O999" s="78">
        <f>IF($A999="","",YEAR($A999)*100+MONTH($A999))</f>
        <v/>
      </c>
      <c r="P999" s="79">
        <f>IF(OR($F999="",$D999=""),"",IF($D999="Receita",$F999,IF($D999="Transferência",0,-$F999)))</f>
        <v/>
      </c>
    </row>
    <row r="1000">
      <c r="A1000" s="73" t="n"/>
      <c r="B1000" s="74" t="n"/>
      <c r="C1000" s="74" t="n"/>
      <c r="D1000" s="75">
        <f>IF($C1000="","",IFERROR(INDEX(CAT_TIPO,MATCH($C1000,CAT_NOME,0)),"Sem categoria"))</f>
        <v/>
      </c>
      <c r="E1000" s="75">
        <f>IF($C1000="","",IFERROR(INDEX(CAT_GRUPO,MATCH($C1000,CAT_NOME,0)),"Sem categoria"))</f>
        <v/>
      </c>
      <c r="F1000" s="76" t="n"/>
      <c r="G1000" s="74" t="n"/>
      <c r="H1000" s="74" t="n"/>
      <c r="I1000" s="74" t="n"/>
      <c r="J1000" s="77" t="n"/>
      <c r="K1000" s="77" t="n"/>
      <c r="L1000" s="74" t="n"/>
      <c r="M1000" s="74" t="n"/>
      <c r="O1000" s="78">
        <f>IF($A1000="","",YEAR($A1000)*100+MONTH($A1000))</f>
        <v/>
      </c>
      <c r="P1000" s="79">
        <f>IF(OR($F1000="",$D1000=""),"",IF($D1000="Receita",$F1000,IF($D1000="Transferência",0,-$F1000)))</f>
        <v/>
      </c>
    </row>
    <row r="1001">
      <c r="A1001" s="73" t="n"/>
      <c r="B1001" s="74" t="n"/>
      <c r="C1001" s="74" t="n"/>
      <c r="D1001" s="75">
        <f>IF($C1001="","",IFERROR(INDEX(CAT_TIPO,MATCH($C1001,CAT_NOME,0)),"Sem categoria"))</f>
        <v/>
      </c>
      <c r="E1001" s="75">
        <f>IF($C1001="","",IFERROR(INDEX(CAT_GRUPO,MATCH($C1001,CAT_NOME,0)),"Sem categoria"))</f>
        <v/>
      </c>
      <c r="F1001" s="76" t="n"/>
      <c r="G1001" s="74" t="n"/>
      <c r="H1001" s="74" t="n"/>
      <c r="I1001" s="74" t="n"/>
      <c r="J1001" s="77" t="n"/>
      <c r="K1001" s="77" t="n"/>
      <c r="L1001" s="74" t="n"/>
      <c r="M1001" s="74" t="n"/>
      <c r="O1001" s="78">
        <f>IF($A1001="","",YEAR($A1001)*100+MONTH($A1001))</f>
        <v/>
      </c>
      <c r="P1001" s="79">
        <f>IF(OR($F1001="",$D1001=""),"",IF($D1001="Receita",$F1001,IF($D1001="Transferência",0,-$F1001)))</f>
        <v/>
      </c>
    </row>
    <row r="1002">
      <c r="A1002" s="73" t="n"/>
      <c r="B1002" s="74" t="n"/>
      <c r="C1002" s="74" t="n"/>
      <c r="D1002" s="75">
        <f>IF($C1002="","",IFERROR(INDEX(CAT_TIPO,MATCH($C1002,CAT_NOME,0)),"Sem categoria"))</f>
        <v/>
      </c>
      <c r="E1002" s="75">
        <f>IF($C1002="","",IFERROR(INDEX(CAT_GRUPO,MATCH($C1002,CAT_NOME,0)),"Sem categoria"))</f>
        <v/>
      </c>
      <c r="F1002" s="76" t="n"/>
      <c r="G1002" s="74" t="n"/>
      <c r="H1002" s="74" t="n"/>
      <c r="I1002" s="74" t="n"/>
      <c r="J1002" s="77" t="n"/>
      <c r="K1002" s="77" t="n"/>
      <c r="L1002" s="74" t="n"/>
      <c r="M1002" s="74" t="n"/>
      <c r="O1002" s="78">
        <f>IF($A1002="","",YEAR($A1002)*100+MONTH($A1002))</f>
        <v/>
      </c>
      <c r="P1002" s="79">
        <f>IF(OR($F1002="",$D1002=""),"",IF($D1002="Receita",$F1002,IF($D1002="Transferência",0,-$F1002)))</f>
        <v/>
      </c>
    </row>
    <row r="1003">
      <c r="A1003" s="73" t="n"/>
      <c r="B1003" s="74" t="n"/>
      <c r="C1003" s="74" t="n"/>
      <c r="D1003" s="75">
        <f>IF($C1003="","",IFERROR(INDEX(CAT_TIPO,MATCH($C1003,CAT_NOME,0)),"Sem categoria"))</f>
        <v/>
      </c>
      <c r="E1003" s="75">
        <f>IF($C1003="","",IFERROR(INDEX(CAT_GRUPO,MATCH($C1003,CAT_NOME,0)),"Sem categoria"))</f>
        <v/>
      </c>
      <c r="F1003" s="76" t="n"/>
      <c r="G1003" s="74" t="n"/>
      <c r="H1003" s="74" t="n"/>
      <c r="I1003" s="74" t="n"/>
      <c r="J1003" s="77" t="n"/>
      <c r="K1003" s="77" t="n"/>
      <c r="L1003" s="74" t="n"/>
      <c r="M1003" s="74" t="n"/>
      <c r="O1003" s="78">
        <f>IF($A1003="","",YEAR($A1003)*100+MONTH($A1003))</f>
        <v/>
      </c>
      <c r="P1003" s="79">
        <f>IF(OR($F1003="",$D1003=""),"",IF($D1003="Receita",$F1003,IF($D1003="Transferência",0,-$F1003)))</f>
        <v/>
      </c>
    </row>
    <row r="1004">
      <c r="A1004" s="73" t="n"/>
      <c r="B1004" s="74" t="n"/>
      <c r="C1004" s="74" t="n"/>
      <c r="D1004" s="75">
        <f>IF($C1004="","",IFERROR(INDEX(CAT_TIPO,MATCH($C1004,CAT_NOME,0)),"Sem categoria"))</f>
        <v/>
      </c>
      <c r="E1004" s="75">
        <f>IF($C1004="","",IFERROR(INDEX(CAT_GRUPO,MATCH($C1004,CAT_NOME,0)),"Sem categoria"))</f>
        <v/>
      </c>
      <c r="F1004" s="76" t="n"/>
      <c r="G1004" s="74" t="n"/>
      <c r="H1004" s="74" t="n"/>
      <c r="I1004" s="74" t="n"/>
      <c r="J1004" s="77" t="n"/>
      <c r="K1004" s="77" t="n"/>
      <c r="L1004" s="74" t="n"/>
      <c r="M1004" s="74" t="n"/>
      <c r="O1004" s="78">
        <f>IF($A1004="","",YEAR($A1004)*100+MONTH($A1004))</f>
        <v/>
      </c>
      <c r="P1004" s="79">
        <f>IF(OR($F1004="",$D1004=""),"",IF($D1004="Receita",$F1004,IF($D1004="Transferência",0,-$F1004)))</f>
        <v/>
      </c>
    </row>
    <row r="1005">
      <c r="A1005" s="73" t="n"/>
      <c r="B1005" s="74" t="n"/>
      <c r="C1005" s="74" t="n"/>
      <c r="D1005" s="75">
        <f>IF($C1005="","",IFERROR(INDEX(CAT_TIPO,MATCH($C1005,CAT_NOME,0)),"Sem categoria"))</f>
        <v/>
      </c>
      <c r="E1005" s="75">
        <f>IF($C1005="","",IFERROR(INDEX(CAT_GRUPO,MATCH($C1005,CAT_NOME,0)),"Sem categoria"))</f>
        <v/>
      </c>
      <c r="F1005" s="76" t="n"/>
      <c r="G1005" s="74" t="n"/>
      <c r="H1005" s="74" t="n"/>
      <c r="I1005" s="74" t="n"/>
      <c r="J1005" s="77" t="n"/>
      <c r="K1005" s="77" t="n"/>
      <c r="L1005" s="74" t="n"/>
      <c r="M1005" s="74" t="n"/>
      <c r="O1005" s="78">
        <f>IF($A1005="","",YEAR($A1005)*100+MONTH($A1005))</f>
        <v/>
      </c>
      <c r="P1005" s="79">
        <f>IF(OR($F1005="",$D1005=""),"",IF($D1005="Receita",$F1005,IF($D1005="Transferência",0,-$F1005)))</f>
        <v/>
      </c>
    </row>
    <row r="1006">
      <c r="A1006" s="73" t="n"/>
      <c r="B1006" s="74" t="n"/>
      <c r="C1006" s="74" t="n"/>
      <c r="D1006" s="75">
        <f>IF($C1006="","",IFERROR(INDEX(CAT_TIPO,MATCH($C1006,CAT_NOME,0)),"Sem categoria"))</f>
        <v/>
      </c>
      <c r="E1006" s="75">
        <f>IF($C1006="","",IFERROR(INDEX(CAT_GRUPO,MATCH($C1006,CAT_NOME,0)),"Sem categoria"))</f>
        <v/>
      </c>
      <c r="F1006" s="76" t="n"/>
      <c r="G1006" s="74" t="n"/>
      <c r="H1006" s="74" t="n"/>
      <c r="I1006" s="74" t="n"/>
      <c r="J1006" s="77" t="n"/>
      <c r="K1006" s="77" t="n"/>
      <c r="L1006" s="74" t="n"/>
      <c r="M1006" s="74" t="n"/>
      <c r="O1006" s="78">
        <f>IF($A1006="","",YEAR($A1006)*100+MONTH($A1006))</f>
        <v/>
      </c>
      <c r="P1006" s="79">
        <f>IF(OR($F1006="",$D1006=""),"",IF($D1006="Receita",$F1006,IF($D1006="Transferência",0,-$F1006)))</f>
        <v/>
      </c>
    </row>
    <row r="1007">
      <c r="A1007" s="73" t="n"/>
      <c r="B1007" s="74" t="n"/>
      <c r="C1007" s="74" t="n"/>
      <c r="D1007" s="75">
        <f>IF($C1007="","",IFERROR(INDEX(CAT_TIPO,MATCH($C1007,CAT_NOME,0)),"Sem categoria"))</f>
        <v/>
      </c>
      <c r="E1007" s="75">
        <f>IF($C1007="","",IFERROR(INDEX(CAT_GRUPO,MATCH($C1007,CAT_NOME,0)),"Sem categoria"))</f>
        <v/>
      </c>
      <c r="F1007" s="76" t="n"/>
      <c r="G1007" s="74" t="n"/>
      <c r="H1007" s="74" t="n"/>
      <c r="I1007" s="74" t="n"/>
      <c r="J1007" s="77" t="n"/>
      <c r="K1007" s="77" t="n"/>
      <c r="L1007" s="74" t="n"/>
      <c r="M1007" s="74" t="n"/>
      <c r="O1007" s="78">
        <f>IF($A1007="","",YEAR($A1007)*100+MONTH($A1007))</f>
        <v/>
      </c>
      <c r="P1007" s="79">
        <f>IF(OR($F1007="",$D1007=""),"",IF($D1007="Receita",$F1007,IF($D1007="Transferência",0,-$F1007)))</f>
        <v/>
      </c>
    </row>
    <row r="1008">
      <c r="A1008" s="73" t="n"/>
      <c r="B1008" s="74" t="n"/>
      <c r="C1008" s="74" t="n"/>
      <c r="D1008" s="75">
        <f>IF($C1008="","",IFERROR(INDEX(CAT_TIPO,MATCH($C1008,CAT_NOME,0)),"Sem categoria"))</f>
        <v/>
      </c>
      <c r="E1008" s="75">
        <f>IF($C1008="","",IFERROR(INDEX(CAT_GRUPO,MATCH($C1008,CAT_NOME,0)),"Sem categoria"))</f>
        <v/>
      </c>
      <c r="F1008" s="76" t="n"/>
      <c r="G1008" s="74" t="n"/>
      <c r="H1008" s="74" t="n"/>
      <c r="I1008" s="74" t="n"/>
      <c r="J1008" s="77" t="n"/>
      <c r="K1008" s="77" t="n"/>
      <c r="L1008" s="74" t="n"/>
      <c r="M1008" s="74" t="n"/>
      <c r="O1008" s="78">
        <f>IF($A1008="","",YEAR($A1008)*100+MONTH($A1008))</f>
        <v/>
      </c>
      <c r="P1008" s="79">
        <f>IF(OR($F1008="",$D1008=""),"",IF($D1008="Receita",$F1008,IF($D1008="Transferência",0,-$F1008)))</f>
        <v/>
      </c>
    </row>
    <row r="1009">
      <c r="A1009" s="73" t="n"/>
      <c r="B1009" s="74" t="n"/>
      <c r="C1009" s="74" t="n"/>
      <c r="D1009" s="75">
        <f>IF($C1009="","",IFERROR(INDEX(CAT_TIPO,MATCH($C1009,CAT_NOME,0)),"Sem categoria"))</f>
        <v/>
      </c>
      <c r="E1009" s="75">
        <f>IF($C1009="","",IFERROR(INDEX(CAT_GRUPO,MATCH($C1009,CAT_NOME,0)),"Sem categoria"))</f>
        <v/>
      </c>
      <c r="F1009" s="76" t="n"/>
      <c r="G1009" s="74" t="n"/>
      <c r="H1009" s="74" t="n"/>
      <c r="I1009" s="74" t="n"/>
      <c r="J1009" s="77" t="n"/>
      <c r="K1009" s="77" t="n"/>
      <c r="L1009" s="74" t="n"/>
      <c r="M1009" s="74" t="n"/>
      <c r="O1009" s="78">
        <f>IF($A1009="","",YEAR($A1009)*100+MONTH($A1009))</f>
        <v/>
      </c>
      <c r="P1009" s="79">
        <f>IF(OR($F1009="",$D1009=""),"",IF($D1009="Receita",$F1009,IF($D1009="Transferência",0,-$F1009)))</f>
        <v/>
      </c>
    </row>
    <row r="1010">
      <c r="A1010" s="73" t="n"/>
      <c r="B1010" s="74" t="n"/>
      <c r="C1010" s="74" t="n"/>
      <c r="D1010" s="75">
        <f>IF($C1010="","",IFERROR(INDEX(CAT_TIPO,MATCH($C1010,CAT_NOME,0)),"Sem categoria"))</f>
        <v/>
      </c>
      <c r="E1010" s="75">
        <f>IF($C1010="","",IFERROR(INDEX(CAT_GRUPO,MATCH($C1010,CAT_NOME,0)),"Sem categoria"))</f>
        <v/>
      </c>
      <c r="F1010" s="76" t="n"/>
      <c r="G1010" s="74" t="n"/>
      <c r="H1010" s="74" t="n"/>
      <c r="I1010" s="74" t="n"/>
      <c r="J1010" s="77" t="n"/>
      <c r="K1010" s="77" t="n"/>
      <c r="L1010" s="74" t="n"/>
      <c r="M1010" s="74" t="n"/>
      <c r="O1010" s="78">
        <f>IF($A1010="","",YEAR($A1010)*100+MONTH($A1010))</f>
        <v/>
      </c>
      <c r="P1010" s="79">
        <f>IF(OR($F1010="",$D1010=""),"",IF($D1010="Receita",$F1010,IF($D1010="Transferência",0,-$F1010)))</f>
        <v/>
      </c>
    </row>
    <row r="1011">
      <c r="A1011" s="73" t="n"/>
      <c r="B1011" s="74" t="n"/>
      <c r="C1011" s="74" t="n"/>
      <c r="D1011" s="75">
        <f>IF($C1011="","",IFERROR(INDEX(CAT_TIPO,MATCH($C1011,CAT_NOME,0)),"Sem categoria"))</f>
        <v/>
      </c>
      <c r="E1011" s="75">
        <f>IF($C1011="","",IFERROR(INDEX(CAT_GRUPO,MATCH($C1011,CAT_NOME,0)),"Sem categoria"))</f>
        <v/>
      </c>
      <c r="F1011" s="76" t="n"/>
      <c r="G1011" s="74" t="n"/>
      <c r="H1011" s="74" t="n"/>
      <c r="I1011" s="74" t="n"/>
      <c r="J1011" s="77" t="n"/>
      <c r="K1011" s="77" t="n"/>
      <c r="L1011" s="74" t="n"/>
      <c r="M1011" s="74" t="n"/>
      <c r="O1011" s="78">
        <f>IF($A1011="","",YEAR($A1011)*100+MONTH($A1011))</f>
        <v/>
      </c>
      <c r="P1011" s="79">
        <f>IF(OR($F1011="",$D1011=""),"",IF($D1011="Receita",$F1011,IF($D1011="Transferência",0,-$F1011)))</f>
        <v/>
      </c>
    </row>
    <row r="1012">
      <c r="A1012" s="73" t="n"/>
      <c r="B1012" s="74" t="n"/>
      <c r="C1012" s="74" t="n"/>
      <c r="D1012" s="75">
        <f>IF($C1012="","",IFERROR(INDEX(CAT_TIPO,MATCH($C1012,CAT_NOME,0)),"Sem categoria"))</f>
        <v/>
      </c>
      <c r="E1012" s="75">
        <f>IF($C1012="","",IFERROR(INDEX(CAT_GRUPO,MATCH($C1012,CAT_NOME,0)),"Sem categoria"))</f>
        <v/>
      </c>
      <c r="F1012" s="76" t="n"/>
      <c r="G1012" s="74" t="n"/>
      <c r="H1012" s="74" t="n"/>
      <c r="I1012" s="74" t="n"/>
      <c r="J1012" s="77" t="n"/>
      <c r="K1012" s="77" t="n"/>
      <c r="L1012" s="74" t="n"/>
      <c r="M1012" s="74" t="n"/>
      <c r="O1012" s="78">
        <f>IF($A1012="","",YEAR($A1012)*100+MONTH($A1012))</f>
        <v/>
      </c>
      <c r="P1012" s="79">
        <f>IF(OR($F1012="",$D1012=""),"",IF($D1012="Receita",$F1012,IF($D1012="Transferência",0,-$F1012)))</f>
        <v/>
      </c>
    </row>
    <row r="1013">
      <c r="A1013" s="73" t="n"/>
      <c r="B1013" s="74" t="n"/>
      <c r="C1013" s="74" t="n"/>
      <c r="D1013" s="75">
        <f>IF($C1013="","",IFERROR(INDEX(CAT_TIPO,MATCH($C1013,CAT_NOME,0)),"Sem categoria"))</f>
        <v/>
      </c>
      <c r="E1013" s="75">
        <f>IF($C1013="","",IFERROR(INDEX(CAT_GRUPO,MATCH($C1013,CAT_NOME,0)),"Sem categoria"))</f>
        <v/>
      </c>
      <c r="F1013" s="76" t="n"/>
      <c r="G1013" s="74" t="n"/>
      <c r="H1013" s="74" t="n"/>
      <c r="I1013" s="74" t="n"/>
      <c r="J1013" s="77" t="n"/>
      <c r="K1013" s="77" t="n"/>
      <c r="L1013" s="74" t="n"/>
      <c r="M1013" s="74" t="n"/>
      <c r="O1013" s="78">
        <f>IF($A1013="","",YEAR($A1013)*100+MONTH($A1013))</f>
        <v/>
      </c>
      <c r="P1013" s="79">
        <f>IF(OR($F1013="",$D1013=""),"",IF($D1013="Receita",$F1013,IF($D1013="Transferência",0,-$F1013)))</f>
        <v/>
      </c>
    </row>
    <row r="1014">
      <c r="A1014" s="73" t="n"/>
      <c r="B1014" s="74" t="n"/>
      <c r="C1014" s="74" t="n"/>
      <c r="D1014" s="75">
        <f>IF($C1014="","",IFERROR(INDEX(CAT_TIPO,MATCH($C1014,CAT_NOME,0)),"Sem categoria"))</f>
        <v/>
      </c>
      <c r="E1014" s="75">
        <f>IF($C1014="","",IFERROR(INDEX(CAT_GRUPO,MATCH($C1014,CAT_NOME,0)),"Sem categoria"))</f>
        <v/>
      </c>
      <c r="F1014" s="76" t="n"/>
      <c r="G1014" s="74" t="n"/>
      <c r="H1014" s="74" t="n"/>
      <c r="I1014" s="74" t="n"/>
      <c r="J1014" s="77" t="n"/>
      <c r="K1014" s="77" t="n"/>
      <c r="L1014" s="74" t="n"/>
      <c r="M1014" s="74" t="n"/>
      <c r="O1014" s="78">
        <f>IF($A1014="","",YEAR($A1014)*100+MONTH($A1014))</f>
        <v/>
      </c>
      <c r="P1014" s="79">
        <f>IF(OR($F1014="",$D1014=""),"",IF($D1014="Receita",$F1014,IF($D1014="Transferência",0,-$F1014)))</f>
        <v/>
      </c>
    </row>
    <row r="1015">
      <c r="A1015" s="73" t="n"/>
      <c r="B1015" s="74" t="n"/>
      <c r="C1015" s="74" t="n"/>
      <c r="D1015" s="75">
        <f>IF($C1015="","",IFERROR(INDEX(CAT_TIPO,MATCH($C1015,CAT_NOME,0)),"Sem categoria"))</f>
        <v/>
      </c>
      <c r="E1015" s="75">
        <f>IF($C1015="","",IFERROR(INDEX(CAT_GRUPO,MATCH($C1015,CAT_NOME,0)),"Sem categoria"))</f>
        <v/>
      </c>
      <c r="F1015" s="76" t="n"/>
      <c r="G1015" s="74" t="n"/>
      <c r="H1015" s="74" t="n"/>
      <c r="I1015" s="74" t="n"/>
      <c r="J1015" s="77" t="n"/>
      <c r="K1015" s="77" t="n"/>
      <c r="L1015" s="74" t="n"/>
      <c r="M1015" s="74" t="n"/>
      <c r="O1015" s="78">
        <f>IF($A1015="","",YEAR($A1015)*100+MONTH($A1015))</f>
        <v/>
      </c>
      <c r="P1015" s="79">
        <f>IF(OR($F1015="",$D1015=""),"",IF($D1015="Receita",$F1015,IF($D1015="Transferência",0,-$F1015)))</f>
        <v/>
      </c>
    </row>
    <row r="1016">
      <c r="A1016" s="73" t="n"/>
      <c r="B1016" s="74" t="n"/>
      <c r="C1016" s="74" t="n"/>
      <c r="D1016" s="75">
        <f>IF($C1016="","",IFERROR(INDEX(CAT_TIPO,MATCH($C1016,CAT_NOME,0)),"Sem categoria"))</f>
        <v/>
      </c>
      <c r="E1016" s="75">
        <f>IF($C1016="","",IFERROR(INDEX(CAT_GRUPO,MATCH($C1016,CAT_NOME,0)),"Sem categoria"))</f>
        <v/>
      </c>
      <c r="F1016" s="76" t="n"/>
      <c r="G1016" s="74" t="n"/>
      <c r="H1016" s="74" t="n"/>
      <c r="I1016" s="74" t="n"/>
      <c r="J1016" s="77" t="n"/>
      <c r="K1016" s="77" t="n"/>
      <c r="L1016" s="74" t="n"/>
      <c r="M1016" s="74" t="n"/>
      <c r="O1016" s="78">
        <f>IF($A1016="","",YEAR($A1016)*100+MONTH($A1016))</f>
        <v/>
      </c>
      <c r="P1016" s="79">
        <f>IF(OR($F1016="",$D1016=""),"",IF($D1016="Receita",$F1016,IF($D1016="Transferência",0,-$F1016)))</f>
        <v/>
      </c>
    </row>
    <row r="1017">
      <c r="A1017" s="73" t="n"/>
      <c r="B1017" s="74" t="n"/>
      <c r="C1017" s="74" t="n"/>
      <c r="D1017" s="75">
        <f>IF($C1017="","",IFERROR(INDEX(CAT_TIPO,MATCH($C1017,CAT_NOME,0)),"Sem categoria"))</f>
        <v/>
      </c>
      <c r="E1017" s="75">
        <f>IF($C1017="","",IFERROR(INDEX(CAT_GRUPO,MATCH($C1017,CAT_NOME,0)),"Sem categoria"))</f>
        <v/>
      </c>
      <c r="F1017" s="76" t="n"/>
      <c r="G1017" s="74" t="n"/>
      <c r="H1017" s="74" t="n"/>
      <c r="I1017" s="74" t="n"/>
      <c r="J1017" s="77" t="n"/>
      <c r="K1017" s="77" t="n"/>
      <c r="L1017" s="74" t="n"/>
      <c r="M1017" s="74" t="n"/>
      <c r="O1017" s="78">
        <f>IF($A1017="","",YEAR($A1017)*100+MONTH($A1017))</f>
        <v/>
      </c>
      <c r="P1017" s="79">
        <f>IF(OR($F1017="",$D1017=""),"",IF($D1017="Receita",$F1017,IF($D1017="Transferência",0,-$F1017)))</f>
        <v/>
      </c>
    </row>
    <row r="1018">
      <c r="A1018" s="73" t="n"/>
      <c r="B1018" s="74" t="n"/>
      <c r="C1018" s="74" t="n"/>
      <c r="D1018" s="75">
        <f>IF($C1018="","",IFERROR(INDEX(CAT_TIPO,MATCH($C1018,CAT_NOME,0)),"Sem categoria"))</f>
        <v/>
      </c>
      <c r="E1018" s="75">
        <f>IF($C1018="","",IFERROR(INDEX(CAT_GRUPO,MATCH($C1018,CAT_NOME,0)),"Sem categoria"))</f>
        <v/>
      </c>
      <c r="F1018" s="76" t="n"/>
      <c r="G1018" s="74" t="n"/>
      <c r="H1018" s="74" t="n"/>
      <c r="I1018" s="74" t="n"/>
      <c r="J1018" s="77" t="n"/>
      <c r="K1018" s="77" t="n"/>
      <c r="L1018" s="74" t="n"/>
      <c r="M1018" s="74" t="n"/>
      <c r="O1018" s="78">
        <f>IF($A1018="","",YEAR($A1018)*100+MONTH($A1018))</f>
        <v/>
      </c>
      <c r="P1018" s="79">
        <f>IF(OR($F1018="",$D1018=""),"",IF($D1018="Receita",$F1018,IF($D1018="Transferência",0,-$F1018)))</f>
        <v/>
      </c>
    </row>
    <row r="1019">
      <c r="A1019" s="73" t="n"/>
      <c r="B1019" s="74" t="n"/>
      <c r="C1019" s="74" t="n"/>
      <c r="D1019" s="75">
        <f>IF($C1019="","",IFERROR(INDEX(CAT_TIPO,MATCH($C1019,CAT_NOME,0)),"Sem categoria"))</f>
        <v/>
      </c>
      <c r="E1019" s="75">
        <f>IF($C1019="","",IFERROR(INDEX(CAT_GRUPO,MATCH($C1019,CAT_NOME,0)),"Sem categoria"))</f>
        <v/>
      </c>
      <c r="F1019" s="76" t="n"/>
      <c r="G1019" s="74" t="n"/>
      <c r="H1019" s="74" t="n"/>
      <c r="I1019" s="74" t="n"/>
      <c r="J1019" s="77" t="n"/>
      <c r="K1019" s="77" t="n"/>
      <c r="L1019" s="74" t="n"/>
      <c r="M1019" s="74" t="n"/>
      <c r="O1019" s="78">
        <f>IF($A1019="","",YEAR($A1019)*100+MONTH($A1019))</f>
        <v/>
      </c>
      <c r="P1019" s="79">
        <f>IF(OR($F1019="",$D1019=""),"",IF($D1019="Receita",$F1019,IF($D1019="Transferência",0,-$F1019)))</f>
        <v/>
      </c>
    </row>
    <row r="1020">
      <c r="A1020" s="73" t="n"/>
      <c r="B1020" s="74" t="n"/>
      <c r="C1020" s="74" t="n"/>
      <c r="D1020" s="75">
        <f>IF($C1020="","",IFERROR(INDEX(CAT_TIPO,MATCH($C1020,CAT_NOME,0)),"Sem categoria"))</f>
        <v/>
      </c>
      <c r="E1020" s="75">
        <f>IF($C1020="","",IFERROR(INDEX(CAT_GRUPO,MATCH($C1020,CAT_NOME,0)),"Sem categoria"))</f>
        <v/>
      </c>
      <c r="F1020" s="76" t="n"/>
      <c r="G1020" s="74" t="n"/>
      <c r="H1020" s="74" t="n"/>
      <c r="I1020" s="74" t="n"/>
      <c r="J1020" s="77" t="n"/>
      <c r="K1020" s="77" t="n"/>
      <c r="L1020" s="74" t="n"/>
      <c r="M1020" s="74" t="n"/>
      <c r="O1020" s="78">
        <f>IF($A1020="","",YEAR($A1020)*100+MONTH($A1020))</f>
        <v/>
      </c>
      <c r="P1020" s="79">
        <f>IF(OR($F1020="",$D1020=""),"",IF($D1020="Receita",$F1020,IF($D1020="Transferência",0,-$F1020)))</f>
        <v/>
      </c>
    </row>
    <row r="1021">
      <c r="A1021" s="73" t="n"/>
      <c r="B1021" s="74" t="n"/>
      <c r="C1021" s="74" t="n"/>
      <c r="D1021" s="75">
        <f>IF($C1021="","",IFERROR(INDEX(CAT_TIPO,MATCH($C1021,CAT_NOME,0)),"Sem categoria"))</f>
        <v/>
      </c>
      <c r="E1021" s="75">
        <f>IF($C1021="","",IFERROR(INDEX(CAT_GRUPO,MATCH($C1021,CAT_NOME,0)),"Sem categoria"))</f>
        <v/>
      </c>
      <c r="F1021" s="76" t="n"/>
      <c r="G1021" s="74" t="n"/>
      <c r="H1021" s="74" t="n"/>
      <c r="I1021" s="74" t="n"/>
      <c r="J1021" s="77" t="n"/>
      <c r="K1021" s="77" t="n"/>
      <c r="L1021" s="74" t="n"/>
      <c r="M1021" s="74" t="n"/>
      <c r="O1021" s="78">
        <f>IF($A1021="","",YEAR($A1021)*100+MONTH($A1021))</f>
        <v/>
      </c>
      <c r="P1021" s="79">
        <f>IF(OR($F1021="",$D1021=""),"",IF($D1021="Receita",$F1021,IF($D1021="Transferência",0,-$F1021)))</f>
        <v/>
      </c>
    </row>
    <row r="1022">
      <c r="A1022" s="73" t="n"/>
      <c r="B1022" s="74" t="n"/>
      <c r="C1022" s="74" t="n"/>
      <c r="D1022" s="75">
        <f>IF($C1022="","",IFERROR(INDEX(CAT_TIPO,MATCH($C1022,CAT_NOME,0)),"Sem categoria"))</f>
        <v/>
      </c>
      <c r="E1022" s="75">
        <f>IF($C1022="","",IFERROR(INDEX(CAT_GRUPO,MATCH($C1022,CAT_NOME,0)),"Sem categoria"))</f>
        <v/>
      </c>
      <c r="F1022" s="76" t="n"/>
      <c r="G1022" s="74" t="n"/>
      <c r="H1022" s="74" t="n"/>
      <c r="I1022" s="74" t="n"/>
      <c r="J1022" s="77" t="n"/>
      <c r="K1022" s="77" t="n"/>
      <c r="L1022" s="74" t="n"/>
      <c r="M1022" s="74" t="n"/>
      <c r="O1022" s="78">
        <f>IF($A1022="","",YEAR($A1022)*100+MONTH($A1022))</f>
        <v/>
      </c>
      <c r="P1022" s="79">
        <f>IF(OR($F1022="",$D1022=""),"",IF($D1022="Receita",$F1022,IF($D1022="Transferência",0,-$F1022)))</f>
        <v/>
      </c>
    </row>
    <row r="1023">
      <c r="A1023" s="73" t="n"/>
      <c r="B1023" s="74" t="n"/>
      <c r="C1023" s="74" t="n"/>
      <c r="D1023" s="75">
        <f>IF($C1023="","",IFERROR(INDEX(CAT_TIPO,MATCH($C1023,CAT_NOME,0)),"Sem categoria"))</f>
        <v/>
      </c>
      <c r="E1023" s="75">
        <f>IF($C1023="","",IFERROR(INDEX(CAT_GRUPO,MATCH($C1023,CAT_NOME,0)),"Sem categoria"))</f>
        <v/>
      </c>
      <c r="F1023" s="76" t="n"/>
      <c r="G1023" s="74" t="n"/>
      <c r="H1023" s="74" t="n"/>
      <c r="I1023" s="74" t="n"/>
      <c r="J1023" s="77" t="n"/>
      <c r="K1023" s="77" t="n"/>
      <c r="L1023" s="74" t="n"/>
      <c r="M1023" s="74" t="n"/>
      <c r="O1023" s="78">
        <f>IF($A1023="","",YEAR($A1023)*100+MONTH($A1023))</f>
        <v/>
      </c>
      <c r="P1023" s="79">
        <f>IF(OR($F1023="",$D1023=""),"",IF($D1023="Receita",$F1023,IF($D1023="Transferência",0,-$F1023)))</f>
        <v/>
      </c>
    </row>
    <row r="1024">
      <c r="A1024" s="73" t="n"/>
      <c r="B1024" s="74" t="n"/>
      <c r="C1024" s="74" t="n"/>
      <c r="D1024" s="75">
        <f>IF($C1024="","",IFERROR(INDEX(CAT_TIPO,MATCH($C1024,CAT_NOME,0)),"Sem categoria"))</f>
        <v/>
      </c>
      <c r="E1024" s="75">
        <f>IF($C1024="","",IFERROR(INDEX(CAT_GRUPO,MATCH($C1024,CAT_NOME,0)),"Sem categoria"))</f>
        <v/>
      </c>
      <c r="F1024" s="76" t="n"/>
      <c r="G1024" s="74" t="n"/>
      <c r="H1024" s="74" t="n"/>
      <c r="I1024" s="74" t="n"/>
      <c r="J1024" s="77" t="n"/>
      <c r="K1024" s="77" t="n"/>
      <c r="L1024" s="74" t="n"/>
      <c r="M1024" s="74" t="n"/>
      <c r="O1024" s="78">
        <f>IF($A1024="","",YEAR($A1024)*100+MONTH($A1024))</f>
        <v/>
      </c>
      <c r="P1024" s="79">
        <f>IF(OR($F1024="",$D1024=""),"",IF($D1024="Receita",$F1024,IF($D1024="Transferência",0,-$F1024)))</f>
        <v/>
      </c>
    </row>
    <row r="1025">
      <c r="A1025" s="73" t="n"/>
      <c r="B1025" s="74" t="n"/>
      <c r="C1025" s="74" t="n"/>
      <c r="D1025" s="75">
        <f>IF($C1025="","",IFERROR(INDEX(CAT_TIPO,MATCH($C1025,CAT_NOME,0)),"Sem categoria"))</f>
        <v/>
      </c>
      <c r="E1025" s="75">
        <f>IF($C1025="","",IFERROR(INDEX(CAT_GRUPO,MATCH($C1025,CAT_NOME,0)),"Sem categoria"))</f>
        <v/>
      </c>
      <c r="F1025" s="76" t="n"/>
      <c r="G1025" s="74" t="n"/>
      <c r="H1025" s="74" t="n"/>
      <c r="I1025" s="74" t="n"/>
      <c r="J1025" s="77" t="n"/>
      <c r="K1025" s="77" t="n"/>
      <c r="L1025" s="74" t="n"/>
      <c r="M1025" s="74" t="n"/>
      <c r="O1025" s="78">
        <f>IF($A1025="","",YEAR($A1025)*100+MONTH($A1025))</f>
        <v/>
      </c>
      <c r="P1025" s="79">
        <f>IF(OR($F1025="",$D1025=""),"",IF($D1025="Receita",$F1025,IF($D1025="Transferência",0,-$F1025)))</f>
        <v/>
      </c>
    </row>
    <row r="1026">
      <c r="A1026" s="73" t="n"/>
      <c r="B1026" s="74" t="n"/>
      <c r="C1026" s="74" t="n"/>
      <c r="D1026" s="75">
        <f>IF($C1026="","",IFERROR(INDEX(CAT_TIPO,MATCH($C1026,CAT_NOME,0)),"Sem categoria"))</f>
        <v/>
      </c>
      <c r="E1026" s="75">
        <f>IF($C1026="","",IFERROR(INDEX(CAT_GRUPO,MATCH($C1026,CAT_NOME,0)),"Sem categoria"))</f>
        <v/>
      </c>
      <c r="F1026" s="76" t="n"/>
      <c r="G1026" s="74" t="n"/>
      <c r="H1026" s="74" t="n"/>
      <c r="I1026" s="74" t="n"/>
      <c r="J1026" s="77" t="n"/>
      <c r="K1026" s="77" t="n"/>
      <c r="L1026" s="74" t="n"/>
      <c r="M1026" s="74" t="n"/>
      <c r="O1026" s="78">
        <f>IF($A1026="","",YEAR($A1026)*100+MONTH($A1026))</f>
        <v/>
      </c>
      <c r="P1026" s="79">
        <f>IF(OR($F1026="",$D1026=""),"",IF($D1026="Receita",$F1026,IF($D1026="Transferência",0,-$F1026)))</f>
        <v/>
      </c>
    </row>
    <row r="1027">
      <c r="A1027" s="73" t="n"/>
      <c r="B1027" s="74" t="n"/>
      <c r="C1027" s="74" t="n"/>
      <c r="D1027" s="75">
        <f>IF($C1027="","",IFERROR(INDEX(CAT_TIPO,MATCH($C1027,CAT_NOME,0)),"Sem categoria"))</f>
        <v/>
      </c>
      <c r="E1027" s="75">
        <f>IF($C1027="","",IFERROR(INDEX(CAT_GRUPO,MATCH($C1027,CAT_NOME,0)),"Sem categoria"))</f>
        <v/>
      </c>
      <c r="F1027" s="76" t="n"/>
      <c r="G1027" s="74" t="n"/>
      <c r="H1027" s="74" t="n"/>
      <c r="I1027" s="74" t="n"/>
      <c r="J1027" s="77" t="n"/>
      <c r="K1027" s="77" t="n"/>
      <c r="L1027" s="74" t="n"/>
      <c r="M1027" s="74" t="n"/>
      <c r="O1027" s="78">
        <f>IF($A1027="","",YEAR($A1027)*100+MONTH($A1027))</f>
        <v/>
      </c>
      <c r="P1027" s="79">
        <f>IF(OR($F1027="",$D1027=""),"",IF($D1027="Receita",$F1027,IF($D1027="Transferência",0,-$F1027)))</f>
        <v/>
      </c>
    </row>
    <row r="1028">
      <c r="A1028" s="73" t="n"/>
      <c r="B1028" s="74" t="n"/>
      <c r="C1028" s="74" t="n"/>
      <c r="D1028" s="75">
        <f>IF($C1028="","",IFERROR(INDEX(CAT_TIPO,MATCH($C1028,CAT_NOME,0)),"Sem categoria"))</f>
        <v/>
      </c>
      <c r="E1028" s="75">
        <f>IF($C1028="","",IFERROR(INDEX(CAT_GRUPO,MATCH($C1028,CAT_NOME,0)),"Sem categoria"))</f>
        <v/>
      </c>
      <c r="F1028" s="76" t="n"/>
      <c r="G1028" s="74" t="n"/>
      <c r="H1028" s="74" t="n"/>
      <c r="I1028" s="74" t="n"/>
      <c r="J1028" s="77" t="n"/>
      <c r="K1028" s="77" t="n"/>
      <c r="L1028" s="74" t="n"/>
      <c r="M1028" s="74" t="n"/>
      <c r="O1028" s="78">
        <f>IF($A1028="","",YEAR($A1028)*100+MONTH($A1028))</f>
        <v/>
      </c>
      <c r="P1028" s="79">
        <f>IF(OR($F1028="",$D1028=""),"",IF($D1028="Receita",$F1028,IF($D1028="Transferência",0,-$F1028)))</f>
        <v/>
      </c>
    </row>
    <row r="1029">
      <c r="A1029" s="73" t="n"/>
      <c r="B1029" s="74" t="n"/>
      <c r="C1029" s="74" t="n"/>
      <c r="D1029" s="75">
        <f>IF($C1029="","",IFERROR(INDEX(CAT_TIPO,MATCH($C1029,CAT_NOME,0)),"Sem categoria"))</f>
        <v/>
      </c>
      <c r="E1029" s="75">
        <f>IF($C1029="","",IFERROR(INDEX(CAT_GRUPO,MATCH($C1029,CAT_NOME,0)),"Sem categoria"))</f>
        <v/>
      </c>
      <c r="F1029" s="76" t="n"/>
      <c r="G1029" s="74" t="n"/>
      <c r="H1029" s="74" t="n"/>
      <c r="I1029" s="74" t="n"/>
      <c r="J1029" s="77" t="n"/>
      <c r="K1029" s="77" t="n"/>
      <c r="L1029" s="74" t="n"/>
      <c r="M1029" s="74" t="n"/>
      <c r="O1029" s="78">
        <f>IF($A1029="","",YEAR($A1029)*100+MONTH($A1029))</f>
        <v/>
      </c>
      <c r="P1029" s="79">
        <f>IF(OR($F1029="",$D1029=""),"",IF($D1029="Receita",$F1029,IF($D1029="Transferência",0,-$F1029)))</f>
        <v/>
      </c>
    </row>
    <row r="1030">
      <c r="A1030" s="73" t="n"/>
      <c r="B1030" s="74" t="n"/>
      <c r="C1030" s="74" t="n"/>
      <c r="D1030" s="75">
        <f>IF($C1030="","",IFERROR(INDEX(CAT_TIPO,MATCH($C1030,CAT_NOME,0)),"Sem categoria"))</f>
        <v/>
      </c>
      <c r="E1030" s="75">
        <f>IF($C1030="","",IFERROR(INDEX(CAT_GRUPO,MATCH($C1030,CAT_NOME,0)),"Sem categoria"))</f>
        <v/>
      </c>
      <c r="F1030" s="76" t="n"/>
      <c r="G1030" s="74" t="n"/>
      <c r="H1030" s="74" t="n"/>
      <c r="I1030" s="74" t="n"/>
      <c r="J1030" s="77" t="n"/>
      <c r="K1030" s="77" t="n"/>
      <c r="L1030" s="74" t="n"/>
      <c r="M1030" s="74" t="n"/>
      <c r="O1030" s="78">
        <f>IF($A1030="","",YEAR($A1030)*100+MONTH($A1030))</f>
        <v/>
      </c>
      <c r="P1030" s="79">
        <f>IF(OR($F1030="",$D1030=""),"",IF($D1030="Receita",$F1030,IF($D1030="Transferência",0,-$F1030)))</f>
        <v/>
      </c>
    </row>
    <row r="1031">
      <c r="A1031" s="73" t="n"/>
      <c r="B1031" s="74" t="n"/>
      <c r="C1031" s="74" t="n"/>
      <c r="D1031" s="75">
        <f>IF($C1031="","",IFERROR(INDEX(CAT_TIPO,MATCH($C1031,CAT_NOME,0)),"Sem categoria"))</f>
        <v/>
      </c>
      <c r="E1031" s="75">
        <f>IF($C1031="","",IFERROR(INDEX(CAT_GRUPO,MATCH($C1031,CAT_NOME,0)),"Sem categoria"))</f>
        <v/>
      </c>
      <c r="F1031" s="76" t="n"/>
      <c r="G1031" s="74" t="n"/>
      <c r="H1031" s="74" t="n"/>
      <c r="I1031" s="74" t="n"/>
      <c r="J1031" s="77" t="n"/>
      <c r="K1031" s="77" t="n"/>
      <c r="L1031" s="74" t="n"/>
      <c r="M1031" s="74" t="n"/>
      <c r="O1031" s="78">
        <f>IF($A1031="","",YEAR($A1031)*100+MONTH($A1031))</f>
        <v/>
      </c>
      <c r="P1031" s="79">
        <f>IF(OR($F1031="",$D1031=""),"",IF($D1031="Receita",$F1031,IF($D1031="Transferência",0,-$F1031)))</f>
        <v/>
      </c>
    </row>
    <row r="1032">
      <c r="A1032" s="73" t="n"/>
      <c r="B1032" s="74" t="n"/>
      <c r="C1032" s="74" t="n"/>
      <c r="D1032" s="75">
        <f>IF($C1032="","",IFERROR(INDEX(CAT_TIPO,MATCH($C1032,CAT_NOME,0)),"Sem categoria"))</f>
        <v/>
      </c>
      <c r="E1032" s="75">
        <f>IF($C1032="","",IFERROR(INDEX(CAT_GRUPO,MATCH($C1032,CAT_NOME,0)),"Sem categoria"))</f>
        <v/>
      </c>
      <c r="F1032" s="76" t="n"/>
      <c r="G1032" s="74" t="n"/>
      <c r="H1032" s="74" t="n"/>
      <c r="I1032" s="74" t="n"/>
      <c r="J1032" s="77" t="n"/>
      <c r="K1032" s="77" t="n"/>
      <c r="L1032" s="74" t="n"/>
      <c r="M1032" s="74" t="n"/>
      <c r="O1032" s="78">
        <f>IF($A1032="","",YEAR($A1032)*100+MONTH($A1032))</f>
        <v/>
      </c>
      <c r="P1032" s="79">
        <f>IF(OR($F1032="",$D1032=""),"",IF($D1032="Receita",$F1032,IF($D1032="Transferência",0,-$F1032)))</f>
        <v/>
      </c>
    </row>
    <row r="1033">
      <c r="A1033" s="73" t="n"/>
      <c r="B1033" s="74" t="n"/>
      <c r="C1033" s="74" t="n"/>
      <c r="D1033" s="75">
        <f>IF($C1033="","",IFERROR(INDEX(CAT_TIPO,MATCH($C1033,CAT_NOME,0)),"Sem categoria"))</f>
        <v/>
      </c>
      <c r="E1033" s="75">
        <f>IF($C1033="","",IFERROR(INDEX(CAT_GRUPO,MATCH($C1033,CAT_NOME,0)),"Sem categoria"))</f>
        <v/>
      </c>
      <c r="F1033" s="76" t="n"/>
      <c r="G1033" s="74" t="n"/>
      <c r="H1033" s="74" t="n"/>
      <c r="I1033" s="74" t="n"/>
      <c r="J1033" s="77" t="n"/>
      <c r="K1033" s="77" t="n"/>
      <c r="L1033" s="74" t="n"/>
      <c r="M1033" s="74" t="n"/>
      <c r="O1033" s="78">
        <f>IF($A1033="","",YEAR($A1033)*100+MONTH($A1033))</f>
        <v/>
      </c>
      <c r="P1033" s="79">
        <f>IF(OR($F1033="",$D1033=""),"",IF($D1033="Receita",$F1033,IF($D1033="Transferência",0,-$F1033)))</f>
        <v/>
      </c>
    </row>
    <row r="1034">
      <c r="A1034" s="73" t="n"/>
      <c r="B1034" s="74" t="n"/>
      <c r="C1034" s="74" t="n"/>
      <c r="D1034" s="75">
        <f>IF($C1034="","",IFERROR(INDEX(CAT_TIPO,MATCH($C1034,CAT_NOME,0)),"Sem categoria"))</f>
        <v/>
      </c>
      <c r="E1034" s="75">
        <f>IF($C1034="","",IFERROR(INDEX(CAT_GRUPO,MATCH($C1034,CAT_NOME,0)),"Sem categoria"))</f>
        <v/>
      </c>
      <c r="F1034" s="76" t="n"/>
      <c r="G1034" s="74" t="n"/>
      <c r="H1034" s="74" t="n"/>
      <c r="I1034" s="74" t="n"/>
      <c r="J1034" s="77" t="n"/>
      <c r="K1034" s="77" t="n"/>
      <c r="L1034" s="74" t="n"/>
      <c r="M1034" s="74" t="n"/>
      <c r="O1034" s="78">
        <f>IF($A1034="","",YEAR($A1034)*100+MONTH($A1034))</f>
        <v/>
      </c>
      <c r="P1034" s="79">
        <f>IF(OR($F1034="",$D1034=""),"",IF($D1034="Receita",$F1034,IF($D1034="Transferência",0,-$F1034)))</f>
        <v/>
      </c>
    </row>
    <row r="1035">
      <c r="A1035" s="73" t="n"/>
      <c r="B1035" s="74" t="n"/>
      <c r="C1035" s="74" t="n"/>
      <c r="D1035" s="75">
        <f>IF($C1035="","",IFERROR(INDEX(CAT_TIPO,MATCH($C1035,CAT_NOME,0)),"Sem categoria"))</f>
        <v/>
      </c>
      <c r="E1035" s="75">
        <f>IF($C1035="","",IFERROR(INDEX(CAT_GRUPO,MATCH($C1035,CAT_NOME,0)),"Sem categoria"))</f>
        <v/>
      </c>
      <c r="F1035" s="76" t="n"/>
      <c r="G1035" s="74" t="n"/>
      <c r="H1035" s="74" t="n"/>
      <c r="I1035" s="74" t="n"/>
      <c r="J1035" s="77" t="n"/>
      <c r="K1035" s="77" t="n"/>
      <c r="L1035" s="74" t="n"/>
      <c r="M1035" s="74" t="n"/>
      <c r="O1035" s="78">
        <f>IF($A1035="","",YEAR($A1035)*100+MONTH($A1035))</f>
        <v/>
      </c>
      <c r="P1035" s="79">
        <f>IF(OR($F1035="",$D1035=""),"",IF($D1035="Receita",$F1035,IF($D1035="Transferência",0,-$F1035)))</f>
        <v/>
      </c>
    </row>
    <row r="1036">
      <c r="A1036" s="73" t="n"/>
      <c r="B1036" s="74" t="n"/>
      <c r="C1036" s="74" t="n"/>
      <c r="D1036" s="75">
        <f>IF($C1036="","",IFERROR(INDEX(CAT_TIPO,MATCH($C1036,CAT_NOME,0)),"Sem categoria"))</f>
        <v/>
      </c>
      <c r="E1036" s="75">
        <f>IF($C1036="","",IFERROR(INDEX(CAT_GRUPO,MATCH($C1036,CAT_NOME,0)),"Sem categoria"))</f>
        <v/>
      </c>
      <c r="F1036" s="76" t="n"/>
      <c r="G1036" s="74" t="n"/>
      <c r="H1036" s="74" t="n"/>
      <c r="I1036" s="74" t="n"/>
      <c r="J1036" s="77" t="n"/>
      <c r="K1036" s="77" t="n"/>
      <c r="L1036" s="74" t="n"/>
      <c r="M1036" s="74" t="n"/>
      <c r="O1036" s="78">
        <f>IF($A1036="","",YEAR($A1036)*100+MONTH($A1036))</f>
        <v/>
      </c>
      <c r="P1036" s="79">
        <f>IF(OR($F1036="",$D1036=""),"",IF($D1036="Receita",$F1036,IF($D1036="Transferência",0,-$F1036)))</f>
        <v/>
      </c>
    </row>
    <row r="1037">
      <c r="A1037" s="73" t="n"/>
      <c r="B1037" s="74" t="n"/>
      <c r="C1037" s="74" t="n"/>
      <c r="D1037" s="75">
        <f>IF($C1037="","",IFERROR(INDEX(CAT_TIPO,MATCH($C1037,CAT_NOME,0)),"Sem categoria"))</f>
        <v/>
      </c>
      <c r="E1037" s="75">
        <f>IF($C1037="","",IFERROR(INDEX(CAT_GRUPO,MATCH($C1037,CAT_NOME,0)),"Sem categoria"))</f>
        <v/>
      </c>
      <c r="F1037" s="76" t="n"/>
      <c r="G1037" s="74" t="n"/>
      <c r="H1037" s="74" t="n"/>
      <c r="I1037" s="74" t="n"/>
      <c r="J1037" s="77" t="n"/>
      <c r="K1037" s="77" t="n"/>
      <c r="L1037" s="74" t="n"/>
      <c r="M1037" s="74" t="n"/>
      <c r="O1037" s="78">
        <f>IF($A1037="","",YEAR($A1037)*100+MONTH($A1037))</f>
        <v/>
      </c>
      <c r="P1037" s="79">
        <f>IF(OR($F1037="",$D1037=""),"",IF($D1037="Receita",$F1037,IF($D1037="Transferência",0,-$F1037)))</f>
        <v/>
      </c>
    </row>
    <row r="1038">
      <c r="A1038" s="73" t="n"/>
      <c r="B1038" s="74" t="n"/>
      <c r="C1038" s="74" t="n"/>
      <c r="D1038" s="75">
        <f>IF($C1038="","",IFERROR(INDEX(CAT_TIPO,MATCH($C1038,CAT_NOME,0)),"Sem categoria"))</f>
        <v/>
      </c>
      <c r="E1038" s="75">
        <f>IF($C1038="","",IFERROR(INDEX(CAT_GRUPO,MATCH($C1038,CAT_NOME,0)),"Sem categoria"))</f>
        <v/>
      </c>
      <c r="F1038" s="76" t="n"/>
      <c r="G1038" s="74" t="n"/>
      <c r="H1038" s="74" t="n"/>
      <c r="I1038" s="74" t="n"/>
      <c r="J1038" s="77" t="n"/>
      <c r="K1038" s="77" t="n"/>
      <c r="L1038" s="74" t="n"/>
      <c r="M1038" s="74" t="n"/>
      <c r="O1038" s="78">
        <f>IF($A1038="","",YEAR($A1038)*100+MONTH($A1038))</f>
        <v/>
      </c>
      <c r="P1038" s="79">
        <f>IF(OR($F1038="",$D1038=""),"",IF($D1038="Receita",$F1038,IF($D1038="Transferência",0,-$F1038)))</f>
        <v/>
      </c>
    </row>
    <row r="1039">
      <c r="A1039" s="73" t="n"/>
      <c r="B1039" s="74" t="n"/>
      <c r="C1039" s="74" t="n"/>
      <c r="D1039" s="75">
        <f>IF($C1039="","",IFERROR(INDEX(CAT_TIPO,MATCH($C1039,CAT_NOME,0)),"Sem categoria"))</f>
        <v/>
      </c>
      <c r="E1039" s="75">
        <f>IF($C1039="","",IFERROR(INDEX(CAT_GRUPO,MATCH($C1039,CAT_NOME,0)),"Sem categoria"))</f>
        <v/>
      </c>
      <c r="F1039" s="76" t="n"/>
      <c r="G1039" s="74" t="n"/>
      <c r="H1039" s="74" t="n"/>
      <c r="I1039" s="74" t="n"/>
      <c r="J1039" s="77" t="n"/>
      <c r="K1039" s="77" t="n"/>
      <c r="L1039" s="74" t="n"/>
      <c r="M1039" s="74" t="n"/>
      <c r="O1039" s="78">
        <f>IF($A1039="","",YEAR($A1039)*100+MONTH($A1039))</f>
        <v/>
      </c>
      <c r="P1039" s="79">
        <f>IF(OR($F1039="",$D1039=""),"",IF($D1039="Receita",$F1039,IF($D1039="Transferência",0,-$F1039)))</f>
        <v/>
      </c>
    </row>
    <row r="1040">
      <c r="A1040" s="73" t="n"/>
      <c r="B1040" s="74" t="n"/>
      <c r="C1040" s="74" t="n"/>
      <c r="D1040" s="75">
        <f>IF($C1040="","",IFERROR(INDEX(CAT_TIPO,MATCH($C1040,CAT_NOME,0)),"Sem categoria"))</f>
        <v/>
      </c>
      <c r="E1040" s="75">
        <f>IF($C1040="","",IFERROR(INDEX(CAT_GRUPO,MATCH($C1040,CAT_NOME,0)),"Sem categoria"))</f>
        <v/>
      </c>
      <c r="F1040" s="76" t="n"/>
      <c r="G1040" s="74" t="n"/>
      <c r="H1040" s="74" t="n"/>
      <c r="I1040" s="74" t="n"/>
      <c r="J1040" s="77" t="n"/>
      <c r="K1040" s="77" t="n"/>
      <c r="L1040" s="74" t="n"/>
      <c r="M1040" s="74" t="n"/>
      <c r="O1040" s="78">
        <f>IF($A1040="","",YEAR($A1040)*100+MONTH($A1040))</f>
        <v/>
      </c>
      <c r="P1040" s="79">
        <f>IF(OR($F1040="",$D1040=""),"",IF($D1040="Receita",$F1040,IF($D1040="Transferência",0,-$F1040)))</f>
        <v/>
      </c>
    </row>
    <row r="1041">
      <c r="A1041" s="73" t="n"/>
      <c r="B1041" s="74" t="n"/>
      <c r="C1041" s="74" t="n"/>
      <c r="D1041" s="75">
        <f>IF($C1041="","",IFERROR(INDEX(CAT_TIPO,MATCH($C1041,CAT_NOME,0)),"Sem categoria"))</f>
        <v/>
      </c>
      <c r="E1041" s="75">
        <f>IF($C1041="","",IFERROR(INDEX(CAT_GRUPO,MATCH($C1041,CAT_NOME,0)),"Sem categoria"))</f>
        <v/>
      </c>
      <c r="F1041" s="76" t="n"/>
      <c r="G1041" s="74" t="n"/>
      <c r="H1041" s="74" t="n"/>
      <c r="I1041" s="74" t="n"/>
      <c r="J1041" s="77" t="n"/>
      <c r="K1041" s="77" t="n"/>
      <c r="L1041" s="74" t="n"/>
      <c r="M1041" s="74" t="n"/>
      <c r="O1041" s="78">
        <f>IF($A1041="","",YEAR($A1041)*100+MONTH($A1041))</f>
        <v/>
      </c>
      <c r="P1041" s="79">
        <f>IF(OR($F1041="",$D1041=""),"",IF($D1041="Receita",$F1041,IF($D1041="Transferência",0,-$F1041)))</f>
        <v/>
      </c>
    </row>
    <row r="1042">
      <c r="A1042" s="73" t="n"/>
      <c r="B1042" s="74" t="n"/>
      <c r="C1042" s="74" t="n"/>
      <c r="D1042" s="75">
        <f>IF($C1042="","",IFERROR(INDEX(CAT_TIPO,MATCH($C1042,CAT_NOME,0)),"Sem categoria"))</f>
        <v/>
      </c>
      <c r="E1042" s="75">
        <f>IF($C1042="","",IFERROR(INDEX(CAT_GRUPO,MATCH($C1042,CAT_NOME,0)),"Sem categoria"))</f>
        <v/>
      </c>
      <c r="F1042" s="76" t="n"/>
      <c r="G1042" s="74" t="n"/>
      <c r="H1042" s="74" t="n"/>
      <c r="I1042" s="74" t="n"/>
      <c r="J1042" s="77" t="n"/>
      <c r="K1042" s="77" t="n"/>
      <c r="L1042" s="74" t="n"/>
      <c r="M1042" s="74" t="n"/>
      <c r="O1042" s="78">
        <f>IF($A1042="","",YEAR($A1042)*100+MONTH($A1042))</f>
        <v/>
      </c>
      <c r="P1042" s="79">
        <f>IF(OR($F1042="",$D1042=""),"",IF($D1042="Receita",$F1042,IF($D1042="Transferência",0,-$F1042)))</f>
        <v/>
      </c>
    </row>
    <row r="1043">
      <c r="A1043" s="73" t="n"/>
      <c r="B1043" s="74" t="n"/>
      <c r="C1043" s="74" t="n"/>
      <c r="D1043" s="75">
        <f>IF($C1043="","",IFERROR(INDEX(CAT_TIPO,MATCH($C1043,CAT_NOME,0)),"Sem categoria"))</f>
        <v/>
      </c>
      <c r="E1043" s="75">
        <f>IF($C1043="","",IFERROR(INDEX(CAT_GRUPO,MATCH($C1043,CAT_NOME,0)),"Sem categoria"))</f>
        <v/>
      </c>
      <c r="F1043" s="76" t="n"/>
      <c r="G1043" s="74" t="n"/>
      <c r="H1043" s="74" t="n"/>
      <c r="I1043" s="74" t="n"/>
      <c r="J1043" s="77" t="n"/>
      <c r="K1043" s="77" t="n"/>
      <c r="L1043" s="74" t="n"/>
      <c r="M1043" s="74" t="n"/>
      <c r="O1043" s="78">
        <f>IF($A1043="","",YEAR($A1043)*100+MONTH($A1043))</f>
        <v/>
      </c>
      <c r="P1043" s="79">
        <f>IF(OR($F1043="",$D1043=""),"",IF($D1043="Receita",$F1043,IF($D1043="Transferência",0,-$F1043)))</f>
        <v/>
      </c>
    </row>
    <row r="1044">
      <c r="A1044" s="73" t="n"/>
      <c r="B1044" s="74" t="n"/>
      <c r="C1044" s="74" t="n"/>
      <c r="D1044" s="75">
        <f>IF($C1044="","",IFERROR(INDEX(CAT_TIPO,MATCH($C1044,CAT_NOME,0)),"Sem categoria"))</f>
        <v/>
      </c>
      <c r="E1044" s="75">
        <f>IF($C1044="","",IFERROR(INDEX(CAT_GRUPO,MATCH($C1044,CAT_NOME,0)),"Sem categoria"))</f>
        <v/>
      </c>
      <c r="F1044" s="76" t="n"/>
      <c r="G1044" s="74" t="n"/>
      <c r="H1044" s="74" t="n"/>
      <c r="I1044" s="74" t="n"/>
      <c r="J1044" s="77" t="n"/>
      <c r="K1044" s="77" t="n"/>
      <c r="L1044" s="74" t="n"/>
      <c r="M1044" s="74" t="n"/>
      <c r="O1044" s="78">
        <f>IF($A1044="","",YEAR($A1044)*100+MONTH($A1044))</f>
        <v/>
      </c>
      <c r="P1044" s="79">
        <f>IF(OR($F1044="",$D1044=""),"",IF($D1044="Receita",$F1044,IF($D1044="Transferência",0,-$F1044)))</f>
        <v/>
      </c>
    </row>
    <row r="1045">
      <c r="A1045" s="73" t="n"/>
      <c r="B1045" s="74" t="n"/>
      <c r="C1045" s="74" t="n"/>
      <c r="D1045" s="75">
        <f>IF($C1045="","",IFERROR(INDEX(CAT_TIPO,MATCH($C1045,CAT_NOME,0)),"Sem categoria"))</f>
        <v/>
      </c>
      <c r="E1045" s="75">
        <f>IF($C1045="","",IFERROR(INDEX(CAT_GRUPO,MATCH($C1045,CAT_NOME,0)),"Sem categoria"))</f>
        <v/>
      </c>
      <c r="F1045" s="76" t="n"/>
      <c r="G1045" s="74" t="n"/>
      <c r="H1045" s="74" t="n"/>
      <c r="I1045" s="74" t="n"/>
      <c r="J1045" s="77" t="n"/>
      <c r="K1045" s="77" t="n"/>
      <c r="L1045" s="74" t="n"/>
      <c r="M1045" s="74" t="n"/>
      <c r="O1045" s="78">
        <f>IF($A1045="","",YEAR($A1045)*100+MONTH($A1045))</f>
        <v/>
      </c>
      <c r="P1045" s="79">
        <f>IF(OR($F1045="",$D1045=""),"",IF($D1045="Receita",$F1045,IF($D1045="Transferência",0,-$F1045)))</f>
        <v/>
      </c>
    </row>
    <row r="1046">
      <c r="A1046" s="73" t="n"/>
      <c r="B1046" s="74" t="n"/>
      <c r="C1046" s="74" t="n"/>
      <c r="D1046" s="75">
        <f>IF($C1046="","",IFERROR(INDEX(CAT_TIPO,MATCH($C1046,CAT_NOME,0)),"Sem categoria"))</f>
        <v/>
      </c>
      <c r="E1046" s="75">
        <f>IF($C1046="","",IFERROR(INDEX(CAT_GRUPO,MATCH($C1046,CAT_NOME,0)),"Sem categoria"))</f>
        <v/>
      </c>
      <c r="F1046" s="76" t="n"/>
      <c r="G1046" s="74" t="n"/>
      <c r="H1046" s="74" t="n"/>
      <c r="I1046" s="74" t="n"/>
      <c r="J1046" s="77" t="n"/>
      <c r="K1046" s="77" t="n"/>
      <c r="L1046" s="74" t="n"/>
      <c r="M1046" s="74" t="n"/>
      <c r="O1046" s="78">
        <f>IF($A1046="","",YEAR($A1046)*100+MONTH($A1046))</f>
        <v/>
      </c>
      <c r="P1046" s="79">
        <f>IF(OR($F1046="",$D1046=""),"",IF($D1046="Receita",$F1046,IF($D1046="Transferência",0,-$F1046)))</f>
        <v/>
      </c>
    </row>
    <row r="1047">
      <c r="A1047" s="73" t="n"/>
      <c r="B1047" s="74" t="n"/>
      <c r="C1047" s="74" t="n"/>
      <c r="D1047" s="75">
        <f>IF($C1047="","",IFERROR(INDEX(CAT_TIPO,MATCH($C1047,CAT_NOME,0)),"Sem categoria"))</f>
        <v/>
      </c>
      <c r="E1047" s="75">
        <f>IF($C1047="","",IFERROR(INDEX(CAT_GRUPO,MATCH($C1047,CAT_NOME,0)),"Sem categoria"))</f>
        <v/>
      </c>
      <c r="F1047" s="76" t="n"/>
      <c r="G1047" s="74" t="n"/>
      <c r="H1047" s="74" t="n"/>
      <c r="I1047" s="74" t="n"/>
      <c r="J1047" s="77" t="n"/>
      <c r="K1047" s="77" t="n"/>
      <c r="L1047" s="74" t="n"/>
      <c r="M1047" s="74" t="n"/>
      <c r="O1047" s="78">
        <f>IF($A1047="","",YEAR($A1047)*100+MONTH($A1047))</f>
        <v/>
      </c>
      <c r="P1047" s="79">
        <f>IF(OR($F1047="",$D1047=""),"",IF($D1047="Receita",$F1047,IF($D1047="Transferência",0,-$F1047)))</f>
        <v/>
      </c>
    </row>
    <row r="1048">
      <c r="A1048" s="73" t="n"/>
      <c r="B1048" s="74" t="n"/>
      <c r="C1048" s="74" t="n"/>
      <c r="D1048" s="75">
        <f>IF($C1048="","",IFERROR(INDEX(CAT_TIPO,MATCH($C1048,CAT_NOME,0)),"Sem categoria"))</f>
        <v/>
      </c>
      <c r="E1048" s="75">
        <f>IF($C1048="","",IFERROR(INDEX(CAT_GRUPO,MATCH($C1048,CAT_NOME,0)),"Sem categoria"))</f>
        <v/>
      </c>
      <c r="F1048" s="76" t="n"/>
      <c r="G1048" s="74" t="n"/>
      <c r="H1048" s="74" t="n"/>
      <c r="I1048" s="74" t="n"/>
      <c r="J1048" s="77" t="n"/>
      <c r="K1048" s="77" t="n"/>
      <c r="L1048" s="74" t="n"/>
      <c r="M1048" s="74" t="n"/>
      <c r="O1048" s="78">
        <f>IF($A1048="","",YEAR($A1048)*100+MONTH($A1048))</f>
        <v/>
      </c>
      <c r="P1048" s="79">
        <f>IF(OR($F1048="",$D1048=""),"",IF($D1048="Receita",$F1048,IF($D1048="Transferência",0,-$F1048)))</f>
        <v/>
      </c>
    </row>
    <row r="1049">
      <c r="A1049" s="73" t="n"/>
      <c r="B1049" s="74" t="n"/>
      <c r="C1049" s="74" t="n"/>
      <c r="D1049" s="75">
        <f>IF($C1049="","",IFERROR(INDEX(CAT_TIPO,MATCH($C1049,CAT_NOME,0)),"Sem categoria"))</f>
        <v/>
      </c>
      <c r="E1049" s="75">
        <f>IF($C1049="","",IFERROR(INDEX(CAT_GRUPO,MATCH($C1049,CAT_NOME,0)),"Sem categoria"))</f>
        <v/>
      </c>
      <c r="F1049" s="76" t="n"/>
      <c r="G1049" s="74" t="n"/>
      <c r="H1049" s="74" t="n"/>
      <c r="I1049" s="74" t="n"/>
      <c r="J1049" s="77" t="n"/>
      <c r="K1049" s="77" t="n"/>
      <c r="L1049" s="74" t="n"/>
      <c r="M1049" s="74" t="n"/>
      <c r="O1049" s="78">
        <f>IF($A1049="","",YEAR($A1049)*100+MONTH($A1049))</f>
        <v/>
      </c>
      <c r="P1049" s="79">
        <f>IF(OR($F1049="",$D1049=""),"",IF($D1049="Receita",$F1049,IF($D1049="Transferência",0,-$F1049)))</f>
        <v/>
      </c>
    </row>
    <row r="1050">
      <c r="A1050" s="73" t="n"/>
      <c r="B1050" s="74" t="n"/>
      <c r="C1050" s="74" t="n"/>
      <c r="D1050" s="75">
        <f>IF($C1050="","",IFERROR(INDEX(CAT_TIPO,MATCH($C1050,CAT_NOME,0)),"Sem categoria"))</f>
        <v/>
      </c>
      <c r="E1050" s="75">
        <f>IF($C1050="","",IFERROR(INDEX(CAT_GRUPO,MATCH($C1050,CAT_NOME,0)),"Sem categoria"))</f>
        <v/>
      </c>
      <c r="F1050" s="76" t="n"/>
      <c r="G1050" s="74" t="n"/>
      <c r="H1050" s="74" t="n"/>
      <c r="I1050" s="74" t="n"/>
      <c r="J1050" s="77" t="n"/>
      <c r="K1050" s="77" t="n"/>
      <c r="L1050" s="74" t="n"/>
      <c r="M1050" s="74" t="n"/>
      <c r="O1050" s="78">
        <f>IF($A1050="","",YEAR($A1050)*100+MONTH($A1050))</f>
        <v/>
      </c>
      <c r="P1050" s="79">
        <f>IF(OR($F1050="",$D1050=""),"",IF($D1050="Receita",$F1050,IF($D1050="Transferência",0,-$F1050)))</f>
        <v/>
      </c>
    </row>
    <row r="1051">
      <c r="A1051" s="73" t="n"/>
      <c r="B1051" s="74" t="n"/>
      <c r="C1051" s="74" t="n"/>
      <c r="D1051" s="75">
        <f>IF($C1051="","",IFERROR(INDEX(CAT_TIPO,MATCH($C1051,CAT_NOME,0)),"Sem categoria"))</f>
        <v/>
      </c>
      <c r="E1051" s="75">
        <f>IF($C1051="","",IFERROR(INDEX(CAT_GRUPO,MATCH($C1051,CAT_NOME,0)),"Sem categoria"))</f>
        <v/>
      </c>
      <c r="F1051" s="76" t="n"/>
      <c r="G1051" s="74" t="n"/>
      <c r="H1051" s="74" t="n"/>
      <c r="I1051" s="74" t="n"/>
      <c r="J1051" s="77" t="n"/>
      <c r="K1051" s="77" t="n"/>
      <c r="L1051" s="74" t="n"/>
      <c r="M1051" s="74" t="n"/>
      <c r="O1051" s="78">
        <f>IF($A1051="","",YEAR($A1051)*100+MONTH($A1051))</f>
        <v/>
      </c>
      <c r="P1051" s="79">
        <f>IF(OR($F1051="",$D1051=""),"",IF($D1051="Receita",$F1051,IF($D1051="Transferência",0,-$F1051)))</f>
        <v/>
      </c>
    </row>
    <row r="1052">
      <c r="A1052" s="73" t="n"/>
      <c r="B1052" s="74" t="n"/>
      <c r="C1052" s="74" t="n"/>
      <c r="D1052" s="75">
        <f>IF($C1052="","",IFERROR(INDEX(CAT_TIPO,MATCH($C1052,CAT_NOME,0)),"Sem categoria"))</f>
        <v/>
      </c>
      <c r="E1052" s="75">
        <f>IF($C1052="","",IFERROR(INDEX(CAT_GRUPO,MATCH($C1052,CAT_NOME,0)),"Sem categoria"))</f>
        <v/>
      </c>
      <c r="F1052" s="76" t="n"/>
      <c r="G1052" s="74" t="n"/>
      <c r="H1052" s="74" t="n"/>
      <c r="I1052" s="74" t="n"/>
      <c r="J1052" s="77" t="n"/>
      <c r="K1052" s="77" t="n"/>
      <c r="L1052" s="74" t="n"/>
      <c r="M1052" s="74" t="n"/>
      <c r="O1052" s="78">
        <f>IF($A1052="","",YEAR($A1052)*100+MONTH($A1052))</f>
        <v/>
      </c>
      <c r="P1052" s="79">
        <f>IF(OR($F1052="",$D1052=""),"",IF($D1052="Receita",$F1052,IF($D1052="Transferência",0,-$F1052)))</f>
        <v/>
      </c>
    </row>
    <row r="1053">
      <c r="A1053" s="73" t="n"/>
      <c r="B1053" s="74" t="n"/>
      <c r="C1053" s="74" t="n"/>
      <c r="D1053" s="75">
        <f>IF($C1053="","",IFERROR(INDEX(CAT_TIPO,MATCH($C1053,CAT_NOME,0)),"Sem categoria"))</f>
        <v/>
      </c>
      <c r="E1053" s="75">
        <f>IF($C1053="","",IFERROR(INDEX(CAT_GRUPO,MATCH($C1053,CAT_NOME,0)),"Sem categoria"))</f>
        <v/>
      </c>
      <c r="F1053" s="76" t="n"/>
      <c r="G1053" s="74" t="n"/>
      <c r="H1053" s="74" t="n"/>
      <c r="I1053" s="74" t="n"/>
      <c r="J1053" s="77" t="n"/>
      <c r="K1053" s="77" t="n"/>
      <c r="L1053" s="74" t="n"/>
      <c r="M1053" s="74" t="n"/>
      <c r="O1053" s="78">
        <f>IF($A1053="","",YEAR($A1053)*100+MONTH($A1053))</f>
        <v/>
      </c>
      <c r="P1053" s="79">
        <f>IF(OR($F1053="",$D1053=""),"",IF($D1053="Receita",$F1053,IF($D1053="Transferência",0,-$F1053)))</f>
        <v/>
      </c>
    </row>
    <row r="1054">
      <c r="A1054" s="73" t="n"/>
      <c r="B1054" s="74" t="n"/>
      <c r="C1054" s="74" t="n"/>
      <c r="D1054" s="75">
        <f>IF($C1054="","",IFERROR(INDEX(CAT_TIPO,MATCH($C1054,CAT_NOME,0)),"Sem categoria"))</f>
        <v/>
      </c>
      <c r="E1054" s="75">
        <f>IF($C1054="","",IFERROR(INDEX(CAT_GRUPO,MATCH($C1054,CAT_NOME,0)),"Sem categoria"))</f>
        <v/>
      </c>
      <c r="F1054" s="76" t="n"/>
      <c r="G1054" s="74" t="n"/>
      <c r="H1054" s="74" t="n"/>
      <c r="I1054" s="74" t="n"/>
      <c r="J1054" s="77" t="n"/>
      <c r="K1054" s="77" t="n"/>
      <c r="L1054" s="74" t="n"/>
      <c r="M1054" s="74" t="n"/>
      <c r="O1054" s="78">
        <f>IF($A1054="","",YEAR($A1054)*100+MONTH($A1054))</f>
        <v/>
      </c>
      <c r="P1054" s="79">
        <f>IF(OR($F1054="",$D1054=""),"",IF($D1054="Receita",$F1054,IF($D1054="Transferência",0,-$F1054)))</f>
        <v/>
      </c>
    </row>
    <row r="1055">
      <c r="A1055" s="73" t="n"/>
      <c r="B1055" s="74" t="n"/>
      <c r="C1055" s="74" t="n"/>
      <c r="D1055" s="75">
        <f>IF($C1055="","",IFERROR(INDEX(CAT_TIPO,MATCH($C1055,CAT_NOME,0)),"Sem categoria"))</f>
        <v/>
      </c>
      <c r="E1055" s="75">
        <f>IF($C1055="","",IFERROR(INDEX(CAT_GRUPO,MATCH($C1055,CAT_NOME,0)),"Sem categoria"))</f>
        <v/>
      </c>
      <c r="F1055" s="76" t="n"/>
      <c r="G1055" s="74" t="n"/>
      <c r="H1055" s="74" t="n"/>
      <c r="I1055" s="74" t="n"/>
      <c r="J1055" s="77" t="n"/>
      <c r="K1055" s="77" t="n"/>
      <c r="L1055" s="74" t="n"/>
      <c r="M1055" s="74" t="n"/>
      <c r="O1055" s="78">
        <f>IF($A1055="","",YEAR($A1055)*100+MONTH($A1055))</f>
        <v/>
      </c>
      <c r="P1055" s="79">
        <f>IF(OR($F1055="",$D1055=""),"",IF($D1055="Receita",$F1055,IF($D1055="Transferência",0,-$F1055)))</f>
        <v/>
      </c>
    </row>
    <row r="1056">
      <c r="A1056" s="73" t="n"/>
      <c r="B1056" s="74" t="n"/>
      <c r="C1056" s="74" t="n"/>
      <c r="D1056" s="75">
        <f>IF($C1056="","",IFERROR(INDEX(CAT_TIPO,MATCH($C1056,CAT_NOME,0)),"Sem categoria"))</f>
        <v/>
      </c>
      <c r="E1056" s="75">
        <f>IF($C1056="","",IFERROR(INDEX(CAT_GRUPO,MATCH($C1056,CAT_NOME,0)),"Sem categoria"))</f>
        <v/>
      </c>
      <c r="F1056" s="76" t="n"/>
      <c r="G1056" s="74" t="n"/>
      <c r="H1056" s="74" t="n"/>
      <c r="I1056" s="74" t="n"/>
      <c r="J1056" s="77" t="n"/>
      <c r="K1056" s="77" t="n"/>
      <c r="L1056" s="74" t="n"/>
      <c r="M1056" s="74" t="n"/>
      <c r="O1056" s="78">
        <f>IF($A1056="","",YEAR($A1056)*100+MONTH($A1056))</f>
        <v/>
      </c>
      <c r="P1056" s="79">
        <f>IF(OR($F1056="",$D1056=""),"",IF($D1056="Receita",$F1056,IF($D1056="Transferência",0,-$F1056)))</f>
        <v/>
      </c>
    </row>
    <row r="1057">
      <c r="A1057" s="73" t="n"/>
      <c r="B1057" s="74" t="n"/>
      <c r="C1057" s="74" t="n"/>
      <c r="D1057" s="75">
        <f>IF($C1057="","",IFERROR(INDEX(CAT_TIPO,MATCH($C1057,CAT_NOME,0)),"Sem categoria"))</f>
        <v/>
      </c>
      <c r="E1057" s="75">
        <f>IF($C1057="","",IFERROR(INDEX(CAT_GRUPO,MATCH($C1057,CAT_NOME,0)),"Sem categoria"))</f>
        <v/>
      </c>
      <c r="F1057" s="76" t="n"/>
      <c r="G1057" s="74" t="n"/>
      <c r="H1057" s="74" t="n"/>
      <c r="I1057" s="74" t="n"/>
      <c r="J1057" s="77" t="n"/>
      <c r="K1057" s="77" t="n"/>
      <c r="L1057" s="74" t="n"/>
      <c r="M1057" s="74" t="n"/>
      <c r="O1057" s="78">
        <f>IF($A1057="","",YEAR($A1057)*100+MONTH($A1057))</f>
        <v/>
      </c>
      <c r="P1057" s="79">
        <f>IF(OR($F1057="",$D1057=""),"",IF($D1057="Receita",$F1057,IF($D1057="Transferência",0,-$F1057)))</f>
        <v/>
      </c>
    </row>
    <row r="1058">
      <c r="A1058" s="73" t="n"/>
      <c r="B1058" s="74" t="n"/>
      <c r="C1058" s="74" t="n"/>
      <c r="D1058" s="75">
        <f>IF($C1058="","",IFERROR(INDEX(CAT_TIPO,MATCH($C1058,CAT_NOME,0)),"Sem categoria"))</f>
        <v/>
      </c>
      <c r="E1058" s="75">
        <f>IF($C1058="","",IFERROR(INDEX(CAT_GRUPO,MATCH($C1058,CAT_NOME,0)),"Sem categoria"))</f>
        <v/>
      </c>
      <c r="F1058" s="76" t="n"/>
      <c r="G1058" s="74" t="n"/>
      <c r="H1058" s="74" t="n"/>
      <c r="I1058" s="74" t="n"/>
      <c r="J1058" s="77" t="n"/>
      <c r="K1058" s="77" t="n"/>
      <c r="L1058" s="74" t="n"/>
      <c r="M1058" s="74" t="n"/>
      <c r="O1058" s="78">
        <f>IF($A1058="","",YEAR($A1058)*100+MONTH($A1058))</f>
        <v/>
      </c>
      <c r="P1058" s="79">
        <f>IF(OR($F1058="",$D1058=""),"",IF($D1058="Receita",$F1058,IF($D1058="Transferência",0,-$F1058)))</f>
        <v/>
      </c>
    </row>
    <row r="1059">
      <c r="A1059" s="73" t="n"/>
      <c r="B1059" s="74" t="n"/>
      <c r="C1059" s="74" t="n"/>
      <c r="D1059" s="75">
        <f>IF($C1059="","",IFERROR(INDEX(CAT_TIPO,MATCH($C1059,CAT_NOME,0)),"Sem categoria"))</f>
        <v/>
      </c>
      <c r="E1059" s="75">
        <f>IF($C1059="","",IFERROR(INDEX(CAT_GRUPO,MATCH($C1059,CAT_NOME,0)),"Sem categoria"))</f>
        <v/>
      </c>
      <c r="F1059" s="76" t="n"/>
      <c r="G1059" s="74" t="n"/>
      <c r="H1059" s="74" t="n"/>
      <c r="I1059" s="74" t="n"/>
      <c r="J1059" s="77" t="n"/>
      <c r="K1059" s="77" t="n"/>
      <c r="L1059" s="74" t="n"/>
      <c r="M1059" s="74" t="n"/>
      <c r="O1059" s="78">
        <f>IF($A1059="","",YEAR($A1059)*100+MONTH($A1059))</f>
        <v/>
      </c>
      <c r="P1059" s="79">
        <f>IF(OR($F1059="",$D1059=""),"",IF($D1059="Receita",$F1059,IF($D1059="Transferência",0,-$F1059)))</f>
        <v/>
      </c>
    </row>
    <row r="1060">
      <c r="A1060" s="73" t="n"/>
      <c r="B1060" s="74" t="n"/>
      <c r="C1060" s="74" t="n"/>
      <c r="D1060" s="75">
        <f>IF($C1060="","",IFERROR(INDEX(CAT_TIPO,MATCH($C1060,CAT_NOME,0)),"Sem categoria"))</f>
        <v/>
      </c>
      <c r="E1060" s="75">
        <f>IF($C1060="","",IFERROR(INDEX(CAT_GRUPO,MATCH($C1060,CAT_NOME,0)),"Sem categoria"))</f>
        <v/>
      </c>
      <c r="F1060" s="76" t="n"/>
      <c r="G1060" s="74" t="n"/>
      <c r="H1060" s="74" t="n"/>
      <c r="I1060" s="74" t="n"/>
      <c r="J1060" s="77" t="n"/>
      <c r="K1060" s="77" t="n"/>
      <c r="L1060" s="74" t="n"/>
      <c r="M1060" s="74" t="n"/>
      <c r="O1060" s="78">
        <f>IF($A1060="","",YEAR($A1060)*100+MONTH($A1060))</f>
        <v/>
      </c>
      <c r="P1060" s="79">
        <f>IF(OR($F1060="",$D1060=""),"",IF($D1060="Receita",$F1060,IF($D1060="Transferência",0,-$F1060)))</f>
        <v/>
      </c>
    </row>
    <row r="1061">
      <c r="A1061" s="73" t="n"/>
      <c r="B1061" s="74" t="n"/>
      <c r="C1061" s="74" t="n"/>
      <c r="D1061" s="75">
        <f>IF($C1061="","",IFERROR(INDEX(CAT_TIPO,MATCH($C1061,CAT_NOME,0)),"Sem categoria"))</f>
        <v/>
      </c>
      <c r="E1061" s="75">
        <f>IF($C1061="","",IFERROR(INDEX(CAT_GRUPO,MATCH($C1061,CAT_NOME,0)),"Sem categoria"))</f>
        <v/>
      </c>
      <c r="F1061" s="76" t="n"/>
      <c r="G1061" s="74" t="n"/>
      <c r="H1061" s="74" t="n"/>
      <c r="I1061" s="74" t="n"/>
      <c r="J1061" s="77" t="n"/>
      <c r="K1061" s="77" t="n"/>
      <c r="L1061" s="74" t="n"/>
      <c r="M1061" s="74" t="n"/>
      <c r="O1061" s="78">
        <f>IF($A1061="","",YEAR($A1061)*100+MONTH($A1061))</f>
        <v/>
      </c>
      <c r="P1061" s="79">
        <f>IF(OR($F1061="",$D1061=""),"",IF($D1061="Receita",$F1061,IF($D1061="Transferência",0,-$F1061)))</f>
        <v/>
      </c>
    </row>
    <row r="1062">
      <c r="A1062" s="73" t="n"/>
      <c r="B1062" s="74" t="n"/>
      <c r="C1062" s="74" t="n"/>
      <c r="D1062" s="75">
        <f>IF($C1062="","",IFERROR(INDEX(CAT_TIPO,MATCH($C1062,CAT_NOME,0)),"Sem categoria"))</f>
        <v/>
      </c>
      <c r="E1062" s="75">
        <f>IF($C1062="","",IFERROR(INDEX(CAT_GRUPO,MATCH($C1062,CAT_NOME,0)),"Sem categoria"))</f>
        <v/>
      </c>
      <c r="F1062" s="76" t="n"/>
      <c r="G1062" s="74" t="n"/>
      <c r="H1062" s="74" t="n"/>
      <c r="I1062" s="74" t="n"/>
      <c r="J1062" s="77" t="n"/>
      <c r="K1062" s="77" t="n"/>
      <c r="L1062" s="74" t="n"/>
      <c r="M1062" s="74" t="n"/>
      <c r="O1062" s="78">
        <f>IF($A1062="","",YEAR($A1062)*100+MONTH($A1062))</f>
        <v/>
      </c>
      <c r="P1062" s="79">
        <f>IF(OR($F1062="",$D1062=""),"",IF($D1062="Receita",$F1062,IF($D1062="Transferência",0,-$F1062)))</f>
        <v/>
      </c>
    </row>
    <row r="1063">
      <c r="A1063" s="73" t="n"/>
      <c r="B1063" s="74" t="n"/>
      <c r="C1063" s="74" t="n"/>
      <c r="D1063" s="75">
        <f>IF($C1063="","",IFERROR(INDEX(CAT_TIPO,MATCH($C1063,CAT_NOME,0)),"Sem categoria"))</f>
        <v/>
      </c>
      <c r="E1063" s="75">
        <f>IF($C1063="","",IFERROR(INDEX(CAT_GRUPO,MATCH($C1063,CAT_NOME,0)),"Sem categoria"))</f>
        <v/>
      </c>
      <c r="F1063" s="76" t="n"/>
      <c r="G1063" s="74" t="n"/>
      <c r="H1063" s="74" t="n"/>
      <c r="I1063" s="74" t="n"/>
      <c r="J1063" s="77" t="n"/>
      <c r="K1063" s="77" t="n"/>
      <c r="L1063" s="74" t="n"/>
      <c r="M1063" s="74" t="n"/>
      <c r="O1063" s="78">
        <f>IF($A1063="","",YEAR($A1063)*100+MONTH($A1063))</f>
        <v/>
      </c>
      <c r="P1063" s="79">
        <f>IF(OR($F1063="",$D1063=""),"",IF($D1063="Receita",$F1063,IF($D1063="Transferência",0,-$F1063)))</f>
        <v/>
      </c>
    </row>
    <row r="1064">
      <c r="A1064" s="73" t="n"/>
      <c r="B1064" s="74" t="n"/>
      <c r="C1064" s="74" t="n"/>
      <c r="D1064" s="75">
        <f>IF($C1064="","",IFERROR(INDEX(CAT_TIPO,MATCH($C1064,CAT_NOME,0)),"Sem categoria"))</f>
        <v/>
      </c>
      <c r="E1064" s="75">
        <f>IF($C1064="","",IFERROR(INDEX(CAT_GRUPO,MATCH($C1064,CAT_NOME,0)),"Sem categoria"))</f>
        <v/>
      </c>
      <c r="F1064" s="76" t="n"/>
      <c r="G1064" s="74" t="n"/>
      <c r="H1064" s="74" t="n"/>
      <c r="I1064" s="74" t="n"/>
      <c r="J1064" s="77" t="n"/>
      <c r="K1064" s="77" t="n"/>
      <c r="L1064" s="74" t="n"/>
      <c r="M1064" s="74" t="n"/>
      <c r="O1064" s="78">
        <f>IF($A1064="","",YEAR($A1064)*100+MONTH($A1064))</f>
        <v/>
      </c>
      <c r="P1064" s="79">
        <f>IF(OR($F1064="",$D1064=""),"",IF($D1064="Receita",$F1064,IF($D1064="Transferência",0,-$F1064)))</f>
        <v/>
      </c>
    </row>
    <row r="1065">
      <c r="A1065" s="73" t="n"/>
      <c r="B1065" s="74" t="n"/>
      <c r="C1065" s="74" t="n"/>
      <c r="D1065" s="75">
        <f>IF($C1065="","",IFERROR(INDEX(CAT_TIPO,MATCH($C1065,CAT_NOME,0)),"Sem categoria"))</f>
        <v/>
      </c>
      <c r="E1065" s="75">
        <f>IF($C1065="","",IFERROR(INDEX(CAT_GRUPO,MATCH($C1065,CAT_NOME,0)),"Sem categoria"))</f>
        <v/>
      </c>
      <c r="F1065" s="76" t="n"/>
      <c r="G1065" s="74" t="n"/>
      <c r="H1065" s="74" t="n"/>
      <c r="I1065" s="74" t="n"/>
      <c r="J1065" s="77" t="n"/>
      <c r="K1065" s="77" t="n"/>
      <c r="L1065" s="74" t="n"/>
      <c r="M1065" s="74" t="n"/>
      <c r="O1065" s="78">
        <f>IF($A1065="","",YEAR($A1065)*100+MONTH($A1065))</f>
        <v/>
      </c>
      <c r="P1065" s="79">
        <f>IF(OR($F1065="",$D1065=""),"",IF($D1065="Receita",$F1065,IF($D1065="Transferência",0,-$F1065)))</f>
        <v/>
      </c>
    </row>
    <row r="1066">
      <c r="A1066" s="73" t="n"/>
      <c r="B1066" s="74" t="n"/>
      <c r="C1066" s="74" t="n"/>
      <c r="D1066" s="75">
        <f>IF($C1066="","",IFERROR(INDEX(CAT_TIPO,MATCH($C1066,CAT_NOME,0)),"Sem categoria"))</f>
        <v/>
      </c>
      <c r="E1066" s="75">
        <f>IF($C1066="","",IFERROR(INDEX(CAT_GRUPO,MATCH($C1066,CAT_NOME,0)),"Sem categoria"))</f>
        <v/>
      </c>
      <c r="F1066" s="76" t="n"/>
      <c r="G1066" s="74" t="n"/>
      <c r="H1066" s="74" t="n"/>
      <c r="I1066" s="74" t="n"/>
      <c r="J1066" s="77" t="n"/>
      <c r="K1066" s="77" t="n"/>
      <c r="L1066" s="74" t="n"/>
      <c r="M1066" s="74" t="n"/>
      <c r="O1066" s="78">
        <f>IF($A1066="","",YEAR($A1066)*100+MONTH($A1066))</f>
        <v/>
      </c>
      <c r="P1066" s="79">
        <f>IF(OR($F1066="",$D1066=""),"",IF($D1066="Receita",$F1066,IF($D1066="Transferência",0,-$F1066)))</f>
        <v/>
      </c>
    </row>
    <row r="1067">
      <c r="A1067" s="73" t="n"/>
      <c r="B1067" s="74" t="n"/>
      <c r="C1067" s="74" t="n"/>
      <c r="D1067" s="75">
        <f>IF($C1067="","",IFERROR(INDEX(CAT_TIPO,MATCH($C1067,CAT_NOME,0)),"Sem categoria"))</f>
        <v/>
      </c>
      <c r="E1067" s="75">
        <f>IF($C1067="","",IFERROR(INDEX(CAT_GRUPO,MATCH($C1067,CAT_NOME,0)),"Sem categoria"))</f>
        <v/>
      </c>
      <c r="F1067" s="76" t="n"/>
      <c r="G1067" s="74" t="n"/>
      <c r="H1067" s="74" t="n"/>
      <c r="I1067" s="74" t="n"/>
      <c r="J1067" s="77" t="n"/>
      <c r="K1067" s="77" t="n"/>
      <c r="L1067" s="74" t="n"/>
      <c r="M1067" s="74" t="n"/>
      <c r="O1067" s="78">
        <f>IF($A1067="","",YEAR($A1067)*100+MONTH($A1067))</f>
        <v/>
      </c>
      <c r="P1067" s="79">
        <f>IF(OR($F1067="",$D1067=""),"",IF($D1067="Receita",$F1067,IF($D1067="Transferência",0,-$F1067)))</f>
        <v/>
      </c>
    </row>
    <row r="1068">
      <c r="A1068" s="73" t="n"/>
      <c r="B1068" s="74" t="n"/>
      <c r="C1068" s="74" t="n"/>
      <c r="D1068" s="75">
        <f>IF($C1068="","",IFERROR(INDEX(CAT_TIPO,MATCH($C1068,CAT_NOME,0)),"Sem categoria"))</f>
        <v/>
      </c>
      <c r="E1068" s="75">
        <f>IF($C1068="","",IFERROR(INDEX(CAT_GRUPO,MATCH($C1068,CAT_NOME,0)),"Sem categoria"))</f>
        <v/>
      </c>
      <c r="F1068" s="76" t="n"/>
      <c r="G1068" s="74" t="n"/>
      <c r="H1068" s="74" t="n"/>
      <c r="I1068" s="74" t="n"/>
      <c r="J1068" s="77" t="n"/>
      <c r="K1068" s="77" t="n"/>
      <c r="L1068" s="74" t="n"/>
      <c r="M1068" s="74" t="n"/>
      <c r="O1068" s="78">
        <f>IF($A1068="","",YEAR($A1068)*100+MONTH($A1068))</f>
        <v/>
      </c>
      <c r="P1068" s="79">
        <f>IF(OR($F1068="",$D1068=""),"",IF($D1068="Receita",$F1068,IF($D1068="Transferência",0,-$F1068)))</f>
        <v/>
      </c>
    </row>
    <row r="1069">
      <c r="A1069" s="73" t="n"/>
      <c r="B1069" s="74" t="n"/>
      <c r="C1069" s="74" t="n"/>
      <c r="D1069" s="75">
        <f>IF($C1069="","",IFERROR(INDEX(CAT_TIPO,MATCH($C1069,CAT_NOME,0)),"Sem categoria"))</f>
        <v/>
      </c>
      <c r="E1069" s="75">
        <f>IF($C1069="","",IFERROR(INDEX(CAT_GRUPO,MATCH($C1069,CAT_NOME,0)),"Sem categoria"))</f>
        <v/>
      </c>
      <c r="F1069" s="76" t="n"/>
      <c r="G1069" s="74" t="n"/>
      <c r="H1069" s="74" t="n"/>
      <c r="I1069" s="74" t="n"/>
      <c r="J1069" s="77" t="n"/>
      <c r="K1069" s="77" t="n"/>
      <c r="L1069" s="74" t="n"/>
      <c r="M1069" s="74" t="n"/>
      <c r="O1069" s="78">
        <f>IF($A1069="","",YEAR($A1069)*100+MONTH($A1069))</f>
        <v/>
      </c>
      <c r="P1069" s="79">
        <f>IF(OR($F1069="",$D1069=""),"",IF($D1069="Receita",$F1069,IF($D1069="Transferência",0,-$F1069)))</f>
        <v/>
      </c>
    </row>
    <row r="1070">
      <c r="A1070" s="73" t="n"/>
      <c r="B1070" s="74" t="n"/>
      <c r="C1070" s="74" t="n"/>
      <c r="D1070" s="75">
        <f>IF($C1070="","",IFERROR(INDEX(CAT_TIPO,MATCH($C1070,CAT_NOME,0)),"Sem categoria"))</f>
        <v/>
      </c>
      <c r="E1070" s="75">
        <f>IF($C1070="","",IFERROR(INDEX(CAT_GRUPO,MATCH($C1070,CAT_NOME,0)),"Sem categoria"))</f>
        <v/>
      </c>
      <c r="F1070" s="76" t="n"/>
      <c r="G1070" s="74" t="n"/>
      <c r="H1070" s="74" t="n"/>
      <c r="I1070" s="74" t="n"/>
      <c r="J1070" s="77" t="n"/>
      <c r="K1070" s="77" t="n"/>
      <c r="L1070" s="74" t="n"/>
      <c r="M1070" s="74" t="n"/>
      <c r="O1070" s="78">
        <f>IF($A1070="","",YEAR($A1070)*100+MONTH($A1070))</f>
        <v/>
      </c>
      <c r="P1070" s="79">
        <f>IF(OR($F1070="",$D1070=""),"",IF($D1070="Receita",$F1070,IF($D1070="Transferência",0,-$F1070)))</f>
        <v/>
      </c>
    </row>
    <row r="1071">
      <c r="A1071" s="73" t="n"/>
      <c r="B1071" s="74" t="n"/>
      <c r="C1071" s="74" t="n"/>
      <c r="D1071" s="75">
        <f>IF($C1071="","",IFERROR(INDEX(CAT_TIPO,MATCH($C1071,CAT_NOME,0)),"Sem categoria"))</f>
        <v/>
      </c>
      <c r="E1071" s="75">
        <f>IF($C1071="","",IFERROR(INDEX(CAT_GRUPO,MATCH($C1071,CAT_NOME,0)),"Sem categoria"))</f>
        <v/>
      </c>
      <c r="F1071" s="76" t="n"/>
      <c r="G1071" s="74" t="n"/>
      <c r="H1071" s="74" t="n"/>
      <c r="I1071" s="74" t="n"/>
      <c r="J1071" s="77" t="n"/>
      <c r="K1071" s="77" t="n"/>
      <c r="L1071" s="74" t="n"/>
      <c r="M1071" s="74" t="n"/>
      <c r="O1071" s="78">
        <f>IF($A1071="","",YEAR($A1071)*100+MONTH($A1071))</f>
        <v/>
      </c>
      <c r="P1071" s="79">
        <f>IF(OR($F1071="",$D1071=""),"",IF($D1071="Receita",$F1071,IF($D1071="Transferência",0,-$F1071)))</f>
        <v/>
      </c>
    </row>
    <row r="1072">
      <c r="A1072" s="73" t="n"/>
      <c r="B1072" s="74" t="n"/>
      <c r="C1072" s="74" t="n"/>
      <c r="D1072" s="75">
        <f>IF($C1072="","",IFERROR(INDEX(CAT_TIPO,MATCH($C1072,CAT_NOME,0)),"Sem categoria"))</f>
        <v/>
      </c>
      <c r="E1072" s="75">
        <f>IF($C1072="","",IFERROR(INDEX(CAT_GRUPO,MATCH($C1072,CAT_NOME,0)),"Sem categoria"))</f>
        <v/>
      </c>
      <c r="F1072" s="76" t="n"/>
      <c r="G1072" s="74" t="n"/>
      <c r="H1072" s="74" t="n"/>
      <c r="I1072" s="74" t="n"/>
      <c r="J1072" s="77" t="n"/>
      <c r="K1072" s="77" t="n"/>
      <c r="L1072" s="74" t="n"/>
      <c r="M1072" s="74" t="n"/>
      <c r="O1072" s="78">
        <f>IF($A1072="","",YEAR($A1072)*100+MONTH($A1072))</f>
        <v/>
      </c>
      <c r="P1072" s="79">
        <f>IF(OR($F1072="",$D1072=""),"",IF($D1072="Receita",$F1072,IF($D1072="Transferência",0,-$F1072)))</f>
        <v/>
      </c>
    </row>
    <row r="1073">
      <c r="A1073" s="73" t="n"/>
      <c r="B1073" s="74" t="n"/>
      <c r="C1073" s="74" t="n"/>
      <c r="D1073" s="75">
        <f>IF($C1073="","",IFERROR(INDEX(CAT_TIPO,MATCH($C1073,CAT_NOME,0)),"Sem categoria"))</f>
        <v/>
      </c>
      <c r="E1073" s="75">
        <f>IF($C1073="","",IFERROR(INDEX(CAT_GRUPO,MATCH($C1073,CAT_NOME,0)),"Sem categoria"))</f>
        <v/>
      </c>
      <c r="F1073" s="76" t="n"/>
      <c r="G1073" s="74" t="n"/>
      <c r="H1073" s="74" t="n"/>
      <c r="I1073" s="74" t="n"/>
      <c r="J1073" s="77" t="n"/>
      <c r="K1073" s="77" t="n"/>
      <c r="L1073" s="74" t="n"/>
      <c r="M1073" s="74" t="n"/>
      <c r="O1073" s="78">
        <f>IF($A1073="","",YEAR($A1073)*100+MONTH($A1073))</f>
        <v/>
      </c>
      <c r="P1073" s="79">
        <f>IF(OR($F1073="",$D1073=""),"",IF($D1073="Receita",$F1073,IF($D1073="Transferência",0,-$F1073)))</f>
        <v/>
      </c>
    </row>
    <row r="1074">
      <c r="A1074" s="73" t="n"/>
      <c r="B1074" s="74" t="n"/>
      <c r="C1074" s="74" t="n"/>
      <c r="D1074" s="75">
        <f>IF($C1074="","",IFERROR(INDEX(CAT_TIPO,MATCH($C1074,CAT_NOME,0)),"Sem categoria"))</f>
        <v/>
      </c>
      <c r="E1074" s="75">
        <f>IF($C1074="","",IFERROR(INDEX(CAT_GRUPO,MATCH($C1074,CAT_NOME,0)),"Sem categoria"))</f>
        <v/>
      </c>
      <c r="F1074" s="76" t="n"/>
      <c r="G1074" s="74" t="n"/>
      <c r="H1074" s="74" t="n"/>
      <c r="I1074" s="74" t="n"/>
      <c r="J1074" s="77" t="n"/>
      <c r="K1074" s="77" t="n"/>
      <c r="L1074" s="74" t="n"/>
      <c r="M1074" s="74" t="n"/>
      <c r="O1074" s="78">
        <f>IF($A1074="","",YEAR($A1074)*100+MONTH($A1074))</f>
        <v/>
      </c>
      <c r="P1074" s="79">
        <f>IF(OR($F1074="",$D1074=""),"",IF($D1074="Receita",$F1074,IF($D1074="Transferência",0,-$F1074)))</f>
        <v/>
      </c>
    </row>
    <row r="1075">
      <c r="A1075" s="73" t="n"/>
      <c r="B1075" s="74" t="n"/>
      <c r="C1075" s="74" t="n"/>
      <c r="D1075" s="75">
        <f>IF($C1075="","",IFERROR(INDEX(CAT_TIPO,MATCH($C1075,CAT_NOME,0)),"Sem categoria"))</f>
        <v/>
      </c>
      <c r="E1075" s="75">
        <f>IF($C1075="","",IFERROR(INDEX(CAT_GRUPO,MATCH($C1075,CAT_NOME,0)),"Sem categoria"))</f>
        <v/>
      </c>
      <c r="F1075" s="76" t="n"/>
      <c r="G1075" s="74" t="n"/>
      <c r="H1075" s="74" t="n"/>
      <c r="I1075" s="74" t="n"/>
      <c r="J1075" s="77" t="n"/>
      <c r="K1075" s="77" t="n"/>
      <c r="L1075" s="74" t="n"/>
      <c r="M1075" s="74" t="n"/>
      <c r="O1075" s="78">
        <f>IF($A1075="","",YEAR($A1075)*100+MONTH($A1075))</f>
        <v/>
      </c>
      <c r="P1075" s="79">
        <f>IF(OR($F1075="",$D1075=""),"",IF($D1075="Receita",$F1075,IF($D1075="Transferência",0,-$F1075)))</f>
        <v/>
      </c>
    </row>
    <row r="1076">
      <c r="A1076" s="73" t="n"/>
      <c r="B1076" s="74" t="n"/>
      <c r="C1076" s="74" t="n"/>
      <c r="D1076" s="75">
        <f>IF($C1076="","",IFERROR(INDEX(CAT_TIPO,MATCH($C1076,CAT_NOME,0)),"Sem categoria"))</f>
        <v/>
      </c>
      <c r="E1076" s="75">
        <f>IF($C1076="","",IFERROR(INDEX(CAT_GRUPO,MATCH($C1076,CAT_NOME,0)),"Sem categoria"))</f>
        <v/>
      </c>
      <c r="F1076" s="76" t="n"/>
      <c r="G1076" s="74" t="n"/>
      <c r="H1076" s="74" t="n"/>
      <c r="I1076" s="74" t="n"/>
      <c r="J1076" s="77" t="n"/>
      <c r="K1076" s="77" t="n"/>
      <c r="L1076" s="74" t="n"/>
      <c r="M1076" s="74" t="n"/>
      <c r="O1076" s="78">
        <f>IF($A1076="","",YEAR($A1076)*100+MONTH($A1076))</f>
        <v/>
      </c>
      <c r="P1076" s="79">
        <f>IF(OR($F1076="",$D1076=""),"",IF($D1076="Receita",$F1076,IF($D1076="Transferência",0,-$F1076)))</f>
        <v/>
      </c>
    </row>
    <row r="1077">
      <c r="A1077" s="73" t="n"/>
      <c r="B1077" s="74" t="n"/>
      <c r="C1077" s="74" t="n"/>
      <c r="D1077" s="75">
        <f>IF($C1077="","",IFERROR(INDEX(CAT_TIPO,MATCH($C1077,CAT_NOME,0)),"Sem categoria"))</f>
        <v/>
      </c>
      <c r="E1077" s="75">
        <f>IF($C1077="","",IFERROR(INDEX(CAT_GRUPO,MATCH($C1077,CAT_NOME,0)),"Sem categoria"))</f>
        <v/>
      </c>
      <c r="F1077" s="76" t="n"/>
      <c r="G1077" s="74" t="n"/>
      <c r="H1077" s="74" t="n"/>
      <c r="I1077" s="74" t="n"/>
      <c r="J1077" s="77" t="n"/>
      <c r="K1077" s="77" t="n"/>
      <c r="L1077" s="74" t="n"/>
      <c r="M1077" s="74" t="n"/>
      <c r="O1077" s="78">
        <f>IF($A1077="","",YEAR($A1077)*100+MONTH($A1077))</f>
        <v/>
      </c>
      <c r="P1077" s="79">
        <f>IF(OR($F1077="",$D1077=""),"",IF($D1077="Receita",$F1077,IF($D1077="Transferência",0,-$F1077)))</f>
        <v/>
      </c>
    </row>
    <row r="1078">
      <c r="A1078" s="73" t="n"/>
      <c r="B1078" s="74" t="n"/>
      <c r="C1078" s="74" t="n"/>
      <c r="D1078" s="75">
        <f>IF($C1078="","",IFERROR(INDEX(CAT_TIPO,MATCH($C1078,CAT_NOME,0)),"Sem categoria"))</f>
        <v/>
      </c>
      <c r="E1078" s="75">
        <f>IF($C1078="","",IFERROR(INDEX(CAT_GRUPO,MATCH($C1078,CAT_NOME,0)),"Sem categoria"))</f>
        <v/>
      </c>
      <c r="F1078" s="76" t="n"/>
      <c r="G1078" s="74" t="n"/>
      <c r="H1078" s="74" t="n"/>
      <c r="I1078" s="74" t="n"/>
      <c r="J1078" s="77" t="n"/>
      <c r="K1078" s="77" t="n"/>
      <c r="L1078" s="74" t="n"/>
      <c r="M1078" s="74" t="n"/>
      <c r="O1078" s="78">
        <f>IF($A1078="","",YEAR($A1078)*100+MONTH($A1078))</f>
        <v/>
      </c>
      <c r="P1078" s="79">
        <f>IF(OR($F1078="",$D1078=""),"",IF($D1078="Receita",$F1078,IF($D1078="Transferência",0,-$F1078)))</f>
        <v/>
      </c>
    </row>
    <row r="1079">
      <c r="A1079" s="73" t="n"/>
      <c r="B1079" s="74" t="n"/>
      <c r="C1079" s="74" t="n"/>
      <c r="D1079" s="75">
        <f>IF($C1079="","",IFERROR(INDEX(CAT_TIPO,MATCH($C1079,CAT_NOME,0)),"Sem categoria"))</f>
        <v/>
      </c>
      <c r="E1079" s="75">
        <f>IF($C1079="","",IFERROR(INDEX(CAT_GRUPO,MATCH($C1079,CAT_NOME,0)),"Sem categoria"))</f>
        <v/>
      </c>
      <c r="F1079" s="76" t="n"/>
      <c r="G1079" s="74" t="n"/>
      <c r="H1079" s="74" t="n"/>
      <c r="I1079" s="74" t="n"/>
      <c r="J1079" s="77" t="n"/>
      <c r="K1079" s="77" t="n"/>
      <c r="L1079" s="74" t="n"/>
      <c r="M1079" s="74" t="n"/>
      <c r="O1079" s="78">
        <f>IF($A1079="","",YEAR($A1079)*100+MONTH($A1079))</f>
        <v/>
      </c>
      <c r="P1079" s="79">
        <f>IF(OR($F1079="",$D1079=""),"",IF($D1079="Receita",$F1079,IF($D1079="Transferência",0,-$F1079)))</f>
        <v/>
      </c>
    </row>
    <row r="1080">
      <c r="A1080" s="73" t="n"/>
      <c r="B1080" s="74" t="n"/>
      <c r="C1080" s="74" t="n"/>
      <c r="D1080" s="75">
        <f>IF($C1080="","",IFERROR(INDEX(CAT_TIPO,MATCH($C1080,CAT_NOME,0)),"Sem categoria"))</f>
        <v/>
      </c>
      <c r="E1080" s="75">
        <f>IF($C1080="","",IFERROR(INDEX(CAT_GRUPO,MATCH($C1080,CAT_NOME,0)),"Sem categoria"))</f>
        <v/>
      </c>
      <c r="F1080" s="76" t="n"/>
      <c r="G1080" s="74" t="n"/>
      <c r="H1080" s="74" t="n"/>
      <c r="I1080" s="74" t="n"/>
      <c r="J1080" s="77" t="n"/>
      <c r="K1080" s="77" t="n"/>
      <c r="L1080" s="74" t="n"/>
      <c r="M1080" s="74" t="n"/>
      <c r="O1080" s="78">
        <f>IF($A1080="","",YEAR($A1080)*100+MONTH($A1080))</f>
        <v/>
      </c>
      <c r="P1080" s="79">
        <f>IF(OR($F1080="",$D1080=""),"",IF($D1080="Receita",$F1080,IF($D1080="Transferência",0,-$F1080)))</f>
        <v/>
      </c>
    </row>
    <row r="1081">
      <c r="A1081" s="73" t="n"/>
      <c r="B1081" s="74" t="n"/>
      <c r="C1081" s="74" t="n"/>
      <c r="D1081" s="75">
        <f>IF($C1081="","",IFERROR(INDEX(CAT_TIPO,MATCH($C1081,CAT_NOME,0)),"Sem categoria"))</f>
        <v/>
      </c>
      <c r="E1081" s="75">
        <f>IF($C1081="","",IFERROR(INDEX(CAT_GRUPO,MATCH($C1081,CAT_NOME,0)),"Sem categoria"))</f>
        <v/>
      </c>
      <c r="F1081" s="76" t="n"/>
      <c r="G1081" s="74" t="n"/>
      <c r="H1081" s="74" t="n"/>
      <c r="I1081" s="74" t="n"/>
      <c r="J1081" s="77" t="n"/>
      <c r="K1081" s="77" t="n"/>
      <c r="L1081" s="74" t="n"/>
      <c r="M1081" s="74" t="n"/>
      <c r="O1081" s="78">
        <f>IF($A1081="","",YEAR($A1081)*100+MONTH($A1081))</f>
        <v/>
      </c>
      <c r="P1081" s="79">
        <f>IF(OR($F1081="",$D1081=""),"",IF($D1081="Receita",$F1081,IF($D1081="Transferência",0,-$F1081)))</f>
        <v/>
      </c>
    </row>
    <row r="1082">
      <c r="A1082" s="73" t="n"/>
      <c r="B1082" s="74" t="n"/>
      <c r="C1082" s="74" t="n"/>
      <c r="D1082" s="75">
        <f>IF($C1082="","",IFERROR(INDEX(CAT_TIPO,MATCH($C1082,CAT_NOME,0)),"Sem categoria"))</f>
        <v/>
      </c>
      <c r="E1082" s="75">
        <f>IF($C1082="","",IFERROR(INDEX(CAT_GRUPO,MATCH($C1082,CAT_NOME,0)),"Sem categoria"))</f>
        <v/>
      </c>
      <c r="F1082" s="76" t="n"/>
      <c r="G1082" s="74" t="n"/>
      <c r="H1082" s="74" t="n"/>
      <c r="I1082" s="74" t="n"/>
      <c r="J1082" s="77" t="n"/>
      <c r="K1082" s="77" t="n"/>
      <c r="L1082" s="74" t="n"/>
      <c r="M1082" s="74" t="n"/>
      <c r="O1082" s="78">
        <f>IF($A1082="","",YEAR($A1082)*100+MONTH($A1082))</f>
        <v/>
      </c>
      <c r="P1082" s="79">
        <f>IF(OR($F1082="",$D1082=""),"",IF($D1082="Receita",$F1082,IF($D1082="Transferência",0,-$F1082)))</f>
        <v/>
      </c>
    </row>
    <row r="1083">
      <c r="A1083" s="73" t="n"/>
      <c r="B1083" s="74" t="n"/>
      <c r="C1083" s="74" t="n"/>
      <c r="D1083" s="75">
        <f>IF($C1083="","",IFERROR(INDEX(CAT_TIPO,MATCH($C1083,CAT_NOME,0)),"Sem categoria"))</f>
        <v/>
      </c>
      <c r="E1083" s="75">
        <f>IF($C1083="","",IFERROR(INDEX(CAT_GRUPO,MATCH($C1083,CAT_NOME,0)),"Sem categoria"))</f>
        <v/>
      </c>
      <c r="F1083" s="76" t="n"/>
      <c r="G1083" s="74" t="n"/>
      <c r="H1083" s="74" t="n"/>
      <c r="I1083" s="74" t="n"/>
      <c r="J1083" s="77" t="n"/>
      <c r="K1083" s="77" t="n"/>
      <c r="L1083" s="74" t="n"/>
      <c r="M1083" s="74" t="n"/>
      <c r="O1083" s="78">
        <f>IF($A1083="","",YEAR($A1083)*100+MONTH($A1083))</f>
        <v/>
      </c>
      <c r="P1083" s="79">
        <f>IF(OR($F1083="",$D1083=""),"",IF($D1083="Receita",$F1083,IF($D1083="Transferência",0,-$F1083)))</f>
        <v/>
      </c>
    </row>
    <row r="1084">
      <c r="A1084" s="73" t="n"/>
      <c r="B1084" s="74" t="n"/>
      <c r="C1084" s="74" t="n"/>
      <c r="D1084" s="75">
        <f>IF($C1084="","",IFERROR(INDEX(CAT_TIPO,MATCH($C1084,CAT_NOME,0)),"Sem categoria"))</f>
        <v/>
      </c>
      <c r="E1084" s="75">
        <f>IF($C1084="","",IFERROR(INDEX(CAT_GRUPO,MATCH($C1084,CAT_NOME,0)),"Sem categoria"))</f>
        <v/>
      </c>
      <c r="F1084" s="76" t="n"/>
      <c r="G1084" s="74" t="n"/>
      <c r="H1084" s="74" t="n"/>
      <c r="I1084" s="74" t="n"/>
      <c r="J1084" s="77" t="n"/>
      <c r="K1084" s="77" t="n"/>
      <c r="L1084" s="74" t="n"/>
      <c r="M1084" s="74" t="n"/>
      <c r="O1084" s="78">
        <f>IF($A1084="","",YEAR($A1084)*100+MONTH($A1084))</f>
        <v/>
      </c>
      <c r="P1084" s="79">
        <f>IF(OR($F1084="",$D1084=""),"",IF($D1084="Receita",$F1084,IF($D1084="Transferência",0,-$F1084)))</f>
        <v/>
      </c>
    </row>
    <row r="1085">
      <c r="A1085" s="73" t="n"/>
      <c r="B1085" s="74" t="n"/>
      <c r="C1085" s="74" t="n"/>
      <c r="D1085" s="75">
        <f>IF($C1085="","",IFERROR(INDEX(CAT_TIPO,MATCH($C1085,CAT_NOME,0)),"Sem categoria"))</f>
        <v/>
      </c>
      <c r="E1085" s="75">
        <f>IF($C1085="","",IFERROR(INDEX(CAT_GRUPO,MATCH($C1085,CAT_NOME,0)),"Sem categoria"))</f>
        <v/>
      </c>
      <c r="F1085" s="76" t="n"/>
      <c r="G1085" s="74" t="n"/>
      <c r="H1085" s="74" t="n"/>
      <c r="I1085" s="74" t="n"/>
      <c r="J1085" s="77" t="n"/>
      <c r="K1085" s="77" t="n"/>
      <c r="L1085" s="74" t="n"/>
      <c r="M1085" s="74" t="n"/>
      <c r="O1085" s="78">
        <f>IF($A1085="","",YEAR($A1085)*100+MONTH($A1085))</f>
        <v/>
      </c>
      <c r="P1085" s="79">
        <f>IF(OR($F1085="",$D1085=""),"",IF($D1085="Receita",$F1085,IF($D1085="Transferência",0,-$F1085)))</f>
        <v/>
      </c>
    </row>
    <row r="1086">
      <c r="A1086" s="73" t="n"/>
      <c r="B1086" s="74" t="n"/>
      <c r="C1086" s="74" t="n"/>
      <c r="D1086" s="75">
        <f>IF($C1086="","",IFERROR(INDEX(CAT_TIPO,MATCH($C1086,CAT_NOME,0)),"Sem categoria"))</f>
        <v/>
      </c>
      <c r="E1086" s="75">
        <f>IF($C1086="","",IFERROR(INDEX(CAT_GRUPO,MATCH($C1086,CAT_NOME,0)),"Sem categoria"))</f>
        <v/>
      </c>
      <c r="F1086" s="76" t="n"/>
      <c r="G1086" s="74" t="n"/>
      <c r="H1086" s="74" t="n"/>
      <c r="I1086" s="74" t="n"/>
      <c r="J1086" s="77" t="n"/>
      <c r="K1086" s="77" t="n"/>
      <c r="L1086" s="74" t="n"/>
      <c r="M1086" s="74" t="n"/>
      <c r="O1086" s="78">
        <f>IF($A1086="","",YEAR($A1086)*100+MONTH($A1086))</f>
        <v/>
      </c>
      <c r="P1086" s="79">
        <f>IF(OR($F1086="",$D1086=""),"",IF($D1086="Receita",$F1086,IF($D1086="Transferência",0,-$F1086)))</f>
        <v/>
      </c>
    </row>
    <row r="1087">
      <c r="A1087" s="73" t="n"/>
      <c r="B1087" s="74" t="n"/>
      <c r="C1087" s="74" t="n"/>
      <c r="D1087" s="75">
        <f>IF($C1087="","",IFERROR(INDEX(CAT_TIPO,MATCH($C1087,CAT_NOME,0)),"Sem categoria"))</f>
        <v/>
      </c>
      <c r="E1087" s="75">
        <f>IF($C1087="","",IFERROR(INDEX(CAT_GRUPO,MATCH($C1087,CAT_NOME,0)),"Sem categoria"))</f>
        <v/>
      </c>
      <c r="F1087" s="76" t="n"/>
      <c r="G1087" s="74" t="n"/>
      <c r="H1087" s="74" t="n"/>
      <c r="I1087" s="74" t="n"/>
      <c r="J1087" s="77" t="n"/>
      <c r="K1087" s="77" t="n"/>
      <c r="L1087" s="74" t="n"/>
      <c r="M1087" s="74" t="n"/>
      <c r="O1087" s="78">
        <f>IF($A1087="","",YEAR($A1087)*100+MONTH($A1087))</f>
        <v/>
      </c>
      <c r="P1087" s="79">
        <f>IF(OR($F1087="",$D1087=""),"",IF($D1087="Receita",$F1087,IF($D1087="Transferência",0,-$F1087)))</f>
        <v/>
      </c>
    </row>
    <row r="1088">
      <c r="A1088" s="73" t="n"/>
      <c r="B1088" s="74" t="n"/>
      <c r="C1088" s="74" t="n"/>
      <c r="D1088" s="75">
        <f>IF($C1088="","",IFERROR(INDEX(CAT_TIPO,MATCH($C1088,CAT_NOME,0)),"Sem categoria"))</f>
        <v/>
      </c>
      <c r="E1088" s="75">
        <f>IF($C1088="","",IFERROR(INDEX(CAT_GRUPO,MATCH($C1088,CAT_NOME,0)),"Sem categoria"))</f>
        <v/>
      </c>
      <c r="F1088" s="76" t="n"/>
      <c r="G1088" s="74" t="n"/>
      <c r="H1088" s="74" t="n"/>
      <c r="I1088" s="74" t="n"/>
      <c r="J1088" s="77" t="n"/>
      <c r="K1088" s="77" t="n"/>
      <c r="L1088" s="74" t="n"/>
      <c r="M1088" s="74" t="n"/>
      <c r="O1088" s="78">
        <f>IF($A1088="","",YEAR($A1088)*100+MONTH($A1088))</f>
        <v/>
      </c>
      <c r="P1088" s="79">
        <f>IF(OR($F1088="",$D1088=""),"",IF($D1088="Receita",$F1088,IF($D1088="Transferência",0,-$F1088)))</f>
        <v/>
      </c>
    </row>
    <row r="1089">
      <c r="A1089" s="73" t="n"/>
      <c r="B1089" s="74" t="n"/>
      <c r="C1089" s="74" t="n"/>
      <c r="D1089" s="75">
        <f>IF($C1089="","",IFERROR(INDEX(CAT_TIPO,MATCH($C1089,CAT_NOME,0)),"Sem categoria"))</f>
        <v/>
      </c>
      <c r="E1089" s="75">
        <f>IF($C1089="","",IFERROR(INDEX(CAT_GRUPO,MATCH($C1089,CAT_NOME,0)),"Sem categoria"))</f>
        <v/>
      </c>
      <c r="F1089" s="76" t="n"/>
      <c r="G1089" s="74" t="n"/>
      <c r="H1089" s="74" t="n"/>
      <c r="I1089" s="74" t="n"/>
      <c r="J1089" s="77" t="n"/>
      <c r="K1089" s="77" t="n"/>
      <c r="L1089" s="74" t="n"/>
      <c r="M1089" s="74" t="n"/>
      <c r="O1089" s="78">
        <f>IF($A1089="","",YEAR($A1089)*100+MONTH($A1089))</f>
        <v/>
      </c>
      <c r="P1089" s="79">
        <f>IF(OR($F1089="",$D1089=""),"",IF($D1089="Receita",$F1089,IF($D1089="Transferência",0,-$F1089)))</f>
        <v/>
      </c>
    </row>
    <row r="1090">
      <c r="A1090" s="73" t="n"/>
      <c r="B1090" s="74" t="n"/>
      <c r="C1090" s="74" t="n"/>
      <c r="D1090" s="75">
        <f>IF($C1090="","",IFERROR(INDEX(CAT_TIPO,MATCH($C1090,CAT_NOME,0)),"Sem categoria"))</f>
        <v/>
      </c>
      <c r="E1090" s="75">
        <f>IF($C1090="","",IFERROR(INDEX(CAT_GRUPO,MATCH($C1090,CAT_NOME,0)),"Sem categoria"))</f>
        <v/>
      </c>
      <c r="F1090" s="76" t="n"/>
      <c r="G1090" s="74" t="n"/>
      <c r="H1090" s="74" t="n"/>
      <c r="I1090" s="74" t="n"/>
      <c r="J1090" s="77" t="n"/>
      <c r="K1090" s="77" t="n"/>
      <c r="L1090" s="74" t="n"/>
      <c r="M1090" s="74" t="n"/>
      <c r="O1090" s="78">
        <f>IF($A1090="","",YEAR($A1090)*100+MONTH($A1090))</f>
        <v/>
      </c>
      <c r="P1090" s="79">
        <f>IF(OR($F1090="",$D1090=""),"",IF($D1090="Receita",$F1090,IF($D1090="Transferência",0,-$F1090)))</f>
        <v/>
      </c>
    </row>
    <row r="1091">
      <c r="A1091" s="73" t="n"/>
      <c r="B1091" s="74" t="n"/>
      <c r="C1091" s="74" t="n"/>
      <c r="D1091" s="75">
        <f>IF($C1091="","",IFERROR(INDEX(CAT_TIPO,MATCH($C1091,CAT_NOME,0)),"Sem categoria"))</f>
        <v/>
      </c>
      <c r="E1091" s="75">
        <f>IF($C1091="","",IFERROR(INDEX(CAT_GRUPO,MATCH($C1091,CAT_NOME,0)),"Sem categoria"))</f>
        <v/>
      </c>
      <c r="F1091" s="76" t="n"/>
      <c r="G1091" s="74" t="n"/>
      <c r="H1091" s="74" t="n"/>
      <c r="I1091" s="74" t="n"/>
      <c r="J1091" s="77" t="n"/>
      <c r="K1091" s="77" t="n"/>
      <c r="L1091" s="74" t="n"/>
      <c r="M1091" s="74" t="n"/>
      <c r="O1091" s="78">
        <f>IF($A1091="","",YEAR($A1091)*100+MONTH($A1091))</f>
        <v/>
      </c>
      <c r="P1091" s="79">
        <f>IF(OR($F1091="",$D1091=""),"",IF($D1091="Receita",$F1091,IF($D1091="Transferência",0,-$F1091)))</f>
        <v/>
      </c>
    </row>
    <row r="1092">
      <c r="A1092" s="73" t="n"/>
      <c r="B1092" s="74" t="n"/>
      <c r="C1092" s="74" t="n"/>
      <c r="D1092" s="75">
        <f>IF($C1092="","",IFERROR(INDEX(CAT_TIPO,MATCH($C1092,CAT_NOME,0)),"Sem categoria"))</f>
        <v/>
      </c>
      <c r="E1092" s="75">
        <f>IF($C1092="","",IFERROR(INDEX(CAT_GRUPO,MATCH($C1092,CAT_NOME,0)),"Sem categoria"))</f>
        <v/>
      </c>
      <c r="F1092" s="76" t="n"/>
      <c r="G1092" s="74" t="n"/>
      <c r="H1092" s="74" t="n"/>
      <c r="I1092" s="74" t="n"/>
      <c r="J1092" s="77" t="n"/>
      <c r="K1092" s="77" t="n"/>
      <c r="L1092" s="74" t="n"/>
      <c r="M1092" s="74" t="n"/>
      <c r="O1092" s="78">
        <f>IF($A1092="","",YEAR($A1092)*100+MONTH($A1092))</f>
        <v/>
      </c>
      <c r="P1092" s="79">
        <f>IF(OR($F1092="",$D1092=""),"",IF($D1092="Receita",$F1092,IF($D1092="Transferência",0,-$F1092)))</f>
        <v/>
      </c>
    </row>
    <row r="1093">
      <c r="A1093" s="73" t="n"/>
      <c r="B1093" s="74" t="n"/>
      <c r="C1093" s="74" t="n"/>
      <c r="D1093" s="75">
        <f>IF($C1093="","",IFERROR(INDEX(CAT_TIPO,MATCH($C1093,CAT_NOME,0)),"Sem categoria"))</f>
        <v/>
      </c>
      <c r="E1093" s="75">
        <f>IF($C1093="","",IFERROR(INDEX(CAT_GRUPO,MATCH($C1093,CAT_NOME,0)),"Sem categoria"))</f>
        <v/>
      </c>
      <c r="F1093" s="76" t="n"/>
      <c r="G1093" s="74" t="n"/>
      <c r="H1093" s="74" t="n"/>
      <c r="I1093" s="74" t="n"/>
      <c r="J1093" s="77" t="n"/>
      <c r="K1093" s="77" t="n"/>
      <c r="L1093" s="74" t="n"/>
      <c r="M1093" s="74" t="n"/>
      <c r="O1093" s="78">
        <f>IF($A1093="","",YEAR($A1093)*100+MONTH($A1093))</f>
        <v/>
      </c>
      <c r="P1093" s="79">
        <f>IF(OR($F1093="",$D1093=""),"",IF($D1093="Receita",$F1093,IF($D1093="Transferência",0,-$F1093)))</f>
        <v/>
      </c>
    </row>
    <row r="1094">
      <c r="A1094" s="73" t="n"/>
      <c r="B1094" s="74" t="n"/>
      <c r="C1094" s="74" t="n"/>
      <c r="D1094" s="75">
        <f>IF($C1094="","",IFERROR(INDEX(CAT_TIPO,MATCH($C1094,CAT_NOME,0)),"Sem categoria"))</f>
        <v/>
      </c>
      <c r="E1094" s="75">
        <f>IF($C1094="","",IFERROR(INDEX(CAT_GRUPO,MATCH($C1094,CAT_NOME,0)),"Sem categoria"))</f>
        <v/>
      </c>
      <c r="F1094" s="76" t="n"/>
      <c r="G1094" s="74" t="n"/>
      <c r="H1094" s="74" t="n"/>
      <c r="I1094" s="74" t="n"/>
      <c r="J1094" s="77" t="n"/>
      <c r="K1094" s="77" t="n"/>
      <c r="L1094" s="74" t="n"/>
      <c r="M1094" s="74" t="n"/>
      <c r="O1094" s="78">
        <f>IF($A1094="","",YEAR($A1094)*100+MONTH($A1094))</f>
        <v/>
      </c>
      <c r="P1094" s="79">
        <f>IF(OR($F1094="",$D1094=""),"",IF($D1094="Receita",$F1094,IF($D1094="Transferência",0,-$F1094)))</f>
        <v/>
      </c>
    </row>
    <row r="1095">
      <c r="A1095" s="73" t="n"/>
      <c r="B1095" s="74" t="n"/>
      <c r="C1095" s="74" t="n"/>
      <c r="D1095" s="75">
        <f>IF($C1095="","",IFERROR(INDEX(CAT_TIPO,MATCH($C1095,CAT_NOME,0)),"Sem categoria"))</f>
        <v/>
      </c>
      <c r="E1095" s="75">
        <f>IF($C1095="","",IFERROR(INDEX(CAT_GRUPO,MATCH($C1095,CAT_NOME,0)),"Sem categoria"))</f>
        <v/>
      </c>
      <c r="F1095" s="76" t="n"/>
      <c r="G1095" s="74" t="n"/>
      <c r="H1095" s="74" t="n"/>
      <c r="I1095" s="74" t="n"/>
      <c r="J1095" s="77" t="n"/>
      <c r="K1095" s="77" t="n"/>
      <c r="L1095" s="74" t="n"/>
      <c r="M1095" s="74" t="n"/>
      <c r="O1095" s="78">
        <f>IF($A1095="","",YEAR($A1095)*100+MONTH($A1095))</f>
        <v/>
      </c>
      <c r="P1095" s="79">
        <f>IF(OR($F1095="",$D1095=""),"",IF($D1095="Receita",$F1095,IF($D1095="Transferência",0,-$F1095)))</f>
        <v/>
      </c>
    </row>
    <row r="1096">
      <c r="A1096" s="73" t="n"/>
      <c r="B1096" s="74" t="n"/>
      <c r="C1096" s="74" t="n"/>
      <c r="D1096" s="75">
        <f>IF($C1096="","",IFERROR(INDEX(CAT_TIPO,MATCH($C1096,CAT_NOME,0)),"Sem categoria"))</f>
        <v/>
      </c>
      <c r="E1096" s="75">
        <f>IF($C1096="","",IFERROR(INDEX(CAT_GRUPO,MATCH($C1096,CAT_NOME,0)),"Sem categoria"))</f>
        <v/>
      </c>
      <c r="F1096" s="76" t="n"/>
      <c r="G1096" s="74" t="n"/>
      <c r="H1096" s="74" t="n"/>
      <c r="I1096" s="74" t="n"/>
      <c r="J1096" s="77" t="n"/>
      <c r="K1096" s="77" t="n"/>
      <c r="L1096" s="74" t="n"/>
      <c r="M1096" s="74" t="n"/>
      <c r="O1096" s="78">
        <f>IF($A1096="","",YEAR($A1096)*100+MONTH($A1096))</f>
        <v/>
      </c>
      <c r="P1096" s="79">
        <f>IF(OR($F1096="",$D1096=""),"",IF($D1096="Receita",$F1096,IF($D1096="Transferência",0,-$F1096)))</f>
        <v/>
      </c>
    </row>
    <row r="1097">
      <c r="A1097" s="73" t="n"/>
      <c r="B1097" s="74" t="n"/>
      <c r="C1097" s="74" t="n"/>
      <c r="D1097" s="75">
        <f>IF($C1097="","",IFERROR(INDEX(CAT_TIPO,MATCH($C1097,CAT_NOME,0)),"Sem categoria"))</f>
        <v/>
      </c>
      <c r="E1097" s="75">
        <f>IF($C1097="","",IFERROR(INDEX(CAT_GRUPO,MATCH($C1097,CAT_NOME,0)),"Sem categoria"))</f>
        <v/>
      </c>
      <c r="F1097" s="76" t="n"/>
      <c r="G1097" s="74" t="n"/>
      <c r="H1097" s="74" t="n"/>
      <c r="I1097" s="74" t="n"/>
      <c r="J1097" s="77" t="n"/>
      <c r="K1097" s="77" t="n"/>
      <c r="L1097" s="74" t="n"/>
      <c r="M1097" s="74" t="n"/>
      <c r="O1097" s="78">
        <f>IF($A1097="","",YEAR($A1097)*100+MONTH($A1097))</f>
        <v/>
      </c>
      <c r="P1097" s="79">
        <f>IF(OR($F1097="",$D1097=""),"",IF($D1097="Receita",$F1097,IF($D1097="Transferência",0,-$F1097)))</f>
        <v/>
      </c>
    </row>
    <row r="1098">
      <c r="A1098" s="73" t="n"/>
      <c r="B1098" s="74" t="n"/>
      <c r="C1098" s="74" t="n"/>
      <c r="D1098" s="75">
        <f>IF($C1098="","",IFERROR(INDEX(CAT_TIPO,MATCH($C1098,CAT_NOME,0)),"Sem categoria"))</f>
        <v/>
      </c>
      <c r="E1098" s="75">
        <f>IF($C1098="","",IFERROR(INDEX(CAT_GRUPO,MATCH($C1098,CAT_NOME,0)),"Sem categoria"))</f>
        <v/>
      </c>
      <c r="F1098" s="76" t="n"/>
      <c r="G1098" s="74" t="n"/>
      <c r="H1098" s="74" t="n"/>
      <c r="I1098" s="74" t="n"/>
      <c r="J1098" s="77" t="n"/>
      <c r="K1098" s="77" t="n"/>
      <c r="L1098" s="74" t="n"/>
      <c r="M1098" s="74" t="n"/>
      <c r="O1098" s="78">
        <f>IF($A1098="","",YEAR($A1098)*100+MONTH($A1098))</f>
        <v/>
      </c>
      <c r="P1098" s="79">
        <f>IF(OR($F1098="",$D1098=""),"",IF($D1098="Receita",$F1098,IF($D1098="Transferência",0,-$F1098)))</f>
        <v/>
      </c>
    </row>
    <row r="1099">
      <c r="A1099" s="73" t="n"/>
      <c r="B1099" s="74" t="n"/>
      <c r="C1099" s="74" t="n"/>
      <c r="D1099" s="75">
        <f>IF($C1099="","",IFERROR(INDEX(CAT_TIPO,MATCH($C1099,CAT_NOME,0)),"Sem categoria"))</f>
        <v/>
      </c>
      <c r="E1099" s="75">
        <f>IF($C1099="","",IFERROR(INDEX(CAT_GRUPO,MATCH($C1099,CAT_NOME,0)),"Sem categoria"))</f>
        <v/>
      </c>
      <c r="F1099" s="76" t="n"/>
      <c r="G1099" s="74" t="n"/>
      <c r="H1099" s="74" t="n"/>
      <c r="I1099" s="74" t="n"/>
      <c r="J1099" s="77" t="n"/>
      <c r="K1099" s="77" t="n"/>
      <c r="L1099" s="74" t="n"/>
      <c r="M1099" s="74" t="n"/>
      <c r="O1099" s="78">
        <f>IF($A1099="","",YEAR($A1099)*100+MONTH($A1099))</f>
        <v/>
      </c>
      <c r="P1099" s="79">
        <f>IF(OR($F1099="",$D1099=""),"",IF($D1099="Receita",$F1099,IF($D1099="Transferência",0,-$F1099)))</f>
        <v/>
      </c>
    </row>
    <row r="1100">
      <c r="A1100" s="73" t="n"/>
      <c r="B1100" s="74" t="n"/>
      <c r="C1100" s="74" t="n"/>
      <c r="D1100" s="75">
        <f>IF($C1100="","",IFERROR(INDEX(CAT_TIPO,MATCH($C1100,CAT_NOME,0)),"Sem categoria"))</f>
        <v/>
      </c>
      <c r="E1100" s="75">
        <f>IF($C1100="","",IFERROR(INDEX(CAT_GRUPO,MATCH($C1100,CAT_NOME,0)),"Sem categoria"))</f>
        <v/>
      </c>
      <c r="F1100" s="76" t="n"/>
      <c r="G1100" s="74" t="n"/>
      <c r="H1100" s="74" t="n"/>
      <c r="I1100" s="74" t="n"/>
      <c r="J1100" s="77" t="n"/>
      <c r="K1100" s="77" t="n"/>
      <c r="L1100" s="74" t="n"/>
      <c r="M1100" s="74" t="n"/>
      <c r="O1100" s="78">
        <f>IF($A1100="","",YEAR($A1100)*100+MONTH($A1100))</f>
        <v/>
      </c>
      <c r="P1100" s="79">
        <f>IF(OR($F1100="",$D1100=""),"",IF($D1100="Receita",$F1100,IF($D1100="Transferência",0,-$F1100)))</f>
        <v/>
      </c>
    </row>
    <row r="1101">
      <c r="A1101" s="73" t="n"/>
      <c r="B1101" s="74" t="n"/>
      <c r="C1101" s="74" t="n"/>
      <c r="D1101" s="75">
        <f>IF($C1101="","",IFERROR(INDEX(CAT_TIPO,MATCH($C1101,CAT_NOME,0)),"Sem categoria"))</f>
        <v/>
      </c>
      <c r="E1101" s="75">
        <f>IF($C1101="","",IFERROR(INDEX(CAT_GRUPO,MATCH($C1101,CAT_NOME,0)),"Sem categoria"))</f>
        <v/>
      </c>
      <c r="F1101" s="76" t="n"/>
      <c r="G1101" s="74" t="n"/>
      <c r="H1101" s="74" t="n"/>
      <c r="I1101" s="74" t="n"/>
      <c r="J1101" s="77" t="n"/>
      <c r="K1101" s="77" t="n"/>
      <c r="L1101" s="74" t="n"/>
      <c r="M1101" s="74" t="n"/>
      <c r="O1101" s="78">
        <f>IF($A1101="","",YEAR($A1101)*100+MONTH($A1101))</f>
        <v/>
      </c>
      <c r="P1101" s="79">
        <f>IF(OR($F1101="",$D1101=""),"",IF($D1101="Receita",$F1101,IF($D1101="Transferência",0,-$F1101)))</f>
        <v/>
      </c>
    </row>
    <row r="1102">
      <c r="A1102" s="73" t="n"/>
      <c r="B1102" s="74" t="n"/>
      <c r="C1102" s="74" t="n"/>
      <c r="D1102" s="75">
        <f>IF($C1102="","",IFERROR(INDEX(CAT_TIPO,MATCH($C1102,CAT_NOME,0)),"Sem categoria"))</f>
        <v/>
      </c>
      <c r="E1102" s="75">
        <f>IF($C1102="","",IFERROR(INDEX(CAT_GRUPO,MATCH($C1102,CAT_NOME,0)),"Sem categoria"))</f>
        <v/>
      </c>
      <c r="F1102" s="76" t="n"/>
      <c r="G1102" s="74" t="n"/>
      <c r="H1102" s="74" t="n"/>
      <c r="I1102" s="74" t="n"/>
      <c r="J1102" s="77" t="n"/>
      <c r="K1102" s="77" t="n"/>
      <c r="L1102" s="74" t="n"/>
      <c r="M1102" s="74" t="n"/>
      <c r="O1102" s="78">
        <f>IF($A1102="","",YEAR($A1102)*100+MONTH($A1102))</f>
        <v/>
      </c>
      <c r="P1102" s="79">
        <f>IF(OR($F1102="",$D1102=""),"",IF($D1102="Receita",$F1102,IF($D1102="Transferência",0,-$F1102)))</f>
        <v/>
      </c>
    </row>
    <row r="1103">
      <c r="A1103" s="73" t="n"/>
      <c r="B1103" s="74" t="n"/>
      <c r="C1103" s="74" t="n"/>
      <c r="D1103" s="75">
        <f>IF($C1103="","",IFERROR(INDEX(CAT_TIPO,MATCH($C1103,CAT_NOME,0)),"Sem categoria"))</f>
        <v/>
      </c>
      <c r="E1103" s="75">
        <f>IF($C1103="","",IFERROR(INDEX(CAT_GRUPO,MATCH($C1103,CAT_NOME,0)),"Sem categoria"))</f>
        <v/>
      </c>
      <c r="F1103" s="76" t="n"/>
      <c r="G1103" s="74" t="n"/>
      <c r="H1103" s="74" t="n"/>
      <c r="I1103" s="74" t="n"/>
      <c r="J1103" s="77" t="n"/>
      <c r="K1103" s="77" t="n"/>
      <c r="L1103" s="74" t="n"/>
      <c r="M1103" s="74" t="n"/>
      <c r="O1103" s="78">
        <f>IF($A1103="","",YEAR($A1103)*100+MONTH($A1103))</f>
        <v/>
      </c>
      <c r="P1103" s="79">
        <f>IF(OR($F1103="",$D1103=""),"",IF($D1103="Receita",$F1103,IF($D1103="Transferência",0,-$F1103)))</f>
        <v/>
      </c>
    </row>
    <row r="1104">
      <c r="A1104" s="73" t="n"/>
      <c r="B1104" s="74" t="n"/>
      <c r="C1104" s="74" t="n"/>
      <c r="D1104" s="75">
        <f>IF($C1104="","",IFERROR(INDEX(CAT_TIPO,MATCH($C1104,CAT_NOME,0)),"Sem categoria"))</f>
        <v/>
      </c>
      <c r="E1104" s="75">
        <f>IF($C1104="","",IFERROR(INDEX(CAT_GRUPO,MATCH($C1104,CAT_NOME,0)),"Sem categoria"))</f>
        <v/>
      </c>
      <c r="F1104" s="76" t="n"/>
      <c r="G1104" s="74" t="n"/>
      <c r="H1104" s="74" t="n"/>
      <c r="I1104" s="74" t="n"/>
      <c r="J1104" s="77" t="n"/>
      <c r="K1104" s="77" t="n"/>
      <c r="L1104" s="74" t="n"/>
      <c r="M1104" s="74" t="n"/>
      <c r="O1104" s="78">
        <f>IF($A1104="","",YEAR($A1104)*100+MONTH($A1104))</f>
        <v/>
      </c>
      <c r="P1104" s="79">
        <f>IF(OR($F1104="",$D1104=""),"",IF($D1104="Receita",$F1104,IF($D1104="Transferência",0,-$F1104)))</f>
        <v/>
      </c>
    </row>
    <row r="1105">
      <c r="A1105" s="73" t="n"/>
      <c r="B1105" s="74" t="n"/>
      <c r="C1105" s="74" t="n"/>
      <c r="D1105" s="75">
        <f>IF($C1105="","",IFERROR(INDEX(CAT_TIPO,MATCH($C1105,CAT_NOME,0)),"Sem categoria"))</f>
        <v/>
      </c>
      <c r="E1105" s="75">
        <f>IF($C1105="","",IFERROR(INDEX(CAT_GRUPO,MATCH($C1105,CAT_NOME,0)),"Sem categoria"))</f>
        <v/>
      </c>
      <c r="F1105" s="76" t="n"/>
      <c r="G1105" s="74" t="n"/>
      <c r="H1105" s="74" t="n"/>
      <c r="I1105" s="74" t="n"/>
      <c r="J1105" s="77" t="n"/>
      <c r="K1105" s="77" t="n"/>
      <c r="L1105" s="74" t="n"/>
      <c r="M1105" s="74" t="n"/>
      <c r="O1105" s="78">
        <f>IF($A1105="","",YEAR($A1105)*100+MONTH($A1105))</f>
        <v/>
      </c>
      <c r="P1105" s="79">
        <f>IF(OR($F1105="",$D1105=""),"",IF($D1105="Receita",$F1105,IF($D1105="Transferência",0,-$F1105)))</f>
        <v/>
      </c>
    </row>
    <row r="1106">
      <c r="A1106" s="73" t="n"/>
      <c r="B1106" s="74" t="n"/>
      <c r="C1106" s="74" t="n"/>
      <c r="D1106" s="75">
        <f>IF($C1106="","",IFERROR(INDEX(CAT_TIPO,MATCH($C1106,CAT_NOME,0)),"Sem categoria"))</f>
        <v/>
      </c>
      <c r="E1106" s="75">
        <f>IF($C1106="","",IFERROR(INDEX(CAT_GRUPO,MATCH($C1106,CAT_NOME,0)),"Sem categoria"))</f>
        <v/>
      </c>
      <c r="F1106" s="76" t="n"/>
      <c r="G1106" s="74" t="n"/>
      <c r="H1106" s="74" t="n"/>
      <c r="I1106" s="74" t="n"/>
      <c r="J1106" s="77" t="n"/>
      <c r="K1106" s="77" t="n"/>
      <c r="L1106" s="74" t="n"/>
      <c r="M1106" s="74" t="n"/>
      <c r="O1106" s="78">
        <f>IF($A1106="","",YEAR($A1106)*100+MONTH($A1106))</f>
        <v/>
      </c>
      <c r="P1106" s="79">
        <f>IF(OR($F1106="",$D1106=""),"",IF($D1106="Receita",$F1106,IF($D1106="Transferência",0,-$F1106)))</f>
        <v/>
      </c>
    </row>
    <row r="1107">
      <c r="A1107" s="73" t="n"/>
      <c r="B1107" s="74" t="n"/>
      <c r="C1107" s="74" t="n"/>
      <c r="D1107" s="75">
        <f>IF($C1107="","",IFERROR(INDEX(CAT_TIPO,MATCH($C1107,CAT_NOME,0)),"Sem categoria"))</f>
        <v/>
      </c>
      <c r="E1107" s="75">
        <f>IF($C1107="","",IFERROR(INDEX(CAT_GRUPO,MATCH($C1107,CAT_NOME,0)),"Sem categoria"))</f>
        <v/>
      </c>
      <c r="F1107" s="76" t="n"/>
      <c r="G1107" s="74" t="n"/>
      <c r="H1107" s="74" t="n"/>
      <c r="I1107" s="74" t="n"/>
      <c r="J1107" s="77" t="n"/>
      <c r="K1107" s="77" t="n"/>
      <c r="L1107" s="74" t="n"/>
      <c r="M1107" s="74" t="n"/>
      <c r="O1107" s="78">
        <f>IF($A1107="","",YEAR($A1107)*100+MONTH($A1107))</f>
        <v/>
      </c>
      <c r="P1107" s="79">
        <f>IF(OR($F1107="",$D1107=""),"",IF($D1107="Receita",$F1107,IF($D1107="Transferência",0,-$F1107)))</f>
        <v/>
      </c>
    </row>
    <row r="1108">
      <c r="A1108" s="73" t="n"/>
      <c r="B1108" s="74" t="n"/>
      <c r="C1108" s="74" t="n"/>
      <c r="D1108" s="75">
        <f>IF($C1108="","",IFERROR(INDEX(CAT_TIPO,MATCH($C1108,CAT_NOME,0)),"Sem categoria"))</f>
        <v/>
      </c>
      <c r="E1108" s="75">
        <f>IF($C1108="","",IFERROR(INDEX(CAT_GRUPO,MATCH($C1108,CAT_NOME,0)),"Sem categoria"))</f>
        <v/>
      </c>
      <c r="F1108" s="76" t="n"/>
      <c r="G1108" s="74" t="n"/>
      <c r="H1108" s="74" t="n"/>
      <c r="I1108" s="74" t="n"/>
      <c r="J1108" s="77" t="n"/>
      <c r="K1108" s="77" t="n"/>
      <c r="L1108" s="74" t="n"/>
      <c r="M1108" s="74" t="n"/>
      <c r="O1108" s="78">
        <f>IF($A1108="","",YEAR($A1108)*100+MONTH($A1108))</f>
        <v/>
      </c>
      <c r="P1108" s="79">
        <f>IF(OR($F1108="",$D1108=""),"",IF($D1108="Receita",$F1108,IF($D1108="Transferência",0,-$F1108)))</f>
        <v/>
      </c>
    </row>
    <row r="1109">
      <c r="A1109" s="73" t="n"/>
      <c r="B1109" s="74" t="n"/>
      <c r="C1109" s="74" t="n"/>
      <c r="D1109" s="75">
        <f>IF($C1109="","",IFERROR(INDEX(CAT_TIPO,MATCH($C1109,CAT_NOME,0)),"Sem categoria"))</f>
        <v/>
      </c>
      <c r="E1109" s="75">
        <f>IF($C1109="","",IFERROR(INDEX(CAT_GRUPO,MATCH($C1109,CAT_NOME,0)),"Sem categoria"))</f>
        <v/>
      </c>
      <c r="F1109" s="76" t="n"/>
      <c r="G1109" s="74" t="n"/>
      <c r="H1109" s="74" t="n"/>
      <c r="I1109" s="74" t="n"/>
      <c r="J1109" s="77" t="n"/>
      <c r="K1109" s="77" t="n"/>
      <c r="L1109" s="74" t="n"/>
      <c r="M1109" s="74" t="n"/>
      <c r="O1109" s="78">
        <f>IF($A1109="","",YEAR($A1109)*100+MONTH($A1109))</f>
        <v/>
      </c>
      <c r="P1109" s="79">
        <f>IF(OR($F1109="",$D1109=""),"",IF($D1109="Receita",$F1109,IF($D1109="Transferência",0,-$F1109)))</f>
        <v/>
      </c>
    </row>
    <row r="1110">
      <c r="A1110" s="73" t="n"/>
      <c r="B1110" s="74" t="n"/>
      <c r="C1110" s="74" t="n"/>
      <c r="D1110" s="75">
        <f>IF($C1110="","",IFERROR(INDEX(CAT_TIPO,MATCH($C1110,CAT_NOME,0)),"Sem categoria"))</f>
        <v/>
      </c>
      <c r="E1110" s="75">
        <f>IF($C1110="","",IFERROR(INDEX(CAT_GRUPO,MATCH($C1110,CAT_NOME,0)),"Sem categoria"))</f>
        <v/>
      </c>
      <c r="F1110" s="76" t="n"/>
      <c r="G1110" s="74" t="n"/>
      <c r="H1110" s="74" t="n"/>
      <c r="I1110" s="74" t="n"/>
      <c r="J1110" s="77" t="n"/>
      <c r="K1110" s="77" t="n"/>
      <c r="L1110" s="74" t="n"/>
      <c r="M1110" s="74" t="n"/>
      <c r="O1110" s="78">
        <f>IF($A1110="","",YEAR($A1110)*100+MONTH($A1110))</f>
        <v/>
      </c>
      <c r="P1110" s="79">
        <f>IF(OR($F1110="",$D1110=""),"",IF($D1110="Receita",$F1110,IF($D1110="Transferência",0,-$F1110)))</f>
        <v/>
      </c>
    </row>
    <row r="1111">
      <c r="A1111" s="73" t="n"/>
      <c r="B1111" s="74" t="n"/>
      <c r="C1111" s="74" t="n"/>
      <c r="D1111" s="75">
        <f>IF($C1111="","",IFERROR(INDEX(CAT_TIPO,MATCH($C1111,CAT_NOME,0)),"Sem categoria"))</f>
        <v/>
      </c>
      <c r="E1111" s="75">
        <f>IF($C1111="","",IFERROR(INDEX(CAT_GRUPO,MATCH($C1111,CAT_NOME,0)),"Sem categoria"))</f>
        <v/>
      </c>
      <c r="F1111" s="76" t="n"/>
      <c r="G1111" s="74" t="n"/>
      <c r="H1111" s="74" t="n"/>
      <c r="I1111" s="74" t="n"/>
      <c r="J1111" s="77" t="n"/>
      <c r="K1111" s="77" t="n"/>
      <c r="L1111" s="74" t="n"/>
      <c r="M1111" s="74" t="n"/>
      <c r="O1111" s="78">
        <f>IF($A1111="","",YEAR($A1111)*100+MONTH($A1111))</f>
        <v/>
      </c>
      <c r="P1111" s="79">
        <f>IF(OR($F1111="",$D1111=""),"",IF($D1111="Receita",$F1111,IF($D1111="Transferência",0,-$F1111)))</f>
        <v/>
      </c>
    </row>
    <row r="1112">
      <c r="A1112" s="73" t="n"/>
      <c r="B1112" s="74" t="n"/>
      <c r="C1112" s="74" t="n"/>
      <c r="D1112" s="75">
        <f>IF($C1112="","",IFERROR(INDEX(CAT_TIPO,MATCH($C1112,CAT_NOME,0)),"Sem categoria"))</f>
        <v/>
      </c>
      <c r="E1112" s="75">
        <f>IF($C1112="","",IFERROR(INDEX(CAT_GRUPO,MATCH($C1112,CAT_NOME,0)),"Sem categoria"))</f>
        <v/>
      </c>
      <c r="F1112" s="76" t="n"/>
      <c r="G1112" s="74" t="n"/>
      <c r="H1112" s="74" t="n"/>
      <c r="I1112" s="74" t="n"/>
      <c r="J1112" s="77" t="n"/>
      <c r="K1112" s="77" t="n"/>
      <c r="L1112" s="74" t="n"/>
      <c r="M1112" s="74" t="n"/>
      <c r="O1112" s="78">
        <f>IF($A1112="","",YEAR($A1112)*100+MONTH($A1112))</f>
        <v/>
      </c>
      <c r="P1112" s="79">
        <f>IF(OR($F1112="",$D1112=""),"",IF($D1112="Receita",$F1112,IF($D1112="Transferência",0,-$F1112)))</f>
        <v/>
      </c>
    </row>
    <row r="1113">
      <c r="A1113" s="73" t="n"/>
      <c r="B1113" s="74" t="n"/>
      <c r="C1113" s="74" t="n"/>
      <c r="D1113" s="75">
        <f>IF($C1113="","",IFERROR(INDEX(CAT_TIPO,MATCH($C1113,CAT_NOME,0)),"Sem categoria"))</f>
        <v/>
      </c>
      <c r="E1113" s="75">
        <f>IF($C1113="","",IFERROR(INDEX(CAT_GRUPO,MATCH($C1113,CAT_NOME,0)),"Sem categoria"))</f>
        <v/>
      </c>
      <c r="F1113" s="76" t="n"/>
      <c r="G1113" s="74" t="n"/>
      <c r="H1113" s="74" t="n"/>
      <c r="I1113" s="74" t="n"/>
      <c r="J1113" s="77" t="n"/>
      <c r="K1113" s="77" t="n"/>
      <c r="L1113" s="74" t="n"/>
      <c r="M1113" s="74" t="n"/>
      <c r="O1113" s="78">
        <f>IF($A1113="","",YEAR($A1113)*100+MONTH($A1113))</f>
        <v/>
      </c>
      <c r="P1113" s="79">
        <f>IF(OR($F1113="",$D1113=""),"",IF($D1113="Receita",$F1113,IF($D1113="Transferência",0,-$F1113)))</f>
        <v/>
      </c>
    </row>
    <row r="1114">
      <c r="A1114" s="73" t="n"/>
      <c r="B1114" s="74" t="n"/>
      <c r="C1114" s="74" t="n"/>
      <c r="D1114" s="75">
        <f>IF($C1114="","",IFERROR(INDEX(CAT_TIPO,MATCH($C1114,CAT_NOME,0)),"Sem categoria"))</f>
        <v/>
      </c>
      <c r="E1114" s="75">
        <f>IF($C1114="","",IFERROR(INDEX(CAT_GRUPO,MATCH($C1114,CAT_NOME,0)),"Sem categoria"))</f>
        <v/>
      </c>
      <c r="F1114" s="76" t="n"/>
      <c r="G1114" s="74" t="n"/>
      <c r="H1114" s="74" t="n"/>
      <c r="I1114" s="74" t="n"/>
      <c r="J1114" s="77" t="n"/>
      <c r="K1114" s="77" t="n"/>
      <c r="L1114" s="74" t="n"/>
      <c r="M1114" s="74" t="n"/>
      <c r="O1114" s="78">
        <f>IF($A1114="","",YEAR($A1114)*100+MONTH($A1114))</f>
        <v/>
      </c>
      <c r="P1114" s="79">
        <f>IF(OR($F1114="",$D1114=""),"",IF($D1114="Receita",$F1114,IF($D1114="Transferência",0,-$F1114)))</f>
        <v/>
      </c>
    </row>
    <row r="1115">
      <c r="A1115" s="73" t="n"/>
      <c r="B1115" s="74" t="n"/>
      <c r="C1115" s="74" t="n"/>
      <c r="D1115" s="75">
        <f>IF($C1115="","",IFERROR(INDEX(CAT_TIPO,MATCH($C1115,CAT_NOME,0)),"Sem categoria"))</f>
        <v/>
      </c>
      <c r="E1115" s="75">
        <f>IF($C1115="","",IFERROR(INDEX(CAT_GRUPO,MATCH($C1115,CAT_NOME,0)),"Sem categoria"))</f>
        <v/>
      </c>
      <c r="F1115" s="76" t="n"/>
      <c r="G1115" s="74" t="n"/>
      <c r="H1115" s="74" t="n"/>
      <c r="I1115" s="74" t="n"/>
      <c r="J1115" s="77" t="n"/>
      <c r="K1115" s="77" t="n"/>
      <c r="L1115" s="74" t="n"/>
      <c r="M1115" s="74" t="n"/>
      <c r="O1115" s="78">
        <f>IF($A1115="","",YEAR($A1115)*100+MONTH($A1115))</f>
        <v/>
      </c>
      <c r="P1115" s="79">
        <f>IF(OR($F1115="",$D1115=""),"",IF($D1115="Receita",$F1115,IF($D1115="Transferência",0,-$F1115)))</f>
        <v/>
      </c>
    </row>
    <row r="1116">
      <c r="A1116" s="73" t="n"/>
      <c r="B1116" s="74" t="n"/>
      <c r="C1116" s="74" t="n"/>
      <c r="D1116" s="75">
        <f>IF($C1116="","",IFERROR(INDEX(CAT_TIPO,MATCH($C1116,CAT_NOME,0)),"Sem categoria"))</f>
        <v/>
      </c>
      <c r="E1116" s="75">
        <f>IF($C1116="","",IFERROR(INDEX(CAT_GRUPO,MATCH($C1116,CAT_NOME,0)),"Sem categoria"))</f>
        <v/>
      </c>
      <c r="F1116" s="76" t="n"/>
      <c r="G1116" s="74" t="n"/>
      <c r="H1116" s="74" t="n"/>
      <c r="I1116" s="74" t="n"/>
      <c r="J1116" s="77" t="n"/>
      <c r="K1116" s="77" t="n"/>
      <c r="L1116" s="74" t="n"/>
      <c r="M1116" s="74" t="n"/>
      <c r="O1116" s="78">
        <f>IF($A1116="","",YEAR($A1116)*100+MONTH($A1116))</f>
        <v/>
      </c>
      <c r="P1116" s="79">
        <f>IF(OR($F1116="",$D1116=""),"",IF($D1116="Receita",$F1116,IF($D1116="Transferência",0,-$F1116)))</f>
        <v/>
      </c>
    </row>
    <row r="1117">
      <c r="A1117" s="73" t="n"/>
      <c r="B1117" s="74" t="n"/>
      <c r="C1117" s="74" t="n"/>
      <c r="D1117" s="75">
        <f>IF($C1117="","",IFERROR(INDEX(CAT_TIPO,MATCH($C1117,CAT_NOME,0)),"Sem categoria"))</f>
        <v/>
      </c>
      <c r="E1117" s="75">
        <f>IF($C1117="","",IFERROR(INDEX(CAT_GRUPO,MATCH($C1117,CAT_NOME,0)),"Sem categoria"))</f>
        <v/>
      </c>
      <c r="F1117" s="76" t="n"/>
      <c r="G1117" s="74" t="n"/>
      <c r="H1117" s="74" t="n"/>
      <c r="I1117" s="74" t="n"/>
      <c r="J1117" s="77" t="n"/>
      <c r="K1117" s="77" t="n"/>
      <c r="L1117" s="74" t="n"/>
      <c r="M1117" s="74" t="n"/>
      <c r="O1117" s="78">
        <f>IF($A1117="","",YEAR($A1117)*100+MONTH($A1117))</f>
        <v/>
      </c>
      <c r="P1117" s="79">
        <f>IF(OR($F1117="",$D1117=""),"",IF($D1117="Receita",$F1117,IF($D1117="Transferência",0,-$F1117)))</f>
        <v/>
      </c>
    </row>
    <row r="1118">
      <c r="A1118" s="73" t="n"/>
      <c r="B1118" s="74" t="n"/>
      <c r="C1118" s="74" t="n"/>
      <c r="D1118" s="75">
        <f>IF($C1118="","",IFERROR(INDEX(CAT_TIPO,MATCH($C1118,CAT_NOME,0)),"Sem categoria"))</f>
        <v/>
      </c>
      <c r="E1118" s="75">
        <f>IF($C1118="","",IFERROR(INDEX(CAT_GRUPO,MATCH($C1118,CAT_NOME,0)),"Sem categoria"))</f>
        <v/>
      </c>
      <c r="F1118" s="76" t="n"/>
      <c r="G1118" s="74" t="n"/>
      <c r="H1118" s="74" t="n"/>
      <c r="I1118" s="74" t="n"/>
      <c r="J1118" s="77" t="n"/>
      <c r="K1118" s="77" t="n"/>
      <c r="L1118" s="74" t="n"/>
      <c r="M1118" s="74" t="n"/>
      <c r="O1118" s="78">
        <f>IF($A1118="","",YEAR($A1118)*100+MONTH($A1118))</f>
        <v/>
      </c>
      <c r="P1118" s="79">
        <f>IF(OR($F1118="",$D1118=""),"",IF($D1118="Receita",$F1118,IF($D1118="Transferência",0,-$F1118)))</f>
        <v/>
      </c>
    </row>
    <row r="1119">
      <c r="A1119" s="73" t="n"/>
      <c r="B1119" s="74" t="n"/>
      <c r="C1119" s="74" t="n"/>
      <c r="D1119" s="75">
        <f>IF($C1119="","",IFERROR(INDEX(CAT_TIPO,MATCH($C1119,CAT_NOME,0)),"Sem categoria"))</f>
        <v/>
      </c>
      <c r="E1119" s="75">
        <f>IF($C1119="","",IFERROR(INDEX(CAT_GRUPO,MATCH($C1119,CAT_NOME,0)),"Sem categoria"))</f>
        <v/>
      </c>
      <c r="F1119" s="76" t="n"/>
      <c r="G1119" s="74" t="n"/>
      <c r="H1119" s="74" t="n"/>
      <c r="I1119" s="74" t="n"/>
      <c r="J1119" s="77" t="n"/>
      <c r="K1119" s="77" t="n"/>
      <c r="L1119" s="74" t="n"/>
      <c r="M1119" s="74" t="n"/>
      <c r="O1119" s="78">
        <f>IF($A1119="","",YEAR($A1119)*100+MONTH($A1119))</f>
        <v/>
      </c>
      <c r="P1119" s="79">
        <f>IF(OR($F1119="",$D1119=""),"",IF($D1119="Receita",$F1119,IF($D1119="Transferência",0,-$F1119)))</f>
        <v/>
      </c>
    </row>
    <row r="1120">
      <c r="A1120" s="73" t="n"/>
      <c r="B1120" s="74" t="n"/>
      <c r="C1120" s="74" t="n"/>
      <c r="D1120" s="75">
        <f>IF($C1120="","",IFERROR(INDEX(CAT_TIPO,MATCH($C1120,CAT_NOME,0)),"Sem categoria"))</f>
        <v/>
      </c>
      <c r="E1120" s="75">
        <f>IF($C1120="","",IFERROR(INDEX(CAT_GRUPO,MATCH($C1120,CAT_NOME,0)),"Sem categoria"))</f>
        <v/>
      </c>
      <c r="F1120" s="76" t="n"/>
      <c r="G1120" s="74" t="n"/>
      <c r="H1120" s="74" t="n"/>
      <c r="I1120" s="74" t="n"/>
      <c r="J1120" s="77" t="n"/>
      <c r="K1120" s="77" t="n"/>
      <c r="L1120" s="74" t="n"/>
      <c r="M1120" s="74" t="n"/>
      <c r="O1120" s="78">
        <f>IF($A1120="","",YEAR($A1120)*100+MONTH($A1120))</f>
        <v/>
      </c>
      <c r="P1120" s="79">
        <f>IF(OR($F1120="",$D1120=""),"",IF($D1120="Receita",$F1120,IF($D1120="Transferência",0,-$F1120)))</f>
        <v/>
      </c>
    </row>
    <row r="1121">
      <c r="A1121" s="73" t="n"/>
      <c r="B1121" s="74" t="n"/>
      <c r="C1121" s="74" t="n"/>
      <c r="D1121" s="75">
        <f>IF($C1121="","",IFERROR(INDEX(CAT_TIPO,MATCH($C1121,CAT_NOME,0)),"Sem categoria"))</f>
        <v/>
      </c>
      <c r="E1121" s="75">
        <f>IF($C1121="","",IFERROR(INDEX(CAT_GRUPO,MATCH($C1121,CAT_NOME,0)),"Sem categoria"))</f>
        <v/>
      </c>
      <c r="F1121" s="76" t="n"/>
      <c r="G1121" s="74" t="n"/>
      <c r="H1121" s="74" t="n"/>
      <c r="I1121" s="74" t="n"/>
      <c r="J1121" s="77" t="n"/>
      <c r="K1121" s="77" t="n"/>
      <c r="L1121" s="74" t="n"/>
      <c r="M1121" s="74" t="n"/>
      <c r="O1121" s="78">
        <f>IF($A1121="","",YEAR($A1121)*100+MONTH($A1121))</f>
        <v/>
      </c>
      <c r="P1121" s="79">
        <f>IF(OR($F1121="",$D1121=""),"",IF($D1121="Receita",$F1121,IF($D1121="Transferência",0,-$F1121)))</f>
        <v/>
      </c>
    </row>
    <row r="1122">
      <c r="A1122" s="73" t="n"/>
      <c r="B1122" s="74" t="n"/>
      <c r="C1122" s="74" t="n"/>
      <c r="D1122" s="75">
        <f>IF($C1122="","",IFERROR(INDEX(CAT_TIPO,MATCH($C1122,CAT_NOME,0)),"Sem categoria"))</f>
        <v/>
      </c>
      <c r="E1122" s="75">
        <f>IF($C1122="","",IFERROR(INDEX(CAT_GRUPO,MATCH($C1122,CAT_NOME,0)),"Sem categoria"))</f>
        <v/>
      </c>
      <c r="F1122" s="76" t="n"/>
      <c r="G1122" s="74" t="n"/>
      <c r="H1122" s="74" t="n"/>
      <c r="I1122" s="74" t="n"/>
      <c r="J1122" s="77" t="n"/>
      <c r="K1122" s="77" t="n"/>
      <c r="L1122" s="74" t="n"/>
      <c r="M1122" s="74" t="n"/>
      <c r="O1122" s="78">
        <f>IF($A1122="","",YEAR($A1122)*100+MONTH($A1122))</f>
        <v/>
      </c>
      <c r="P1122" s="79">
        <f>IF(OR($F1122="",$D1122=""),"",IF($D1122="Receita",$F1122,IF($D1122="Transferência",0,-$F1122)))</f>
        <v/>
      </c>
    </row>
    <row r="1123">
      <c r="A1123" s="73" t="n"/>
      <c r="B1123" s="74" t="n"/>
      <c r="C1123" s="74" t="n"/>
      <c r="D1123" s="75">
        <f>IF($C1123="","",IFERROR(INDEX(CAT_TIPO,MATCH($C1123,CAT_NOME,0)),"Sem categoria"))</f>
        <v/>
      </c>
      <c r="E1123" s="75">
        <f>IF($C1123="","",IFERROR(INDEX(CAT_GRUPO,MATCH($C1123,CAT_NOME,0)),"Sem categoria"))</f>
        <v/>
      </c>
      <c r="F1123" s="76" t="n"/>
      <c r="G1123" s="74" t="n"/>
      <c r="H1123" s="74" t="n"/>
      <c r="I1123" s="74" t="n"/>
      <c r="J1123" s="77" t="n"/>
      <c r="K1123" s="77" t="n"/>
      <c r="L1123" s="74" t="n"/>
      <c r="M1123" s="74" t="n"/>
      <c r="O1123" s="78">
        <f>IF($A1123="","",YEAR($A1123)*100+MONTH($A1123))</f>
        <v/>
      </c>
      <c r="P1123" s="79">
        <f>IF(OR($F1123="",$D1123=""),"",IF($D1123="Receita",$F1123,IF($D1123="Transferência",0,-$F1123)))</f>
        <v/>
      </c>
    </row>
    <row r="1124">
      <c r="A1124" s="73" t="n"/>
      <c r="B1124" s="74" t="n"/>
      <c r="C1124" s="74" t="n"/>
      <c r="D1124" s="75">
        <f>IF($C1124="","",IFERROR(INDEX(CAT_TIPO,MATCH($C1124,CAT_NOME,0)),"Sem categoria"))</f>
        <v/>
      </c>
      <c r="E1124" s="75">
        <f>IF($C1124="","",IFERROR(INDEX(CAT_GRUPO,MATCH($C1124,CAT_NOME,0)),"Sem categoria"))</f>
        <v/>
      </c>
      <c r="F1124" s="76" t="n"/>
      <c r="G1124" s="74" t="n"/>
      <c r="H1124" s="74" t="n"/>
      <c r="I1124" s="74" t="n"/>
      <c r="J1124" s="77" t="n"/>
      <c r="K1124" s="77" t="n"/>
      <c r="L1124" s="74" t="n"/>
      <c r="M1124" s="74" t="n"/>
      <c r="O1124" s="78">
        <f>IF($A1124="","",YEAR($A1124)*100+MONTH($A1124))</f>
        <v/>
      </c>
      <c r="P1124" s="79">
        <f>IF(OR($F1124="",$D1124=""),"",IF($D1124="Receita",$F1124,IF($D1124="Transferência",0,-$F1124)))</f>
        <v/>
      </c>
    </row>
    <row r="1125">
      <c r="A1125" s="73" t="n"/>
      <c r="B1125" s="74" t="n"/>
      <c r="C1125" s="74" t="n"/>
      <c r="D1125" s="75">
        <f>IF($C1125="","",IFERROR(INDEX(CAT_TIPO,MATCH($C1125,CAT_NOME,0)),"Sem categoria"))</f>
        <v/>
      </c>
      <c r="E1125" s="75">
        <f>IF($C1125="","",IFERROR(INDEX(CAT_GRUPO,MATCH($C1125,CAT_NOME,0)),"Sem categoria"))</f>
        <v/>
      </c>
      <c r="F1125" s="76" t="n"/>
      <c r="G1125" s="74" t="n"/>
      <c r="H1125" s="74" t="n"/>
      <c r="I1125" s="74" t="n"/>
      <c r="J1125" s="77" t="n"/>
      <c r="K1125" s="77" t="n"/>
      <c r="L1125" s="74" t="n"/>
      <c r="M1125" s="74" t="n"/>
      <c r="O1125" s="78">
        <f>IF($A1125="","",YEAR($A1125)*100+MONTH($A1125))</f>
        <v/>
      </c>
      <c r="P1125" s="79">
        <f>IF(OR($F1125="",$D1125=""),"",IF($D1125="Receita",$F1125,IF($D1125="Transferência",0,-$F1125)))</f>
        <v/>
      </c>
    </row>
    <row r="1126">
      <c r="A1126" s="73" t="n"/>
      <c r="B1126" s="74" t="n"/>
      <c r="C1126" s="74" t="n"/>
      <c r="D1126" s="75">
        <f>IF($C1126="","",IFERROR(INDEX(CAT_TIPO,MATCH($C1126,CAT_NOME,0)),"Sem categoria"))</f>
        <v/>
      </c>
      <c r="E1126" s="75">
        <f>IF($C1126="","",IFERROR(INDEX(CAT_GRUPO,MATCH($C1126,CAT_NOME,0)),"Sem categoria"))</f>
        <v/>
      </c>
      <c r="F1126" s="76" t="n"/>
      <c r="G1126" s="74" t="n"/>
      <c r="H1126" s="74" t="n"/>
      <c r="I1126" s="74" t="n"/>
      <c r="J1126" s="77" t="n"/>
      <c r="K1126" s="77" t="n"/>
      <c r="L1126" s="74" t="n"/>
      <c r="M1126" s="74" t="n"/>
      <c r="O1126" s="78">
        <f>IF($A1126="","",YEAR($A1126)*100+MONTH($A1126))</f>
        <v/>
      </c>
      <c r="P1126" s="79">
        <f>IF(OR($F1126="",$D1126=""),"",IF($D1126="Receita",$F1126,IF($D1126="Transferência",0,-$F1126)))</f>
        <v/>
      </c>
    </row>
    <row r="1127">
      <c r="A1127" s="73" t="n"/>
      <c r="B1127" s="74" t="n"/>
      <c r="C1127" s="74" t="n"/>
      <c r="D1127" s="75">
        <f>IF($C1127="","",IFERROR(INDEX(CAT_TIPO,MATCH($C1127,CAT_NOME,0)),"Sem categoria"))</f>
        <v/>
      </c>
      <c r="E1127" s="75">
        <f>IF($C1127="","",IFERROR(INDEX(CAT_GRUPO,MATCH($C1127,CAT_NOME,0)),"Sem categoria"))</f>
        <v/>
      </c>
      <c r="F1127" s="76" t="n"/>
      <c r="G1127" s="74" t="n"/>
      <c r="H1127" s="74" t="n"/>
      <c r="I1127" s="74" t="n"/>
      <c r="J1127" s="77" t="n"/>
      <c r="K1127" s="77" t="n"/>
      <c r="L1127" s="74" t="n"/>
      <c r="M1127" s="74" t="n"/>
      <c r="O1127" s="78">
        <f>IF($A1127="","",YEAR($A1127)*100+MONTH($A1127))</f>
        <v/>
      </c>
      <c r="P1127" s="79">
        <f>IF(OR($F1127="",$D1127=""),"",IF($D1127="Receita",$F1127,IF($D1127="Transferência",0,-$F1127)))</f>
        <v/>
      </c>
    </row>
    <row r="1128">
      <c r="A1128" s="73" t="n"/>
      <c r="B1128" s="74" t="n"/>
      <c r="C1128" s="74" t="n"/>
      <c r="D1128" s="75">
        <f>IF($C1128="","",IFERROR(INDEX(CAT_TIPO,MATCH($C1128,CAT_NOME,0)),"Sem categoria"))</f>
        <v/>
      </c>
      <c r="E1128" s="75">
        <f>IF($C1128="","",IFERROR(INDEX(CAT_GRUPO,MATCH($C1128,CAT_NOME,0)),"Sem categoria"))</f>
        <v/>
      </c>
      <c r="F1128" s="76" t="n"/>
      <c r="G1128" s="74" t="n"/>
      <c r="H1128" s="74" t="n"/>
      <c r="I1128" s="74" t="n"/>
      <c r="J1128" s="77" t="n"/>
      <c r="K1128" s="77" t="n"/>
      <c r="L1128" s="74" t="n"/>
      <c r="M1128" s="74" t="n"/>
      <c r="O1128" s="78">
        <f>IF($A1128="","",YEAR($A1128)*100+MONTH($A1128))</f>
        <v/>
      </c>
      <c r="P1128" s="79">
        <f>IF(OR($F1128="",$D1128=""),"",IF($D1128="Receita",$F1128,IF($D1128="Transferência",0,-$F1128)))</f>
        <v/>
      </c>
    </row>
    <row r="1129">
      <c r="A1129" s="73" t="n"/>
      <c r="B1129" s="74" t="n"/>
      <c r="C1129" s="74" t="n"/>
      <c r="D1129" s="75">
        <f>IF($C1129="","",IFERROR(INDEX(CAT_TIPO,MATCH($C1129,CAT_NOME,0)),"Sem categoria"))</f>
        <v/>
      </c>
      <c r="E1129" s="75">
        <f>IF($C1129="","",IFERROR(INDEX(CAT_GRUPO,MATCH($C1129,CAT_NOME,0)),"Sem categoria"))</f>
        <v/>
      </c>
      <c r="F1129" s="76" t="n"/>
      <c r="G1129" s="74" t="n"/>
      <c r="H1129" s="74" t="n"/>
      <c r="I1129" s="74" t="n"/>
      <c r="J1129" s="77" t="n"/>
      <c r="K1129" s="77" t="n"/>
      <c r="L1129" s="74" t="n"/>
      <c r="M1129" s="74" t="n"/>
      <c r="O1129" s="78">
        <f>IF($A1129="","",YEAR($A1129)*100+MONTH($A1129))</f>
        <v/>
      </c>
      <c r="P1129" s="79">
        <f>IF(OR($F1129="",$D1129=""),"",IF($D1129="Receita",$F1129,IF($D1129="Transferência",0,-$F1129)))</f>
        <v/>
      </c>
    </row>
    <row r="1130">
      <c r="A1130" s="73" t="n"/>
      <c r="B1130" s="74" t="n"/>
      <c r="C1130" s="74" t="n"/>
      <c r="D1130" s="75">
        <f>IF($C1130="","",IFERROR(INDEX(CAT_TIPO,MATCH($C1130,CAT_NOME,0)),"Sem categoria"))</f>
        <v/>
      </c>
      <c r="E1130" s="75">
        <f>IF($C1130="","",IFERROR(INDEX(CAT_GRUPO,MATCH($C1130,CAT_NOME,0)),"Sem categoria"))</f>
        <v/>
      </c>
      <c r="F1130" s="76" t="n"/>
      <c r="G1130" s="74" t="n"/>
      <c r="H1130" s="74" t="n"/>
      <c r="I1130" s="74" t="n"/>
      <c r="J1130" s="77" t="n"/>
      <c r="K1130" s="77" t="n"/>
      <c r="L1130" s="74" t="n"/>
      <c r="M1130" s="74" t="n"/>
      <c r="O1130" s="78">
        <f>IF($A1130="","",YEAR($A1130)*100+MONTH($A1130))</f>
        <v/>
      </c>
      <c r="P1130" s="79">
        <f>IF(OR($F1130="",$D1130=""),"",IF($D1130="Receita",$F1130,IF($D1130="Transferência",0,-$F1130)))</f>
        <v/>
      </c>
    </row>
    <row r="1131">
      <c r="A1131" s="73" t="n"/>
      <c r="B1131" s="74" t="n"/>
      <c r="C1131" s="74" t="n"/>
      <c r="D1131" s="75">
        <f>IF($C1131="","",IFERROR(INDEX(CAT_TIPO,MATCH($C1131,CAT_NOME,0)),"Sem categoria"))</f>
        <v/>
      </c>
      <c r="E1131" s="75">
        <f>IF($C1131="","",IFERROR(INDEX(CAT_GRUPO,MATCH($C1131,CAT_NOME,0)),"Sem categoria"))</f>
        <v/>
      </c>
      <c r="F1131" s="76" t="n"/>
      <c r="G1131" s="74" t="n"/>
      <c r="H1131" s="74" t="n"/>
      <c r="I1131" s="74" t="n"/>
      <c r="J1131" s="77" t="n"/>
      <c r="K1131" s="77" t="n"/>
      <c r="L1131" s="74" t="n"/>
      <c r="M1131" s="74" t="n"/>
      <c r="O1131" s="78">
        <f>IF($A1131="","",YEAR($A1131)*100+MONTH($A1131))</f>
        <v/>
      </c>
      <c r="P1131" s="79">
        <f>IF(OR($F1131="",$D1131=""),"",IF($D1131="Receita",$F1131,IF($D1131="Transferência",0,-$F1131)))</f>
        <v/>
      </c>
    </row>
    <row r="1132">
      <c r="A1132" s="73" t="n"/>
      <c r="B1132" s="74" t="n"/>
      <c r="C1132" s="74" t="n"/>
      <c r="D1132" s="75">
        <f>IF($C1132="","",IFERROR(INDEX(CAT_TIPO,MATCH($C1132,CAT_NOME,0)),"Sem categoria"))</f>
        <v/>
      </c>
      <c r="E1132" s="75">
        <f>IF($C1132="","",IFERROR(INDEX(CAT_GRUPO,MATCH($C1132,CAT_NOME,0)),"Sem categoria"))</f>
        <v/>
      </c>
      <c r="F1132" s="76" t="n"/>
      <c r="G1132" s="74" t="n"/>
      <c r="H1132" s="74" t="n"/>
      <c r="I1132" s="74" t="n"/>
      <c r="J1132" s="77" t="n"/>
      <c r="K1132" s="77" t="n"/>
      <c r="L1132" s="74" t="n"/>
      <c r="M1132" s="74" t="n"/>
      <c r="O1132" s="78">
        <f>IF($A1132="","",YEAR($A1132)*100+MONTH($A1132))</f>
        <v/>
      </c>
      <c r="P1132" s="79">
        <f>IF(OR($F1132="",$D1132=""),"",IF($D1132="Receita",$F1132,IF($D1132="Transferência",0,-$F1132)))</f>
        <v/>
      </c>
    </row>
    <row r="1133">
      <c r="A1133" s="73" t="n"/>
      <c r="B1133" s="74" t="n"/>
      <c r="C1133" s="74" t="n"/>
      <c r="D1133" s="75">
        <f>IF($C1133="","",IFERROR(INDEX(CAT_TIPO,MATCH($C1133,CAT_NOME,0)),"Sem categoria"))</f>
        <v/>
      </c>
      <c r="E1133" s="75">
        <f>IF($C1133="","",IFERROR(INDEX(CAT_GRUPO,MATCH($C1133,CAT_NOME,0)),"Sem categoria"))</f>
        <v/>
      </c>
      <c r="F1133" s="76" t="n"/>
      <c r="G1133" s="74" t="n"/>
      <c r="H1133" s="74" t="n"/>
      <c r="I1133" s="74" t="n"/>
      <c r="J1133" s="77" t="n"/>
      <c r="K1133" s="77" t="n"/>
      <c r="L1133" s="74" t="n"/>
      <c r="M1133" s="74" t="n"/>
      <c r="O1133" s="78">
        <f>IF($A1133="","",YEAR($A1133)*100+MONTH($A1133))</f>
        <v/>
      </c>
      <c r="P1133" s="79">
        <f>IF(OR($F1133="",$D1133=""),"",IF($D1133="Receita",$F1133,IF($D1133="Transferência",0,-$F1133)))</f>
        <v/>
      </c>
    </row>
    <row r="1134">
      <c r="A1134" s="73" t="n"/>
      <c r="B1134" s="74" t="n"/>
      <c r="C1134" s="74" t="n"/>
      <c r="D1134" s="75">
        <f>IF($C1134="","",IFERROR(INDEX(CAT_TIPO,MATCH($C1134,CAT_NOME,0)),"Sem categoria"))</f>
        <v/>
      </c>
      <c r="E1134" s="75">
        <f>IF($C1134="","",IFERROR(INDEX(CAT_GRUPO,MATCH($C1134,CAT_NOME,0)),"Sem categoria"))</f>
        <v/>
      </c>
      <c r="F1134" s="76" t="n"/>
      <c r="G1134" s="74" t="n"/>
      <c r="H1134" s="74" t="n"/>
      <c r="I1134" s="74" t="n"/>
      <c r="J1134" s="77" t="n"/>
      <c r="K1134" s="77" t="n"/>
      <c r="L1134" s="74" t="n"/>
      <c r="M1134" s="74" t="n"/>
      <c r="O1134" s="78">
        <f>IF($A1134="","",YEAR($A1134)*100+MONTH($A1134))</f>
        <v/>
      </c>
      <c r="P1134" s="79">
        <f>IF(OR($F1134="",$D1134=""),"",IF($D1134="Receita",$F1134,IF($D1134="Transferência",0,-$F1134)))</f>
        <v/>
      </c>
    </row>
    <row r="1135">
      <c r="A1135" s="73" t="n"/>
      <c r="B1135" s="74" t="n"/>
      <c r="C1135" s="74" t="n"/>
      <c r="D1135" s="75">
        <f>IF($C1135="","",IFERROR(INDEX(CAT_TIPO,MATCH($C1135,CAT_NOME,0)),"Sem categoria"))</f>
        <v/>
      </c>
      <c r="E1135" s="75">
        <f>IF($C1135="","",IFERROR(INDEX(CAT_GRUPO,MATCH($C1135,CAT_NOME,0)),"Sem categoria"))</f>
        <v/>
      </c>
      <c r="F1135" s="76" t="n"/>
      <c r="G1135" s="74" t="n"/>
      <c r="H1135" s="74" t="n"/>
      <c r="I1135" s="74" t="n"/>
      <c r="J1135" s="77" t="n"/>
      <c r="K1135" s="77" t="n"/>
      <c r="L1135" s="74" t="n"/>
      <c r="M1135" s="74" t="n"/>
      <c r="O1135" s="78">
        <f>IF($A1135="","",YEAR($A1135)*100+MONTH($A1135))</f>
        <v/>
      </c>
      <c r="P1135" s="79">
        <f>IF(OR($F1135="",$D1135=""),"",IF($D1135="Receita",$F1135,IF($D1135="Transferência",0,-$F1135)))</f>
        <v/>
      </c>
    </row>
    <row r="1136">
      <c r="A1136" s="73" t="n"/>
      <c r="B1136" s="74" t="n"/>
      <c r="C1136" s="74" t="n"/>
      <c r="D1136" s="75">
        <f>IF($C1136="","",IFERROR(INDEX(CAT_TIPO,MATCH($C1136,CAT_NOME,0)),"Sem categoria"))</f>
        <v/>
      </c>
      <c r="E1136" s="75">
        <f>IF($C1136="","",IFERROR(INDEX(CAT_GRUPO,MATCH($C1136,CAT_NOME,0)),"Sem categoria"))</f>
        <v/>
      </c>
      <c r="F1136" s="76" t="n"/>
      <c r="G1136" s="74" t="n"/>
      <c r="H1136" s="74" t="n"/>
      <c r="I1136" s="74" t="n"/>
      <c r="J1136" s="77" t="n"/>
      <c r="K1136" s="77" t="n"/>
      <c r="L1136" s="74" t="n"/>
      <c r="M1136" s="74" t="n"/>
      <c r="O1136" s="78">
        <f>IF($A1136="","",YEAR($A1136)*100+MONTH($A1136))</f>
        <v/>
      </c>
      <c r="P1136" s="79">
        <f>IF(OR($F1136="",$D1136=""),"",IF($D1136="Receita",$F1136,IF($D1136="Transferência",0,-$F1136)))</f>
        <v/>
      </c>
    </row>
    <row r="1137">
      <c r="A1137" s="73" t="n"/>
      <c r="B1137" s="74" t="n"/>
      <c r="C1137" s="74" t="n"/>
      <c r="D1137" s="75">
        <f>IF($C1137="","",IFERROR(INDEX(CAT_TIPO,MATCH($C1137,CAT_NOME,0)),"Sem categoria"))</f>
        <v/>
      </c>
      <c r="E1137" s="75">
        <f>IF($C1137="","",IFERROR(INDEX(CAT_GRUPO,MATCH($C1137,CAT_NOME,0)),"Sem categoria"))</f>
        <v/>
      </c>
      <c r="F1137" s="76" t="n"/>
      <c r="G1137" s="74" t="n"/>
      <c r="H1137" s="74" t="n"/>
      <c r="I1137" s="74" t="n"/>
      <c r="J1137" s="77" t="n"/>
      <c r="K1137" s="77" t="n"/>
      <c r="L1137" s="74" t="n"/>
      <c r="M1137" s="74" t="n"/>
      <c r="O1137" s="78">
        <f>IF($A1137="","",YEAR($A1137)*100+MONTH($A1137))</f>
        <v/>
      </c>
      <c r="P1137" s="79">
        <f>IF(OR($F1137="",$D1137=""),"",IF($D1137="Receita",$F1137,IF($D1137="Transferência",0,-$F1137)))</f>
        <v/>
      </c>
    </row>
    <row r="1138">
      <c r="A1138" s="73" t="n"/>
      <c r="B1138" s="74" t="n"/>
      <c r="C1138" s="74" t="n"/>
      <c r="D1138" s="75">
        <f>IF($C1138="","",IFERROR(INDEX(CAT_TIPO,MATCH($C1138,CAT_NOME,0)),"Sem categoria"))</f>
        <v/>
      </c>
      <c r="E1138" s="75">
        <f>IF($C1138="","",IFERROR(INDEX(CAT_GRUPO,MATCH($C1138,CAT_NOME,0)),"Sem categoria"))</f>
        <v/>
      </c>
      <c r="F1138" s="76" t="n"/>
      <c r="G1138" s="74" t="n"/>
      <c r="H1138" s="74" t="n"/>
      <c r="I1138" s="74" t="n"/>
      <c r="J1138" s="77" t="n"/>
      <c r="K1138" s="77" t="n"/>
      <c r="L1138" s="74" t="n"/>
      <c r="M1138" s="74" t="n"/>
      <c r="O1138" s="78">
        <f>IF($A1138="","",YEAR($A1138)*100+MONTH($A1138))</f>
        <v/>
      </c>
      <c r="P1138" s="79">
        <f>IF(OR($F1138="",$D1138=""),"",IF($D1138="Receita",$F1138,IF($D1138="Transferência",0,-$F1138)))</f>
        <v/>
      </c>
    </row>
    <row r="1139">
      <c r="A1139" s="73" t="n"/>
      <c r="B1139" s="74" t="n"/>
      <c r="C1139" s="74" t="n"/>
      <c r="D1139" s="75">
        <f>IF($C1139="","",IFERROR(INDEX(CAT_TIPO,MATCH($C1139,CAT_NOME,0)),"Sem categoria"))</f>
        <v/>
      </c>
      <c r="E1139" s="75">
        <f>IF($C1139="","",IFERROR(INDEX(CAT_GRUPO,MATCH($C1139,CAT_NOME,0)),"Sem categoria"))</f>
        <v/>
      </c>
      <c r="F1139" s="76" t="n"/>
      <c r="G1139" s="74" t="n"/>
      <c r="H1139" s="74" t="n"/>
      <c r="I1139" s="74" t="n"/>
      <c r="J1139" s="77" t="n"/>
      <c r="K1139" s="77" t="n"/>
      <c r="L1139" s="74" t="n"/>
      <c r="M1139" s="74" t="n"/>
      <c r="O1139" s="78">
        <f>IF($A1139="","",YEAR($A1139)*100+MONTH($A1139))</f>
        <v/>
      </c>
      <c r="P1139" s="79">
        <f>IF(OR($F1139="",$D1139=""),"",IF($D1139="Receita",$F1139,IF($D1139="Transferência",0,-$F1139)))</f>
        <v/>
      </c>
    </row>
    <row r="1140">
      <c r="A1140" s="73" t="n"/>
      <c r="B1140" s="74" t="n"/>
      <c r="C1140" s="74" t="n"/>
      <c r="D1140" s="75">
        <f>IF($C1140="","",IFERROR(INDEX(CAT_TIPO,MATCH($C1140,CAT_NOME,0)),"Sem categoria"))</f>
        <v/>
      </c>
      <c r="E1140" s="75">
        <f>IF($C1140="","",IFERROR(INDEX(CAT_GRUPO,MATCH($C1140,CAT_NOME,0)),"Sem categoria"))</f>
        <v/>
      </c>
      <c r="F1140" s="76" t="n"/>
      <c r="G1140" s="74" t="n"/>
      <c r="H1140" s="74" t="n"/>
      <c r="I1140" s="74" t="n"/>
      <c r="J1140" s="77" t="n"/>
      <c r="K1140" s="77" t="n"/>
      <c r="L1140" s="74" t="n"/>
      <c r="M1140" s="74" t="n"/>
      <c r="O1140" s="78">
        <f>IF($A1140="","",YEAR($A1140)*100+MONTH($A1140))</f>
        <v/>
      </c>
      <c r="P1140" s="79">
        <f>IF(OR($F1140="",$D1140=""),"",IF($D1140="Receita",$F1140,IF($D1140="Transferência",0,-$F1140)))</f>
        <v/>
      </c>
    </row>
    <row r="1141">
      <c r="A1141" s="73" t="n"/>
      <c r="B1141" s="74" t="n"/>
      <c r="C1141" s="74" t="n"/>
      <c r="D1141" s="75">
        <f>IF($C1141="","",IFERROR(INDEX(CAT_TIPO,MATCH($C1141,CAT_NOME,0)),"Sem categoria"))</f>
        <v/>
      </c>
      <c r="E1141" s="75">
        <f>IF($C1141="","",IFERROR(INDEX(CAT_GRUPO,MATCH($C1141,CAT_NOME,0)),"Sem categoria"))</f>
        <v/>
      </c>
      <c r="F1141" s="76" t="n"/>
      <c r="G1141" s="74" t="n"/>
      <c r="H1141" s="74" t="n"/>
      <c r="I1141" s="74" t="n"/>
      <c r="J1141" s="77" t="n"/>
      <c r="K1141" s="77" t="n"/>
      <c r="L1141" s="74" t="n"/>
      <c r="M1141" s="74" t="n"/>
      <c r="O1141" s="78">
        <f>IF($A1141="","",YEAR($A1141)*100+MONTH($A1141))</f>
        <v/>
      </c>
      <c r="P1141" s="79">
        <f>IF(OR($F1141="",$D1141=""),"",IF($D1141="Receita",$F1141,IF($D1141="Transferência",0,-$F1141)))</f>
        <v/>
      </c>
    </row>
    <row r="1142">
      <c r="A1142" s="73" t="n"/>
      <c r="B1142" s="74" t="n"/>
      <c r="C1142" s="74" t="n"/>
      <c r="D1142" s="75">
        <f>IF($C1142="","",IFERROR(INDEX(CAT_TIPO,MATCH($C1142,CAT_NOME,0)),"Sem categoria"))</f>
        <v/>
      </c>
      <c r="E1142" s="75">
        <f>IF($C1142="","",IFERROR(INDEX(CAT_GRUPO,MATCH($C1142,CAT_NOME,0)),"Sem categoria"))</f>
        <v/>
      </c>
      <c r="F1142" s="76" t="n"/>
      <c r="G1142" s="74" t="n"/>
      <c r="H1142" s="74" t="n"/>
      <c r="I1142" s="74" t="n"/>
      <c r="J1142" s="77" t="n"/>
      <c r="K1142" s="77" t="n"/>
      <c r="L1142" s="74" t="n"/>
      <c r="M1142" s="74" t="n"/>
      <c r="O1142" s="78">
        <f>IF($A1142="","",YEAR($A1142)*100+MONTH($A1142))</f>
        <v/>
      </c>
      <c r="P1142" s="79">
        <f>IF(OR($F1142="",$D1142=""),"",IF($D1142="Receita",$F1142,IF($D1142="Transferência",0,-$F1142)))</f>
        <v/>
      </c>
    </row>
    <row r="1143">
      <c r="A1143" s="73" t="n"/>
      <c r="B1143" s="74" t="n"/>
      <c r="C1143" s="74" t="n"/>
      <c r="D1143" s="75">
        <f>IF($C1143="","",IFERROR(INDEX(CAT_TIPO,MATCH($C1143,CAT_NOME,0)),"Sem categoria"))</f>
        <v/>
      </c>
      <c r="E1143" s="75">
        <f>IF($C1143="","",IFERROR(INDEX(CAT_GRUPO,MATCH($C1143,CAT_NOME,0)),"Sem categoria"))</f>
        <v/>
      </c>
      <c r="F1143" s="76" t="n"/>
      <c r="G1143" s="74" t="n"/>
      <c r="H1143" s="74" t="n"/>
      <c r="I1143" s="74" t="n"/>
      <c r="J1143" s="77" t="n"/>
      <c r="K1143" s="77" t="n"/>
      <c r="L1143" s="74" t="n"/>
      <c r="M1143" s="74" t="n"/>
      <c r="O1143" s="78">
        <f>IF($A1143="","",YEAR($A1143)*100+MONTH($A1143))</f>
        <v/>
      </c>
      <c r="P1143" s="79">
        <f>IF(OR($F1143="",$D1143=""),"",IF($D1143="Receita",$F1143,IF($D1143="Transferência",0,-$F1143)))</f>
        <v/>
      </c>
    </row>
    <row r="1144">
      <c r="A1144" s="73" t="n"/>
      <c r="B1144" s="74" t="n"/>
      <c r="C1144" s="74" t="n"/>
      <c r="D1144" s="75">
        <f>IF($C1144="","",IFERROR(INDEX(CAT_TIPO,MATCH($C1144,CAT_NOME,0)),"Sem categoria"))</f>
        <v/>
      </c>
      <c r="E1144" s="75">
        <f>IF($C1144="","",IFERROR(INDEX(CAT_GRUPO,MATCH($C1144,CAT_NOME,0)),"Sem categoria"))</f>
        <v/>
      </c>
      <c r="F1144" s="76" t="n"/>
      <c r="G1144" s="74" t="n"/>
      <c r="H1144" s="74" t="n"/>
      <c r="I1144" s="74" t="n"/>
      <c r="J1144" s="77" t="n"/>
      <c r="K1144" s="77" t="n"/>
      <c r="L1144" s="74" t="n"/>
      <c r="M1144" s="74" t="n"/>
      <c r="O1144" s="78">
        <f>IF($A1144="","",YEAR($A1144)*100+MONTH($A1144))</f>
        <v/>
      </c>
      <c r="P1144" s="79">
        <f>IF(OR($F1144="",$D1144=""),"",IF($D1144="Receita",$F1144,IF($D1144="Transferência",0,-$F1144)))</f>
        <v/>
      </c>
    </row>
    <row r="1145">
      <c r="A1145" s="73" t="n"/>
      <c r="B1145" s="74" t="n"/>
      <c r="C1145" s="74" t="n"/>
      <c r="D1145" s="75">
        <f>IF($C1145="","",IFERROR(INDEX(CAT_TIPO,MATCH($C1145,CAT_NOME,0)),"Sem categoria"))</f>
        <v/>
      </c>
      <c r="E1145" s="75">
        <f>IF($C1145="","",IFERROR(INDEX(CAT_GRUPO,MATCH($C1145,CAT_NOME,0)),"Sem categoria"))</f>
        <v/>
      </c>
      <c r="F1145" s="76" t="n"/>
      <c r="G1145" s="74" t="n"/>
      <c r="H1145" s="74" t="n"/>
      <c r="I1145" s="74" t="n"/>
      <c r="J1145" s="77" t="n"/>
      <c r="K1145" s="77" t="n"/>
      <c r="L1145" s="74" t="n"/>
      <c r="M1145" s="74" t="n"/>
      <c r="O1145" s="78">
        <f>IF($A1145="","",YEAR($A1145)*100+MONTH($A1145))</f>
        <v/>
      </c>
      <c r="P1145" s="79">
        <f>IF(OR($F1145="",$D1145=""),"",IF($D1145="Receita",$F1145,IF($D1145="Transferência",0,-$F1145)))</f>
        <v/>
      </c>
    </row>
    <row r="1146">
      <c r="A1146" s="73" t="n"/>
      <c r="B1146" s="74" t="n"/>
      <c r="C1146" s="74" t="n"/>
      <c r="D1146" s="75">
        <f>IF($C1146="","",IFERROR(INDEX(CAT_TIPO,MATCH($C1146,CAT_NOME,0)),"Sem categoria"))</f>
        <v/>
      </c>
      <c r="E1146" s="75">
        <f>IF($C1146="","",IFERROR(INDEX(CAT_GRUPO,MATCH($C1146,CAT_NOME,0)),"Sem categoria"))</f>
        <v/>
      </c>
      <c r="F1146" s="76" t="n"/>
      <c r="G1146" s="74" t="n"/>
      <c r="H1146" s="74" t="n"/>
      <c r="I1146" s="74" t="n"/>
      <c r="J1146" s="77" t="n"/>
      <c r="K1146" s="77" t="n"/>
      <c r="L1146" s="74" t="n"/>
      <c r="M1146" s="74" t="n"/>
      <c r="O1146" s="78">
        <f>IF($A1146="","",YEAR($A1146)*100+MONTH($A1146))</f>
        <v/>
      </c>
      <c r="P1146" s="79">
        <f>IF(OR($F1146="",$D1146=""),"",IF($D1146="Receita",$F1146,IF($D1146="Transferência",0,-$F1146)))</f>
        <v/>
      </c>
    </row>
    <row r="1147">
      <c r="A1147" s="73" t="n"/>
      <c r="B1147" s="74" t="n"/>
      <c r="C1147" s="74" t="n"/>
      <c r="D1147" s="75">
        <f>IF($C1147="","",IFERROR(INDEX(CAT_TIPO,MATCH($C1147,CAT_NOME,0)),"Sem categoria"))</f>
        <v/>
      </c>
      <c r="E1147" s="75">
        <f>IF($C1147="","",IFERROR(INDEX(CAT_GRUPO,MATCH($C1147,CAT_NOME,0)),"Sem categoria"))</f>
        <v/>
      </c>
      <c r="F1147" s="76" t="n"/>
      <c r="G1147" s="74" t="n"/>
      <c r="H1147" s="74" t="n"/>
      <c r="I1147" s="74" t="n"/>
      <c r="J1147" s="77" t="n"/>
      <c r="K1147" s="77" t="n"/>
      <c r="L1147" s="74" t="n"/>
      <c r="M1147" s="74" t="n"/>
      <c r="O1147" s="78">
        <f>IF($A1147="","",YEAR($A1147)*100+MONTH($A1147))</f>
        <v/>
      </c>
      <c r="P1147" s="79">
        <f>IF(OR($F1147="",$D1147=""),"",IF($D1147="Receita",$F1147,IF($D1147="Transferência",0,-$F1147)))</f>
        <v/>
      </c>
    </row>
    <row r="1148">
      <c r="A1148" s="73" t="n"/>
      <c r="B1148" s="74" t="n"/>
      <c r="C1148" s="74" t="n"/>
      <c r="D1148" s="75">
        <f>IF($C1148="","",IFERROR(INDEX(CAT_TIPO,MATCH($C1148,CAT_NOME,0)),"Sem categoria"))</f>
        <v/>
      </c>
      <c r="E1148" s="75">
        <f>IF($C1148="","",IFERROR(INDEX(CAT_GRUPO,MATCH($C1148,CAT_NOME,0)),"Sem categoria"))</f>
        <v/>
      </c>
      <c r="F1148" s="76" t="n"/>
      <c r="G1148" s="74" t="n"/>
      <c r="H1148" s="74" t="n"/>
      <c r="I1148" s="74" t="n"/>
      <c r="J1148" s="77" t="n"/>
      <c r="K1148" s="77" t="n"/>
      <c r="L1148" s="74" t="n"/>
      <c r="M1148" s="74" t="n"/>
      <c r="O1148" s="78">
        <f>IF($A1148="","",YEAR($A1148)*100+MONTH($A1148))</f>
        <v/>
      </c>
      <c r="P1148" s="79">
        <f>IF(OR($F1148="",$D1148=""),"",IF($D1148="Receita",$F1148,IF($D1148="Transferência",0,-$F1148)))</f>
        <v/>
      </c>
    </row>
    <row r="1149">
      <c r="A1149" s="73" t="n"/>
      <c r="B1149" s="74" t="n"/>
      <c r="C1149" s="74" t="n"/>
      <c r="D1149" s="75">
        <f>IF($C1149="","",IFERROR(INDEX(CAT_TIPO,MATCH($C1149,CAT_NOME,0)),"Sem categoria"))</f>
        <v/>
      </c>
      <c r="E1149" s="75">
        <f>IF($C1149="","",IFERROR(INDEX(CAT_GRUPO,MATCH($C1149,CAT_NOME,0)),"Sem categoria"))</f>
        <v/>
      </c>
      <c r="F1149" s="76" t="n"/>
      <c r="G1149" s="74" t="n"/>
      <c r="H1149" s="74" t="n"/>
      <c r="I1149" s="74" t="n"/>
      <c r="J1149" s="77" t="n"/>
      <c r="K1149" s="77" t="n"/>
      <c r="L1149" s="74" t="n"/>
      <c r="M1149" s="74" t="n"/>
      <c r="O1149" s="78">
        <f>IF($A1149="","",YEAR($A1149)*100+MONTH($A1149))</f>
        <v/>
      </c>
      <c r="P1149" s="79">
        <f>IF(OR($F1149="",$D1149=""),"",IF($D1149="Receita",$F1149,IF($D1149="Transferência",0,-$F1149)))</f>
        <v/>
      </c>
    </row>
    <row r="1150">
      <c r="A1150" s="73" t="n"/>
      <c r="B1150" s="74" t="n"/>
      <c r="C1150" s="74" t="n"/>
      <c r="D1150" s="75">
        <f>IF($C1150="","",IFERROR(INDEX(CAT_TIPO,MATCH($C1150,CAT_NOME,0)),"Sem categoria"))</f>
        <v/>
      </c>
      <c r="E1150" s="75">
        <f>IF($C1150="","",IFERROR(INDEX(CAT_GRUPO,MATCH($C1150,CAT_NOME,0)),"Sem categoria"))</f>
        <v/>
      </c>
      <c r="F1150" s="76" t="n"/>
      <c r="G1150" s="74" t="n"/>
      <c r="H1150" s="74" t="n"/>
      <c r="I1150" s="74" t="n"/>
      <c r="J1150" s="77" t="n"/>
      <c r="K1150" s="77" t="n"/>
      <c r="L1150" s="74" t="n"/>
      <c r="M1150" s="74" t="n"/>
      <c r="O1150" s="78">
        <f>IF($A1150="","",YEAR($A1150)*100+MONTH($A1150))</f>
        <v/>
      </c>
      <c r="P1150" s="79">
        <f>IF(OR($F1150="",$D1150=""),"",IF($D1150="Receita",$F1150,IF($D1150="Transferência",0,-$F1150)))</f>
        <v/>
      </c>
    </row>
    <row r="1151">
      <c r="A1151" s="73" t="n"/>
      <c r="B1151" s="74" t="n"/>
      <c r="C1151" s="74" t="n"/>
      <c r="D1151" s="75">
        <f>IF($C1151="","",IFERROR(INDEX(CAT_TIPO,MATCH($C1151,CAT_NOME,0)),"Sem categoria"))</f>
        <v/>
      </c>
      <c r="E1151" s="75">
        <f>IF($C1151="","",IFERROR(INDEX(CAT_GRUPO,MATCH($C1151,CAT_NOME,0)),"Sem categoria"))</f>
        <v/>
      </c>
      <c r="F1151" s="76" t="n"/>
      <c r="G1151" s="74" t="n"/>
      <c r="H1151" s="74" t="n"/>
      <c r="I1151" s="74" t="n"/>
      <c r="J1151" s="77" t="n"/>
      <c r="K1151" s="77" t="n"/>
      <c r="L1151" s="74" t="n"/>
      <c r="M1151" s="74" t="n"/>
      <c r="O1151" s="78">
        <f>IF($A1151="","",YEAR($A1151)*100+MONTH($A1151))</f>
        <v/>
      </c>
      <c r="P1151" s="79">
        <f>IF(OR($F1151="",$D1151=""),"",IF($D1151="Receita",$F1151,IF($D1151="Transferência",0,-$F1151)))</f>
        <v/>
      </c>
    </row>
    <row r="1152">
      <c r="A1152" s="73" t="n"/>
      <c r="B1152" s="74" t="n"/>
      <c r="C1152" s="74" t="n"/>
      <c r="D1152" s="75">
        <f>IF($C1152="","",IFERROR(INDEX(CAT_TIPO,MATCH($C1152,CAT_NOME,0)),"Sem categoria"))</f>
        <v/>
      </c>
      <c r="E1152" s="75">
        <f>IF($C1152="","",IFERROR(INDEX(CAT_GRUPO,MATCH($C1152,CAT_NOME,0)),"Sem categoria"))</f>
        <v/>
      </c>
      <c r="F1152" s="76" t="n"/>
      <c r="G1152" s="74" t="n"/>
      <c r="H1152" s="74" t="n"/>
      <c r="I1152" s="74" t="n"/>
      <c r="J1152" s="77" t="n"/>
      <c r="K1152" s="77" t="n"/>
      <c r="L1152" s="74" t="n"/>
      <c r="M1152" s="74" t="n"/>
      <c r="O1152" s="78">
        <f>IF($A1152="","",YEAR($A1152)*100+MONTH($A1152))</f>
        <v/>
      </c>
      <c r="P1152" s="79">
        <f>IF(OR($F1152="",$D1152=""),"",IF($D1152="Receita",$F1152,IF($D1152="Transferência",0,-$F1152)))</f>
        <v/>
      </c>
    </row>
    <row r="1153">
      <c r="A1153" s="73" t="n"/>
      <c r="B1153" s="74" t="n"/>
      <c r="C1153" s="74" t="n"/>
      <c r="D1153" s="75">
        <f>IF($C1153="","",IFERROR(INDEX(CAT_TIPO,MATCH($C1153,CAT_NOME,0)),"Sem categoria"))</f>
        <v/>
      </c>
      <c r="E1153" s="75">
        <f>IF($C1153="","",IFERROR(INDEX(CAT_GRUPO,MATCH($C1153,CAT_NOME,0)),"Sem categoria"))</f>
        <v/>
      </c>
      <c r="F1153" s="76" t="n"/>
      <c r="G1153" s="74" t="n"/>
      <c r="H1153" s="74" t="n"/>
      <c r="I1153" s="74" t="n"/>
      <c r="J1153" s="77" t="n"/>
      <c r="K1153" s="77" t="n"/>
      <c r="L1153" s="74" t="n"/>
      <c r="M1153" s="74" t="n"/>
      <c r="O1153" s="78">
        <f>IF($A1153="","",YEAR($A1153)*100+MONTH($A1153))</f>
        <v/>
      </c>
      <c r="P1153" s="79">
        <f>IF(OR($F1153="",$D1153=""),"",IF($D1153="Receita",$F1153,IF($D1153="Transferência",0,-$F1153)))</f>
        <v/>
      </c>
    </row>
    <row r="1154">
      <c r="A1154" s="73" t="n"/>
      <c r="B1154" s="74" t="n"/>
      <c r="C1154" s="74" t="n"/>
      <c r="D1154" s="75">
        <f>IF($C1154="","",IFERROR(INDEX(CAT_TIPO,MATCH($C1154,CAT_NOME,0)),"Sem categoria"))</f>
        <v/>
      </c>
      <c r="E1154" s="75">
        <f>IF($C1154="","",IFERROR(INDEX(CAT_GRUPO,MATCH($C1154,CAT_NOME,0)),"Sem categoria"))</f>
        <v/>
      </c>
      <c r="F1154" s="76" t="n"/>
      <c r="G1154" s="74" t="n"/>
      <c r="H1154" s="74" t="n"/>
      <c r="I1154" s="74" t="n"/>
      <c r="J1154" s="77" t="n"/>
      <c r="K1154" s="77" t="n"/>
      <c r="L1154" s="74" t="n"/>
      <c r="M1154" s="74" t="n"/>
      <c r="O1154" s="78">
        <f>IF($A1154="","",YEAR($A1154)*100+MONTH($A1154))</f>
        <v/>
      </c>
      <c r="P1154" s="79">
        <f>IF(OR($F1154="",$D1154=""),"",IF($D1154="Receita",$F1154,IF($D1154="Transferência",0,-$F1154)))</f>
        <v/>
      </c>
    </row>
    <row r="1155">
      <c r="A1155" s="73" t="n"/>
      <c r="B1155" s="74" t="n"/>
      <c r="C1155" s="74" t="n"/>
      <c r="D1155" s="75">
        <f>IF($C1155="","",IFERROR(INDEX(CAT_TIPO,MATCH($C1155,CAT_NOME,0)),"Sem categoria"))</f>
        <v/>
      </c>
      <c r="E1155" s="75">
        <f>IF($C1155="","",IFERROR(INDEX(CAT_GRUPO,MATCH($C1155,CAT_NOME,0)),"Sem categoria"))</f>
        <v/>
      </c>
      <c r="F1155" s="76" t="n"/>
      <c r="G1155" s="74" t="n"/>
      <c r="H1155" s="74" t="n"/>
      <c r="I1155" s="74" t="n"/>
      <c r="J1155" s="77" t="n"/>
      <c r="K1155" s="77" t="n"/>
      <c r="L1155" s="74" t="n"/>
      <c r="M1155" s="74" t="n"/>
      <c r="O1155" s="78">
        <f>IF($A1155="","",YEAR($A1155)*100+MONTH($A1155))</f>
        <v/>
      </c>
      <c r="P1155" s="79">
        <f>IF(OR($F1155="",$D1155=""),"",IF($D1155="Receita",$F1155,IF($D1155="Transferência",0,-$F1155)))</f>
        <v/>
      </c>
    </row>
    <row r="1156">
      <c r="A1156" s="73" t="n"/>
      <c r="B1156" s="74" t="n"/>
      <c r="C1156" s="74" t="n"/>
      <c r="D1156" s="75">
        <f>IF($C1156="","",IFERROR(INDEX(CAT_TIPO,MATCH($C1156,CAT_NOME,0)),"Sem categoria"))</f>
        <v/>
      </c>
      <c r="E1156" s="75">
        <f>IF($C1156="","",IFERROR(INDEX(CAT_GRUPO,MATCH($C1156,CAT_NOME,0)),"Sem categoria"))</f>
        <v/>
      </c>
      <c r="F1156" s="76" t="n"/>
      <c r="G1156" s="74" t="n"/>
      <c r="H1156" s="74" t="n"/>
      <c r="I1156" s="74" t="n"/>
      <c r="J1156" s="77" t="n"/>
      <c r="K1156" s="77" t="n"/>
      <c r="L1156" s="74" t="n"/>
      <c r="M1156" s="74" t="n"/>
      <c r="O1156" s="78">
        <f>IF($A1156="","",YEAR($A1156)*100+MONTH($A1156))</f>
        <v/>
      </c>
      <c r="P1156" s="79">
        <f>IF(OR($F1156="",$D1156=""),"",IF($D1156="Receita",$F1156,IF($D1156="Transferência",0,-$F1156)))</f>
        <v/>
      </c>
    </row>
    <row r="1157">
      <c r="A1157" s="73" t="n"/>
      <c r="B1157" s="74" t="n"/>
      <c r="C1157" s="74" t="n"/>
      <c r="D1157" s="75">
        <f>IF($C1157="","",IFERROR(INDEX(CAT_TIPO,MATCH($C1157,CAT_NOME,0)),"Sem categoria"))</f>
        <v/>
      </c>
      <c r="E1157" s="75">
        <f>IF($C1157="","",IFERROR(INDEX(CAT_GRUPO,MATCH($C1157,CAT_NOME,0)),"Sem categoria"))</f>
        <v/>
      </c>
      <c r="F1157" s="76" t="n"/>
      <c r="G1157" s="74" t="n"/>
      <c r="H1157" s="74" t="n"/>
      <c r="I1157" s="74" t="n"/>
      <c r="J1157" s="77" t="n"/>
      <c r="K1157" s="77" t="n"/>
      <c r="L1157" s="74" t="n"/>
      <c r="M1157" s="74" t="n"/>
      <c r="O1157" s="78">
        <f>IF($A1157="","",YEAR($A1157)*100+MONTH($A1157))</f>
        <v/>
      </c>
      <c r="P1157" s="79">
        <f>IF(OR($F1157="",$D1157=""),"",IF($D1157="Receita",$F1157,IF($D1157="Transferência",0,-$F1157)))</f>
        <v/>
      </c>
    </row>
    <row r="1158">
      <c r="A1158" s="73" t="n"/>
      <c r="B1158" s="74" t="n"/>
      <c r="C1158" s="74" t="n"/>
      <c r="D1158" s="75">
        <f>IF($C1158="","",IFERROR(INDEX(CAT_TIPO,MATCH($C1158,CAT_NOME,0)),"Sem categoria"))</f>
        <v/>
      </c>
      <c r="E1158" s="75">
        <f>IF($C1158="","",IFERROR(INDEX(CAT_GRUPO,MATCH($C1158,CAT_NOME,0)),"Sem categoria"))</f>
        <v/>
      </c>
      <c r="F1158" s="76" t="n"/>
      <c r="G1158" s="74" t="n"/>
      <c r="H1158" s="74" t="n"/>
      <c r="I1158" s="74" t="n"/>
      <c r="J1158" s="77" t="n"/>
      <c r="K1158" s="77" t="n"/>
      <c r="L1158" s="74" t="n"/>
      <c r="M1158" s="74" t="n"/>
      <c r="O1158" s="78">
        <f>IF($A1158="","",YEAR($A1158)*100+MONTH($A1158))</f>
        <v/>
      </c>
      <c r="P1158" s="79">
        <f>IF(OR($F1158="",$D1158=""),"",IF($D1158="Receita",$F1158,IF($D1158="Transferência",0,-$F1158)))</f>
        <v/>
      </c>
    </row>
    <row r="1159">
      <c r="A1159" s="73" t="n"/>
      <c r="B1159" s="74" t="n"/>
      <c r="C1159" s="74" t="n"/>
      <c r="D1159" s="75">
        <f>IF($C1159="","",IFERROR(INDEX(CAT_TIPO,MATCH($C1159,CAT_NOME,0)),"Sem categoria"))</f>
        <v/>
      </c>
      <c r="E1159" s="75">
        <f>IF($C1159="","",IFERROR(INDEX(CAT_GRUPO,MATCH($C1159,CAT_NOME,0)),"Sem categoria"))</f>
        <v/>
      </c>
      <c r="F1159" s="76" t="n"/>
      <c r="G1159" s="74" t="n"/>
      <c r="H1159" s="74" t="n"/>
      <c r="I1159" s="74" t="n"/>
      <c r="J1159" s="77" t="n"/>
      <c r="K1159" s="77" t="n"/>
      <c r="L1159" s="74" t="n"/>
      <c r="M1159" s="74" t="n"/>
      <c r="O1159" s="78">
        <f>IF($A1159="","",YEAR($A1159)*100+MONTH($A1159))</f>
        <v/>
      </c>
      <c r="P1159" s="79">
        <f>IF(OR($F1159="",$D1159=""),"",IF($D1159="Receita",$F1159,IF($D1159="Transferência",0,-$F1159)))</f>
        <v/>
      </c>
    </row>
    <row r="1160">
      <c r="A1160" s="73" t="n"/>
      <c r="B1160" s="74" t="n"/>
      <c r="C1160" s="74" t="n"/>
      <c r="D1160" s="75">
        <f>IF($C1160="","",IFERROR(INDEX(CAT_TIPO,MATCH($C1160,CAT_NOME,0)),"Sem categoria"))</f>
        <v/>
      </c>
      <c r="E1160" s="75">
        <f>IF($C1160="","",IFERROR(INDEX(CAT_GRUPO,MATCH($C1160,CAT_NOME,0)),"Sem categoria"))</f>
        <v/>
      </c>
      <c r="F1160" s="76" t="n"/>
      <c r="G1160" s="74" t="n"/>
      <c r="H1160" s="74" t="n"/>
      <c r="I1160" s="74" t="n"/>
      <c r="J1160" s="77" t="n"/>
      <c r="K1160" s="77" t="n"/>
      <c r="L1160" s="74" t="n"/>
      <c r="M1160" s="74" t="n"/>
      <c r="O1160" s="78">
        <f>IF($A1160="","",YEAR($A1160)*100+MONTH($A1160))</f>
        <v/>
      </c>
      <c r="P1160" s="79">
        <f>IF(OR($F1160="",$D1160=""),"",IF($D1160="Receita",$F1160,IF($D1160="Transferência",0,-$F1160)))</f>
        <v/>
      </c>
    </row>
    <row r="1161">
      <c r="A1161" s="73" t="n"/>
      <c r="B1161" s="74" t="n"/>
      <c r="C1161" s="74" t="n"/>
      <c r="D1161" s="75">
        <f>IF($C1161="","",IFERROR(INDEX(CAT_TIPO,MATCH($C1161,CAT_NOME,0)),"Sem categoria"))</f>
        <v/>
      </c>
      <c r="E1161" s="75">
        <f>IF($C1161="","",IFERROR(INDEX(CAT_GRUPO,MATCH($C1161,CAT_NOME,0)),"Sem categoria"))</f>
        <v/>
      </c>
      <c r="F1161" s="76" t="n"/>
      <c r="G1161" s="74" t="n"/>
      <c r="H1161" s="74" t="n"/>
      <c r="I1161" s="74" t="n"/>
      <c r="J1161" s="77" t="n"/>
      <c r="K1161" s="77" t="n"/>
      <c r="L1161" s="74" t="n"/>
      <c r="M1161" s="74" t="n"/>
      <c r="O1161" s="78">
        <f>IF($A1161="","",YEAR($A1161)*100+MONTH($A1161))</f>
        <v/>
      </c>
      <c r="P1161" s="79">
        <f>IF(OR($F1161="",$D1161=""),"",IF($D1161="Receita",$F1161,IF($D1161="Transferência",0,-$F1161)))</f>
        <v/>
      </c>
    </row>
    <row r="1162">
      <c r="A1162" s="73" t="n"/>
      <c r="B1162" s="74" t="n"/>
      <c r="C1162" s="74" t="n"/>
      <c r="D1162" s="75">
        <f>IF($C1162="","",IFERROR(INDEX(CAT_TIPO,MATCH($C1162,CAT_NOME,0)),"Sem categoria"))</f>
        <v/>
      </c>
      <c r="E1162" s="75">
        <f>IF($C1162="","",IFERROR(INDEX(CAT_GRUPO,MATCH($C1162,CAT_NOME,0)),"Sem categoria"))</f>
        <v/>
      </c>
      <c r="F1162" s="76" t="n"/>
      <c r="G1162" s="74" t="n"/>
      <c r="H1162" s="74" t="n"/>
      <c r="I1162" s="74" t="n"/>
      <c r="J1162" s="77" t="n"/>
      <c r="K1162" s="77" t="n"/>
      <c r="L1162" s="74" t="n"/>
      <c r="M1162" s="74" t="n"/>
      <c r="O1162" s="78">
        <f>IF($A1162="","",YEAR($A1162)*100+MONTH($A1162))</f>
        <v/>
      </c>
      <c r="P1162" s="79">
        <f>IF(OR($F1162="",$D1162=""),"",IF($D1162="Receita",$F1162,IF($D1162="Transferência",0,-$F1162)))</f>
        <v/>
      </c>
    </row>
    <row r="1163">
      <c r="A1163" s="73" t="n"/>
      <c r="B1163" s="74" t="n"/>
      <c r="C1163" s="74" t="n"/>
      <c r="D1163" s="75">
        <f>IF($C1163="","",IFERROR(INDEX(CAT_TIPO,MATCH($C1163,CAT_NOME,0)),"Sem categoria"))</f>
        <v/>
      </c>
      <c r="E1163" s="75">
        <f>IF($C1163="","",IFERROR(INDEX(CAT_GRUPO,MATCH($C1163,CAT_NOME,0)),"Sem categoria"))</f>
        <v/>
      </c>
      <c r="F1163" s="76" t="n"/>
      <c r="G1163" s="74" t="n"/>
      <c r="H1163" s="74" t="n"/>
      <c r="I1163" s="74" t="n"/>
      <c r="J1163" s="77" t="n"/>
      <c r="K1163" s="77" t="n"/>
      <c r="L1163" s="74" t="n"/>
      <c r="M1163" s="74" t="n"/>
      <c r="O1163" s="78">
        <f>IF($A1163="","",YEAR($A1163)*100+MONTH($A1163))</f>
        <v/>
      </c>
      <c r="P1163" s="79">
        <f>IF(OR($F1163="",$D1163=""),"",IF($D1163="Receita",$F1163,IF($D1163="Transferência",0,-$F1163)))</f>
        <v/>
      </c>
    </row>
    <row r="1164">
      <c r="A1164" s="73" t="n"/>
      <c r="B1164" s="74" t="n"/>
      <c r="C1164" s="74" t="n"/>
      <c r="D1164" s="75">
        <f>IF($C1164="","",IFERROR(INDEX(CAT_TIPO,MATCH($C1164,CAT_NOME,0)),"Sem categoria"))</f>
        <v/>
      </c>
      <c r="E1164" s="75">
        <f>IF($C1164="","",IFERROR(INDEX(CAT_GRUPO,MATCH($C1164,CAT_NOME,0)),"Sem categoria"))</f>
        <v/>
      </c>
      <c r="F1164" s="76" t="n"/>
      <c r="G1164" s="74" t="n"/>
      <c r="H1164" s="74" t="n"/>
      <c r="I1164" s="74" t="n"/>
      <c r="J1164" s="77" t="n"/>
      <c r="K1164" s="77" t="n"/>
      <c r="L1164" s="74" t="n"/>
      <c r="M1164" s="74" t="n"/>
      <c r="O1164" s="78">
        <f>IF($A1164="","",YEAR($A1164)*100+MONTH($A1164))</f>
        <v/>
      </c>
      <c r="P1164" s="79">
        <f>IF(OR($F1164="",$D1164=""),"",IF($D1164="Receita",$F1164,IF($D1164="Transferência",0,-$F1164)))</f>
        <v/>
      </c>
    </row>
    <row r="1165">
      <c r="A1165" s="73" t="n"/>
      <c r="B1165" s="74" t="n"/>
      <c r="C1165" s="74" t="n"/>
      <c r="D1165" s="75">
        <f>IF($C1165="","",IFERROR(INDEX(CAT_TIPO,MATCH($C1165,CAT_NOME,0)),"Sem categoria"))</f>
        <v/>
      </c>
      <c r="E1165" s="75">
        <f>IF($C1165="","",IFERROR(INDEX(CAT_GRUPO,MATCH($C1165,CAT_NOME,0)),"Sem categoria"))</f>
        <v/>
      </c>
      <c r="F1165" s="76" t="n"/>
      <c r="G1165" s="74" t="n"/>
      <c r="H1165" s="74" t="n"/>
      <c r="I1165" s="74" t="n"/>
      <c r="J1165" s="77" t="n"/>
      <c r="K1165" s="77" t="n"/>
      <c r="L1165" s="74" t="n"/>
      <c r="M1165" s="74" t="n"/>
      <c r="O1165" s="78">
        <f>IF($A1165="","",YEAR($A1165)*100+MONTH($A1165))</f>
        <v/>
      </c>
      <c r="P1165" s="79">
        <f>IF(OR($F1165="",$D1165=""),"",IF($D1165="Receita",$F1165,IF($D1165="Transferência",0,-$F1165)))</f>
        <v/>
      </c>
    </row>
    <row r="1166">
      <c r="A1166" s="73" t="n"/>
      <c r="B1166" s="74" t="n"/>
      <c r="C1166" s="74" t="n"/>
      <c r="D1166" s="75">
        <f>IF($C1166="","",IFERROR(INDEX(CAT_TIPO,MATCH($C1166,CAT_NOME,0)),"Sem categoria"))</f>
        <v/>
      </c>
      <c r="E1166" s="75">
        <f>IF($C1166="","",IFERROR(INDEX(CAT_GRUPO,MATCH($C1166,CAT_NOME,0)),"Sem categoria"))</f>
        <v/>
      </c>
      <c r="F1166" s="76" t="n"/>
      <c r="G1166" s="74" t="n"/>
      <c r="H1166" s="74" t="n"/>
      <c r="I1166" s="74" t="n"/>
      <c r="J1166" s="77" t="n"/>
      <c r="K1166" s="77" t="n"/>
      <c r="L1166" s="74" t="n"/>
      <c r="M1166" s="74" t="n"/>
      <c r="O1166" s="78">
        <f>IF($A1166="","",YEAR($A1166)*100+MONTH($A1166))</f>
        <v/>
      </c>
      <c r="P1166" s="79">
        <f>IF(OR($F1166="",$D1166=""),"",IF($D1166="Receita",$F1166,IF($D1166="Transferência",0,-$F1166)))</f>
        <v/>
      </c>
    </row>
    <row r="1167">
      <c r="A1167" s="73" t="n"/>
      <c r="B1167" s="74" t="n"/>
      <c r="C1167" s="74" t="n"/>
      <c r="D1167" s="75">
        <f>IF($C1167="","",IFERROR(INDEX(CAT_TIPO,MATCH($C1167,CAT_NOME,0)),"Sem categoria"))</f>
        <v/>
      </c>
      <c r="E1167" s="75">
        <f>IF($C1167="","",IFERROR(INDEX(CAT_GRUPO,MATCH($C1167,CAT_NOME,0)),"Sem categoria"))</f>
        <v/>
      </c>
      <c r="F1167" s="76" t="n"/>
      <c r="G1167" s="74" t="n"/>
      <c r="H1167" s="74" t="n"/>
      <c r="I1167" s="74" t="n"/>
      <c r="J1167" s="77" t="n"/>
      <c r="K1167" s="77" t="n"/>
      <c r="L1167" s="74" t="n"/>
      <c r="M1167" s="74" t="n"/>
      <c r="O1167" s="78">
        <f>IF($A1167="","",YEAR($A1167)*100+MONTH($A1167))</f>
        <v/>
      </c>
      <c r="P1167" s="79">
        <f>IF(OR($F1167="",$D1167=""),"",IF($D1167="Receita",$F1167,IF($D1167="Transferência",0,-$F1167)))</f>
        <v/>
      </c>
    </row>
    <row r="1168">
      <c r="A1168" s="73" t="n"/>
      <c r="B1168" s="74" t="n"/>
      <c r="C1168" s="74" t="n"/>
      <c r="D1168" s="75">
        <f>IF($C1168="","",IFERROR(INDEX(CAT_TIPO,MATCH($C1168,CAT_NOME,0)),"Sem categoria"))</f>
        <v/>
      </c>
      <c r="E1168" s="75">
        <f>IF($C1168="","",IFERROR(INDEX(CAT_GRUPO,MATCH($C1168,CAT_NOME,0)),"Sem categoria"))</f>
        <v/>
      </c>
      <c r="F1168" s="76" t="n"/>
      <c r="G1168" s="74" t="n"/>
      <c r="H1168" s="74" t="n"/>
      <c r="I1168" s="74" t="n"/>
      <c r="J1168" s="77" t="n"/>
      <c r="K1168" s="77" t="n"/>
      <c r="L1168" s="74" t="n"/>
      <c r="M1168" s="74" t="n"/>
      <c r="O1168" s="78">
        <f>IF($A1168="","",YEAR($A1168)*100+MONTH($A1168))</f>
        <v/>
      </c>
      <c r="P1168" s="79">
        <f>IF(OR($F1168="",$D1168=""),"",IF($D1168="Receita",$F1168,IF($D1168="Transferência",0,-$F1168)))</f>
        <v/>
      </c>
    </row>
    <row r="1169">
      <c r="A1169" s="73" t="n"/>
      <c r="B1169" s="74" t="n"/>
      <c r="C1169" s="74" t="n"/>
      <c r="D1169" s="75">
        <f>IF($C1169="","",IFERROR(INDEX(CAT_TIPO,MATCH($C1169,CAT_NOME,0)),"Sem categoria"))</f>
        <v/>
      </c>
      <c r="E1169" s="75">
        <f>IF($C1169="","",IFERROR(INDEX(CAT_GRUPO,MATCH($C1169,CAT_NOME,0)),"Sem categoria"))</f>
        <v/>
      </c>
      <c r="F1169" s="76" t="n"/>
      <c r="G1169" s="74" t="n"/>
      <c r="H1169" s="74" t="n"/>
      <c r="I1169" s="74" t="n"/>
      <c r="J1169" s="77" t="n"/>
      <c r="K1169" s="77" t="n"/>
      <c r="L1169" s="74" t="n"/>
      <c r="M1169" s="74" t="n"/>
      <c r="O1169" s="78">
        <f>IF($A1169="","",YEAR($A1169)*100+MONTH($A1169))</f>
        <v/>
      </c>
      <c r="P1169" s="79">
        <f>IF(OR($F1169="",$D1169=""),"",IF($D1169="Receita",$F1169,IF($D1169="Transferência",0,-$F1169)))</f>
        <v/>
      </c>
    </row>
    <row r="1170">
      <c r="A1170" s="73" t="n"/>
      <c r="B1170" s="74" t="n"/>
      <c r="C1170" s="74" t="n"/>
      <c r="D1170" s="75">
        <f>IF($C1170="","",IFERROR(INDEX(CAT_TIPO,MATCH($C1170,CAT_NOME,0)),"Sem categoria"))</f>
        <v/>
      </c>
      <c r="E1170" s="75">
        <f>IF($C1170="","",IFERROR(INDEX(CAT_GRUPO,MATCH($C1170,CAT_NOME,0)),"Sem categoria"))</f>
        <v/>
      </c>
      <c r="F1170" s="76" t="n"/>
      <c r="G1170" s="74" t="n"/>
      <c r="H1170" s="74" t="n"/>
      <c r="I1170" s="74" t="n"/>
      <c r="J1170" s="77" t="n"/>
      <c r="K1170" s="77" t="n"/>
      <c r="L1170" s="74" t="n"/>
      <c r="M1170" s="74" t="n"/>
      <c r="O1170" s="78">
        <f>IF($A1170="","",YEAR($A1170)*100+MONTH($A1170))</f>
        <v/>
      </c>
      <c r="P1170" s="79">
        <f>IF(OR($F1170="",$D1170=""),"",IF($D1170="Receita",$F1170,IF($D1170="Transferência",0,-$F1170)))</f>
        <v/>
      </c>
    </row>
    <row r="1171">
      <c r="A1171" s="73" t="n"/>
      <c r="B1171" s="74" t="n"/>
      <c r="C1171" s="74" t="n"/>
      <c r="D1171" s="75">
        <f>IF($C1171="","",IFERROR(INDEX(CAT_TIPO,MATCH($C1171,CAT_NOME,0)),"Sem categoria"))</f>
        <v/>
      </c>
      <c r="E1171" s="75">
        <f>IF($C1171="","",IFERROR(INDEX(CAT_GRUPO,MATCH($C1171,CAT_NOME,0)),"Sem categoria"))</f>
        <v/>
      </c>
      <c r="F1171" s="76" t="n"/>
      <c r="G1171" s="74" t="n"/>
      <c r="H1171" s="74" t="n"/>
      <c r="I1171" s="74" t="n"/>
      <c r="J1171" s="77" t="n"/>
      <c r="K1171" s="77" t="n"/>
      <c r="L1171" s="74" t="n"/>
      <c r="M1171" s="74" t="n"/>
      <c r="O1171" s="78">
        <f>IF($A1171="","",YEAR($A1171)*100+MONTH($A1171))</f>
        <v/>
      </c>
      <c r="P1171" s="79">
        <f>IF(OR($F1171="",$D1171=""),"",IF($D1171="Receita",$F1171,IF($D1171="Transferência",0,-$F1171)))</f>
        <v/>
      </c>
    </row>
    <row r="1172">
      <c r="A1172" s="73" t="n"/>
      <c r="B1172" s="74" t="n"/>
      <c r="C1172" s="74" t="n"/>
      <c r="D1172" s="75">
        <f>IF($C1172="","",IFERROR(INDEX(CAT_TIPO,MATCH($C1172,CAT_NOME,0)),"Sem categoria"))</f>
        <v/>
      </c>
      <c r="E1172" s="75">
        <f>IF($C1172="","",IFERROR(INDEX(CAT_GRUPO,MATCH($C1172,CAT_NOME,0)),"Sem categoria"))</f>
        <v/>
      </c>
      <c r="F1172" s="76" t="n"/>
      <c r="G1172" s="74" t="n"/>
      <c r="H1172" s="74" t="n"/>
      <c r="I1172" s="74" t="n"/>
      <c r="J1172" s="77" t="n"/>
      <c r="K1172" s="77" t="n"/>
      <c r="L1172" s="74" t="n"/>
      <c r="M1172" s="74" t="n"/>
      <c r="O1172" s="78">
        <f>IF($A1172="","",YEAR($A1172)*100+MONTH($A1172))</f>
        <v/>
      </c>
      <c r="P1172" s="79">
        <f>IF(OR($F1172="",$D1172=""),"",IF($D1172="Receita",$F1172,IF($D1172="Transferência",0,-$F1172)))</f>
        <v/>
      </c>
    </row>
    <row r="1173">
      <c r="A1173" s="73" t="n"/>
      <c r="B1173" s="74" t="n"/>
      <c r="C1173" s="74" t="n"/>
      <c r="D1173" s="75">
        <f>IF($C1173="","",IFERROR(INDEX(CAT_TIPO,MATCH($C1173,CAT_NOME,0)),"Sem categoria"))</f>
        <v/>
      </c>
      <c r="E1173" s="75">
        <f>IF($C1173="","",IFERROR(INDEX(CAT_GRUPO,MATCH($C1173,CAT_NOME,0)),"Sem categoria"))</f>
        <v/>
      </c>
      <c r="F1173" s="76" t="n"/>
      <c r="G1173" s="74" t="n"/>
      <c r="H1173" s="74" t="n"/>
      <c r="I1173" s="74" t="n"/>
      <c r="J1173" s="77" t="n"/>
      <c r="K1173" s="77" t="n"/>
      <c r="L1173" s="74" t="n"/>
      <c r="M1173" s="74" t="n"/>
      <c r="O1173" s="78">
        <f>IF($A1173="","",YEAR($A1173)*100+MONTH($A1173))</f>
        <v/>
      </c>
      <c r="P1173" s="79">
        <f>IF(OR($F1173="",$D1173=""),"",IF($D1173="Receita",$F1173,IF($D1173="Transferência",0,-$F1173)))</f>
        <v/>
      </c>
    </row>
    <row r="1174">
      <c r="A1174" s="73" t="n"/>
      <c r="B1174" s="74" t="n"/>
      <c r="C1174" s="74" t="n"/>
      <c r="D1174" s="75">
        <f>IF($C1174="","",IFERROR(INDEX(CAT_TIPO,MATCH($C1174,CAT_NOME,0)),"Sem categoria"))</f>
        <v/>
      </c>
      <c r="E1174" s="75">
        <f>IF($C1174="","",IFERROR(INDEX(CAT_GRUPO,MATCH($C1174,CAT_NOME,0)),"Sem categoria"))</f>
        <v/>
      </c>
      <c r="F1174" s="76" t="n"/>
      <c r="G1174" s="74" t="n"/>
      <c r="H1174" s="74" t="n"/>
      <c r="I1174" s="74" t="n"/>
      <c r="J1174" s="77" t="n"/>
      <c r="K1174" s="77" t="n"/>
      <c r="L1174" s="74" t="n"/>
      <c r="M1174" s="74" t="n"/>
      <c r="O1174" s="78">
        <f>IF($A1174="","",YEAR($A1174)*100+MONTH($A1174))</f>
        <v/>
      </c>
      <c r="P1174" s="79">
        <f>IF(OR($F1174="",$D1174=""),"",IF($D1174="Receita",$F1174,IF($D1174="Transferência",0,-$F1174)))</f>
        <v/>
      </c>
    </row>
    <row r="1175">
      <c r="A1175" s="73" t="n"/>
      <c r="B1175" s="74" t="n"/>
      <c r="C1175" s="74" t="n"/>
      <c r="D1175" s="75">
        <f>IF($C1175="","",IFERROR(INDEX(CAT_TIPO,MATCH($C1175,CAT_NOME,0)),"Sem categoria"))</f>
        <v/>
      </c>
      <c r="E1175" s="75">
        <f>IF($C1175="","",IFERROR(INDEX(CAT_GRUPO,MATCH($C1175,CAT_NOME,0)),"Sem categoria"))</f>
        <v/>
      </c>
      <c r="F1175" s="76" t="n"/>
      <c r="G1175" s="74" t="n"/>
      <c r="H1175" s="74" t="n"/>
      <c r="I1175" s="74" t="n"/>
      <c r="J1175" s="77" t="n"/>
      <c r="K1175" s="77" t="n"/>
      <c r="L1175" s="74" t="n"/>
      <c r="M1175" s="74" t="n"/>
      <c r="O1175" s="78">
        <f>IF($A1175="","",YEAR($A1175)*100+MONTH($A1175))</f>
        <v/>
      </c>
      <c r="P1175" s="79">
        <f>IF(OR($F1175="",$D1175=""),"",IF($D1175="Receita",$F1175,IF($D1175="Transferência",0,-$F1175)))</f>
        <v/>
      </c>
    </row>
    <row r="1176">
      <c r="A1176" s="73" t="n"/>
      <c r="B1176" s="74" t="n"/>
      <c r="C1176" s="74" t="n"/>
      <c r="D1176" s="75">
        <f>IF($C1176="","",IFERROR(INDEX(CAT_TIPO,MATCH($C1176,CAT_NOME,0)),"Sem categoria"))</f>
        <v/>
      </c>
      <c r="E1176" s="75">
        <f>IF($C1176="","",IFERROR(INDEX(CAT_GRUPO,MATCH($C1176,CAT_NOME,0)),"Sem categoria"))</f>
        <v/>
      </c>
      <c r="F1176" s="76" t="n"/>
      <c r="G1176" s="74" t="n"/>
      <c r="H1176" s="74" t="n"/>
      <c r="I1176" s="74" t="n"/>
      <c r="J1176" s="77" t="n"/>
      <c r="K1176" s="77" t="n"/>
      <c r="L1176" s="74" t="n"/>
      <c r="M1176" s="74" t="n"/>
      <c r="O1176" s="78">
        <f>IF($A1176="","",YEAR($A1176)*100+MONTH($A1176))</f>
        <v/>
      </c>
      <c r="P1176" s="79">
        <f>IF(OR($F1176="",$D1176=""),"",IF($D1176="Receita",$F1176,IF($D1176="Transferência",0,-$F1176)))</f>
        <v/>
      </c>
    </row>
    <row r="1177">
      <c r="A1177" s="73" t="n"/>
      <c r="B1177" s="74" t="n"/>
      <c r="C1177" s="74" t="n"/>
      <c r="D1177" s="75">
        <f>IF($C1177="","",IFERROR(INDEX(CAT_TIPO,MATCH($C1177,CAT_NOME,0)),"Sem categoria"))</f>
        <v/>
      </c>
      <c r="E1177" s="75">
        <f>IF($C1177="","",IFERROR(INDEX(CAT_GRUPO,MATCH($C1177,CAT_NOME,0)),"Sem categoria"))</f>
        <v/>
      </c>
      <c r="F1177" s="76" t="n"/>
      <c r="G1177" s="74" t="n"/>
      <c r="H1177" s="74" t="n"/>
      <c r="I1177" s="74" t="n"/>
      <c r="J1177" s="77" t="n"/>
      <c r="K1177" s="77" t="n"/>
      <c r="L1177" s="74" t="n"/>
      <c r="M1177" s="74" t="n"/>
      <c r="O1177" s="78">
        <f>IF($A1177="","",YEAR($A1177)*100+MONTH($A1177))</f>
        <v/>
      </c>
      <c r="P1177" s="79">
        <f>IF(OR($F1177="",$D1177=""),"",IF($D1177="Receita",$F1177,IF($D1177="Transferência",0,-$F1177)))</f>
        <v/>
      </c>
    </row>
    <row r="1178">
      <c r="A1178" s="73" t="n"/>
      <c r="B1178" s="74" t="n"/>
      <c r="C1178" s="74" t="n"/>
      <c r="D1178" s="75">
        <f>IF($C1178="","",IFERROR(INDEX(CAT_TIPO,MATCH($C1178,CAT_NOME,0)),"Sem categoria"))</f>
        <v/>
      </c>
      <c r="E1178" s="75">
        <f>IF($C1178="","",IFERROR(INDEX(CAT_GRUPO,MATCH($C1178,CAT_NOME,0)),"Sem categoria"))</f>
        <v/>
      </c>
      <c r="F1178" s="76" t="n"/>
      <c r="G1178" s="74" t="n"/>
      <c r="H1178" s="74" t="n"/>
      <c r="I1178" s="74" t="n"/>
      <c r="J1178" s="77" t="n"/>
      <c r="K1178" s="77" t="n"/>
      <c r="L1178" s="74" t="n"/>
      <c r="M1178" s="74" t="n"/>
      <c r="O1178" s="78">
        <f>IF($A1178="","",YEAR($A1178)*100+MONTH($A1178))</f>
        <v/>
      </c>
      <c r="P1178" s="79">
        <f>IF(OR($F1178="",$D1178=""),"",IF($D1178="Receita",$F1178,IF($D1178="Transferência",0,-$F1178)))</f>
        <v/>
      </c>
    </row>
    <row r="1179">
      <c r="A1179" s="73" t="n"/>
      <c r="B1179" s="74" t="n"/>
      <c r="C1179" s="74" t="n"/>
      <c r="D1179" s="75">
        <f>IF($C1179="","",IFERROR(INDEX(CAT_TIPO,MATCH($C1179,CAT_NOME,0)),"Sem categoria"))</f>
        <v/>
      </c>
      <c r="E1179" s="75">
        <f>IF($C1179="","",IFERROR(INDEX(CAT_GRUPO,MATCH($C1179,CAT_NOME,0)),"Sem categoria"))</f>
        <v/>
      </c>
      <c r="F1179" s="76" t="n"/>
      <c r="G1179" s="74" t="n"/>
      <c r="H1179" s="74" t="n"/>
      <c r="I1179" s="74" t="n"/>
      <c r="J1179" s="77" t="n"/>
      <c r="K1179" s="77" t="n"/>
      <c r="L1179" s="74" t="n"/>
      <c r="M1179" s="74" t="n"/>
      <c r="O1179" s="78">
        <f>IF($A1179="","",YEAR($A1179)*100+MONTH($A1179))</f>
        <v/>
      </c>
      <c r="P1179" s="79">
        <f>IF(OR($F1179="",$D1179=""),"",IF($D1179="Receita",$F1179,IF($D1179="Transferência",0,-$F1179)))</f>
        <v/>
      </c>
    </row>
    <row r="1180">
      <c r="A1180" s="73" t="n"/>
      <c r="B1180" s="74" t="n"/>
      <c r="C1180" s="74" t="n"/>
      <c r="D1180" s="75">
        <f>IF($C1180="","",IFERROR(INDEX(CAT_TIPO,MATCH($C1180,CAT_NOME,0)),"Sem categoria"))</f>
        <v/>
      </c>
      <c r="E1180" s="75">
        <f>IF($C1180="","",IFERROR(INDEX(CAT_GRUPO,MATCH($C1180,CAT_NOME,0)),"Sem categoria"))</f>
        <v/>
      </c>
      <c r="F1180" s="76" t="n"/>
      <c r="G1180" s="74" t="n"/>
      <c r="H1180" s="74" t="n"/>
      <c r="I1180" s="74" t="n"/>
      <c r="J1180" s="77" t="n"/>
      <c r="K1180" s="77" t="n"/>
      <c r="L1180" s="74" t="n"/>
      <c r="M1180" s="74" t="n"/>
      <c r="O1180" s="78">
        <f>IF($A1180="","",YEAR($A1180)*100+MONTH($A1180))</f>
        <v/>
      </c>
      <c r="P1180" s="79">
        <f>IF(OR($F1180="",$D1180=""),"",IF($D1180="Receita",$F1180,IF($D1180="Transferência",0,-$F1180)))</f>
        <v/>
      </c>
    </row>
    <row r="1181">
      <c r="A1181" s="73" t="n"/>
      <c r="B1181" s="74" t="n"/>
      <c r="C1181" s="74" t="n"/>
      <c r="D1181" s="75">
        <f>IF($C1181="","",IFERROR(INDEX(CAT_TIPO,MATCH($C1181,CAT_NOME,0)),"Sem categoria"))</f>
        <v/>
      </c>
      <c r="E1181" s="75">
        <f>IF($C1181="","",IFERROR(INDEX(CAT_GRUPO,MATCH($C1181,CAT_NOME,0)),"Sem categoria"))</f>
        <v/>
      </c>
      <c r="F1181" s="76" t="n"/>
      <c r="G1181" s="74" t="n"/>
      <c r="H1181" s="74" t="n"/>
      <c r="I1181" s="74" t="n"/>
      <c r="J1181" s="77" t="n"/>
      <c r="K1181" s="77" t="n"/>
      <c r="L1181" s="74" t="n"/>
      <c r="M1181" s="74" t="n"/>
      <c r="O1181" s="78">
        <f>IF($A1181="","",YEAR($A1181)*100+MONTH($A1181))</f>
        <v/>
      </c>
      <c r="P1181" s="79">
        <f>IF(OR($F1181="",$D1181=""),"",IF($D1181="Receita",$F1181,IF($D1181="Transferência",0,-$F1181)))</f>
        <v/>
      </c>
    </row>
    <row r="1182">
      <c r="A1182" s="73" t="n"/>
      <c r="B1182" s="74" t="n"/>
      <c r="C1182" s="74" t="n"/>
      <c r="D1182" s="75">
        <f>IF($C1182="","",IFERROR(INDEX(CAT_TIPO,MATCH($C1182,CAT_NOME,0)),"Sem categoria"))</f>
        <v/>
      </c>
      <c r="E1182" s="75">
        <f>IF($C1182="","",IFERROR(INDEX(CAT_GRUPO,MATCH($C1182,CAT_NOME,0)),"Sem categoria"))</f>
        <v/>
      </c>
      <c r="F1182" s="76" t="n"/>
      <c r="G1182" s="74" t="n"/>
      <c r="H1182" s="74" t="n"/>
      <c r="I1182" s="74" t="n"/>
      <c r="J1182" s="77" t="n"/>
      <c r="K1182" s="77" t="n"/>
      <c r="L1182" s="74" t="n"/>
      <c r="M1182" s="74" t="n"/>
      <c r="O1182" s="78">
        <f>IF($A1182="","",YEAR($A1182)*100+MONTH($A1182))</f>
        <v/>
      </c>
      <c r="P1182" s="79">
        <f>IF(OR($F1182="",$D1182=""),"",IF($D1182="Receita",$F1182,IF($D1182="Transferência",0,-$F1182)))</f>
        <v/>
      </c>
    </row>
    <row r="1183">
      <c r="A1183" s="73" t="n"/>
      <c r="B1183" s="74" t="n"/>
      <c r="C1183" s="74" t="n"/>
      <c r="D1183" s="75">
        <f>IF($C1183="","",IFERROR(INDEX(CAT_TIPO,MATCH($C1183,CAT_NOME,0)),"Sem categoria"))</f>
        <v/>
      </c>
      <c r="E1183" s="75">
        <f>IF($C1183="","",IFERROR(INDEX(CAT_GRUPO,MATCH($C1183,CAT_NOME,0)),"Sem categoria"))</f>
        <v/>
      </c>
      <c r="F1183" s="76" t="n"/>
      <c r="G1183" s="74" t="n"/>
      <c r="H1183" s="74" t="n"/>
      <c r="I1183" s="74" t="n"/>
      <c r="J1183" s="77" t="n"/>
      <c r="K1183" s="77" t="n"/>
      <c r="L1183" s="74" t="n"/>
      <c r="M1183" s="74" t="n"/>
      <c r="O1183" s="78">
        <f>IF($A1183="","",YEAR($A1183)*100+MONTH($A1183))</f>
        <v/>
      </c>
      <c r="P1183" s="79">
        <f>IF(OR($F1183="",$D1183=""),"",IF($D1183="Receita",$F1183,IF($D1183="Transferência",0,-$F1183)))</f>
        <v/>
      </c>
    </row>
    <row r="1184">
      <c r="A1184" s="73" t="n"/>
      <c r="B1184" s="74" t="n"/>
      <c r="C1184" s="74" t="n"/>
      <c r="D1184" s="75">
        <f>IF($C1184="","",IFERROR(INDEX(CAT_TIPO,MATCH($C1184,CAT_NOME,0)),"Sem categoria"))</f>
        <v/>
      </c>
      <c r="E1184" s="75">
        <f>IF($C1184="","",IFERROR(INDEX(CAT_GRUPO,MATCH($C1184,CAT_NOME,0)),"Sem categoria"))</f>
        <v/>
      </c>
      <c r="F1184" s="76" t="n"/>
      <c r="G1184" s="74" t="n"/>
      <c r="H1184" s="74" t="n"/>
      <c r="I1184" s="74" t="n"/>
      <c r="J1184" s="77" t="n"/>
      <c r="K1184" s="77" t="n"/>
      <c r="L1184" s="74" t="n"/>
      <c r="M1184" s="74" t="n"/>
      <c r="O1184" s="78">
        <f>IF($A1184="","",YEAR($A1184)*100+MONTH($A1184))</f>
        <v/>
      </c>
      <c r="P1184" s="79">
        <f>IF(OR($F1184="",$D1184=""),"",IF($D1184="Receita",$F1184,IF($D1184="Transferência",0,-$F1184)))</f>
        <v/>
      </c>
    </row>
    <row r="1185">
      <c r="A1185" s="73" t="n"/>
      <c r="B1185" s="74" t="n"/>
      <c r="C1185" s="74" t="n"/>
      <c r="D1185" s="75">
        <f>IF($C1185="","",IFERROR(INDEX(CAT_TIPO,MATCH($C1185,CAT_NOME,0)),"Sem categoria"))</f>
        <v/>
      </c>
      <c r="E1185" s="75">
        <f>IF($C1185="","",IFERROR(INDEX(CAT_GRUPO,MATCH($C1185,CAT_NOME,0)),"Sem categoria"))</f>
        <v/>
      </c>
      <c r="F1185" s="76" t="n"/>
      <c r="G1185" s="74" t="n"/>
      <c r="H1185" s="74" t="n"/>
      <c r="I1185" s="74" t="n"/>
      <c r="J1185" s="77" t="n"/>
      <c r="K1185" s="77" t="n"/>
      <c r="L1185" s="74" t="n"/>
      <c r="M1185" s="74" t="n"/>
      <c r="O1185" s="78">
        <f>IF($A1185="","",YEAR($A1185)*100+MONTH($A1185))</f>
        <v/>
      </c>
      <c r="P1185" s="79">
        <f>IF(OR($F1185="",$D1185=""),"",IF($D1185="Receita",$F1185,IF($D1185="Transferência",0,-$F1185)))</f>
        <v/>
      </c>
    </row>
    <row r="1186">
      <c r="A1186" s="73" t="n"/>
      <c r="B1186" s="74" t="n"/>
      <c r="C1186" s="74" t="n"/>
      <c r="D1186" s="75">
        <f>IF($C1186="","",IFERROR(INDEX(CAT_TIPO,MATCH($C1186,CAT_NOME,0)),"Sem categoria"))</f>
        <v/>
      </c>
      <c r="E1186" s="75">
        <f>IF($C1186="","",IFERROR(INDEX(CAT_GRUPO,MATCH($C1186,CAT_NOME,0)),"Sem categoria"))</f>
        <v/>
      </c>
      <c r="F1186" s="76" t="n"/>
      <c r="G1186" s="74" t="n"/>
      <c r="H1186" s="74" t="n"/>
      <c r="I1186" s="74" t="n"/>
      <c r="J1186" s="77" t="n"/>
      <c r="K1186" s="77" t="n"/>
      <c r="L1186" s="74" t="n"/>
      <c r="M1186" s="74" t="n"/>
      <c r="O1186" s="78">
        <f>IF($A1186="","",YEAR($A1186)*100+MONTH($A1186))</f>
        <v/>
      </c>
      <c r="P1186" s="79">
        <f>IF(OR($F1186="",$D1186=""),"",IF($D1186="Receita",$F1186,IF($D1186="Transferência",0,-$F1186)))</f>
        <v/>
      </c>
    </row>
    <row r="1187">
      <c r="A1187" s="73" t="n"/>
      <c r="B1187" s="74" t="n"/>
      <c r="C1187" s="74" t="n"/>
      <c r="D1187" s="75">
        <f>IF($C1187="","",IFERROR(INDEX(CAT_TIPO,MATCH($C1187,CAT_NOME,0)),"Sem categoria"))</f>
        <v/>
      </c>
      <c r="E1187" s="75">
        <f>IF($C1187="","",IFERROR(INDEX(CAT_GRUPO,MATCH($C1187,CAT_NOME,0)),"Sem categoria"))</f>
        <v/>
      </c>
      <c r="F1187" s="76" t="n"/>
      <c r="G1187" s="74" t="n"/>
      <c r="H1187" s="74" t="n"/>
      <c r="I1187" s="74" t="n"/>
      <c r="J1187" s="77" t="n"/>
      <c r="K1187" s="77" t="n"/>
      <c r="L1187" s="74" t="n"/>
      <c r="M1187" s="74" t="n"/>
      <c r="O1187" s="78">
        <f>IF($A1187="","",YEAR($A1187)*100+MONTH($A1187))</f>
        <v/>
      </c>
      <c r="P1187" s="79">
        <f>IF(OR($F1187="",$D1187=""),"",IF($D1187="Receita",$F1187,IF($D1187="Transferência",0,-$F1187)))</f>
        <v/>
      </c>
    </row>
    <row r="1188">
      <c r="A1188" s="73" t="n"/>
      <c r="B1188" s="74" t="n"/>
      <c r="C1188" s="74" t="n"/>
      <c r="D1188" s="75">
        <f>IF($C1188="","",IFERROR(INDEX(CAT_TIPO,MATCH($C1188,CAT_NOME,0)),"Sem categoria"))</f>
        <v/>
      </c>
      <c r="E1188" s="75">
        <f>IF($C1188="","",IFERROR(INDEX(CAT_GRUPO,MATCH($C1188,CAT_NOME,0)),"Sem categoria"))</f>
        <v/>
      </c>
      <c r="F1188" s="76" t="n"/>
      <c r="G1188" s="74" t="n"/>
      <c r="H1188" s="74" t="n"/>
      <c r="I1188" s="74" t="n"/>
      <c r="J1188" s="77" t="n"/>
      <c r="K1188" s="77" t="n"/>
      <c r="L1188" s="74" t="n"/>
      <c r="M1188" s="74" t="n"/>
      <c r="O1188" s="78">
        <f>IF($A1188="","",YEAR($A1188)*100+MONTH($A1188))</f>
        <v/>
      </c>
      <c r="P1188" s="79">
        <f>IF(OR($F1188="",$D1188=""),"",IF($D1188="Receita",$F1188,IF($D1188="Transferência",0,-$F1188)))</f>
        <v/>
      </c>
    </row>
    <row r="1189">
      <c r="A1189" s="73" t="n"/>
      <c r="B1189" s="74" t="n"/>
      <c r="C1189" s="74" t="n"/>
      <c r="D1189" s="75">
        <f>IF($C1189="","",IFERROR(INDEX(CAT_TIPO,MATCH($C1189,CAT_NOME,0)),"Sem categoria"))</f>
        <v/>
      </c>
      <c r="E1189" s="75">
        <f>IF($C1189="","",IFERROR(INDEX(CAT_GRUPO,MATCH($C1189,CAT_NOME,0)),"Sem categoria"))</f>
        <v/>
      </c>
      <c r="F1189" s="76" t="n"/>
      <c r="G1189" s="74" t="n"/>
      <c r="H1189" s="74" t="n"/>
      <c r="I1189" s="74" t="n"/>
      <c r="J1189" s="77" t="n"/>
      <c r="K1189" s="77" t="n"/>
      <c r="L1189" s="74" t="n"/>
      <c r="M1189" s="74" t="n"/>
      <c r="O1189" s="78">
        <f>IF($A1189="","",YEAR($A1189)*100+MONTH($A1189))</f>
        <v/>
      </c>
      <c r="P1189" s="79">
        <f>IF(OR($F1189="",$D1189=""),"",IF($D1189="Receita",$F1189,IF($D1189="Transferência",0,-$F1189)))</f>
        <v/>
      </c>
    </row>
    <row r="1190">
      <c r="A1190" s="73" t="n"/>
      <c r="B1190" s="74" t="n"/>
      <c r="C1190" s="74" t="n"/>
      <c r="D1190" s="75">
        <f>IF($C1190="","",IFERROR(INDEX(CAT_TIPO,MATCH($C1190,CAT_NOME,0)),"Sem categoria"))</f>
        <v/>
      </c>
      <c r="E1190" s="75">
        <f>IF($C1190="","",IFERROR(INDEX(CAT_GRUPO,MATCH($C1190,CAT_NOME,0)),"Sem categoria"))</f>
        <v/>
      </c>
      <c r="F1190" s="76" t="n"/>
      <c r="G1190" s="74" t="n"/>
      <c r="H1190" s="74" t="n"/>
      <c r="I1190" s="74" t="n"/>
      <c r="J1190" s="77" t="n"/>
      <c r="K1190" s="77" t="n"/>
      <c r="L1190" s="74" t="n"/>
      <c r="M1190" s="74" t="n"/>
      <c r="O1190" s="78">
        <f>IF($A1190="","",YEAR($A1190)*100+MONTH($A1190))</f>
        <v/>
      </c>
      <c r="P1190" s="79">
        <f>IF(OR($F1190="",$D1190=""),"",IF($D1190="Receita",$F1190,IF($D1190="Transferência",0,-$F1190)))</f>
        <v/>
      </c>
    </row>
    <row r="1191">
      <c r="A1191" s="73" t="n"/>
      <c r="B1191" s="74" t="n"/>
      <c r="C1191" s="74" t="n"/>
      <c r="D1191" s="75">
        <f>IF($C1191="","",IFERROR(INDEX(CAT_TIPO,MATCH($C1191,CAT_NOME,0)),"Sem categoria"))</f>
        <v/>
      </c>
      <c r="E1191" s="75">
        <f>IF($C1191="","",IFERROR(INDEX(CAT_GRUPO,MATCH($C1191,CAT_NOME,0)),"Sem categoria"))</f>
        <v/>
      </c>
      <c r="F1191" s="76" t="n"/>
      <c r="G1191" s="74" t="n"/>
      <c r="H1191" s="74" t="n"/>
      <c r="I1191" s="74" t="n"/>
      <c r="J1191" s="77" t="n"/>
      <c r="K1191" s="77" t="n"/>
      <c r="L1191" s="74" t="n"/>
      <c r="M1191" s="74" t="n"/>
      <c r="O1191" s="78">
        <f>IF($A1191="","",YEAR($A1191)*100+MONTH($A1191))</f>
        <v/>
      </c>
      <c r="P1191" s="79">
        <f>IF(OR($F1191="",$D1191=""),"",IF($D1191="Receita",$F1191,IF($D1191="Transferência",0,-$F1191)))</f>
        <v/>
      </c>
    </row>
    <row r="1192">
      <c r="A1192" s="73" t="n"/>
      <c r="B1192" s="74" t="n"/>
      <c r="C1192" s="74" t="n"/>
      <c r="D1192" s="75">
        <f>IF($C1192="","",IFERROR(INDEX(CAT_TIPO,MATCH($C1192,CAT_NOME,0)),"Sem categoria"))</f>
        <v/>
      </c>
      <c r="E1192" s="75">
        <f>IF($C1192="","",IFERROR(INDEX(CAT_GRUPO,MATCH($C1192,CAT_NOME,0)),"Sem categoria"))</f>
        <v/>
      </c>
      <c r="F1192" s="76" t="n"/>
      <c r="G1192" s="74" t="n"/>
      <c r="H1192" s="74" t="n"/>
      <c r="I1192" s="74" t="n"/>
      <c r="J1192" s="77" t="n"/>
      <c r="K1192" s="77" t="n"/>
      <c r="L1192" s="74" t="n"/>
      <c r="M1192" s="74" t="n"/>
      <c r="O1192" s="78">
        <f>IF($A1192="","",YEAR($A1192)*100+MONTH($A1192))</f>
        <v/>
      </c>
      <c r="P1192" s="79">
        <f>IF(OR($F1192="",$D1192=""),"",IF($D1192="Receita",$F1192,IF($D1192="Transferência",0,-$F1192)))</f>
        <v/>
      </c>
    </row>
    <row r="1193">
      <c r="A1193" s="73" t="n"/>
      <c r="B1193" s="74" t="n"/>
      <c r="C1193" s="74" t="n"/>
      <c r="D1193" s="75">
        <f>IF($C1193="","",IFERROR(INDEX(CAT_TIPO,MATCH($C1193,CAT_NOME,0)),"Sem categoria"))</f>
        <v/>
      </c>
      <c r="E1193" s="75">
        <f>IF($C1193="","",IFERROR(INDEX(CAT_GRUPO,MATCH($C1193,CAT_NOME,0)),"Sem categoria"))</f>
        <v/>
      </c>
      <c r="F1193" s="76" t="n"/>
      <c r="G1193" s="74" t="n"/>
      <c r="H1193" s="74" t="n"/>
      <c r="I1193" s="74" t="n"/>
      <c r="J1193" s="77" t="n"/>
      <c r="K1193" s="77" t="n"/>
      <c r="L1193" s="74" t="n"/>
      <c r="M1193" s="74" t="n"/>
      <c r="O1193" s="78">
        <f>IF($A1193="","",YEAR($A1193)*100+MONTH($A1193))</f>
        <v/>
      </c>
      <c r="P1193" s="79">
        <f>IF(OR($F1193="",$D1193=""),"",IF($D1193="Receita",$F1193,IF($D1193="Transferência",0,-$F1193)))</f>
        <v/>
      </c>
    </row>
    <row r="1194">
      <c r="A1194" s="73" t="n"/>
      <c r="B1194" s="74" t="n"/>
      <c r="C1194" s="74" t="n"/>
      <c r="D1194" s="75">
        <f>IF($C1194="","",IFERROR(INDEX(CAT_TIPO,MATCH($C1194,CAT_NOME,0)),"Sem categoria"))</f>
        <v/>
      </c>
      <c r="E1194" s="75">
        <f>IF($C1194="","",IFERROR(INDEX(CAT_GRUPO,MATCH($C1194,CAT_NOME,0)),"Sem categoria"))</f>
        <v/>
      </c>
      <c r="F1194" s="76" t="n"/>
      <c r="G1194" s="74" t="n"/>
      <c r="H1194" s="74" t="n"/>
      <c r="I1194" s="74" t="n"/>
      <c r="J1194" s="77" t="n"/>
      <c r="K1194" s="77" t="n"/>
      <c r="L1194" s="74" t="n"/>
      <c r="M1194" s="74" t="n"/>
      <c r="O1194" s="78">
        <f>IF($A1194="","",YEAR($A1194)*100+MONTH($A1194))</f>
        <v/>
      </c>
      <c r="P1194" s="79">
        <f>IF(OR($F1194="",$D1194=""),"",IF($D1194="Receita",$F1194,IF($D1194="Transferência",0,-$F1194)))</f>
        <v/>
      </c>
    </row>
    <row r="1195">
      <c r="A1195" s="73" t="n"/>
      <c r="B1195" s="74" t="n"/>
      <c r="C1195" s="74" t="n"/>
      <c r="D1195" s="75">
        <f>IF($C1195="","",IFERROR(INDEX(CAT_TIPO,MATCH($C1195,CAT_NOME,0)),"Sem categoria"))</f>
        <v/>
      </c>
      <c r="E1195" s="75">
        <f>IF($C1195="","",IFERROR(INDEX(CAT_GRUPO,MATCH($C1195,CAT_NOME,0)),"Sem categoria"))</f>
        <v/>
      </c>
      <c r="F1195" s="76" t="n"/>
      <c r="G1195" s="74" t="n"/>
      <c r="H1195" s="74" t="n"/>
      <c r="I1195" s="74" t="n"/>
      <c r="J1195" s="77" t="n"/>
      <c r="K1195" s="77" t="n"/>
      <c r="L1195" s="74" t="n"/>
      <c r="M1195" s="74" t="n"/>
      <c r="O1195" s="78">
        <f>IF($A1195="","",YEAR($A1195)*100+MONTH($A1195))</f>
        <v/>
      </c>
      <c r="P1195" s="79">
        <f>IF(OR($F1195="",$D1195=""),"",IF($D1195="Receita",$F1195,IF($D1195="Transferência",0,-$F1195)))</f>
        <v/>
      </c>
    </row>
    <row r="1196">
      <c r="A1196" s="73" t="n"/>
      <c r="B1196" s="74" t="n"/>
      <c r="C1196" s="74" t="n"/>
      <c r="D1196" s="75">
        <f>IF($C1196="","",IFERROR(INDEX(CAT_TIPO,MATCH($C1196,CAT_NOME,0)),"Sem categoria"))</f>
        <v/>
      </c>
      <c r="E1196" s="75">
        <f>IF($C1196="","",IFERROR(INDEX(CAT_GRUPO,MATCH($C1196,CAT_NOME,0)),"Sem categoria"))</f>
        <v/>
      </c>
      <c r="F1196" s="76" t="n"/>
      <c r="G1196" s="74" t="n"/>
      <c r="H1196" s="74" t="n"/>
      <c r="I1196" s="74" t="n"/>
      <c r="J1196" s="77" t="n"/>
      <c r="K1196" s="77" t="n"/>
      <c r="L1196" s="74" t="n"/>
      <c r="M1196" s="74" t="n"/>
      <c r="O1196" s="78">
        <f>IF($A1196="","",YEAR($A1196)*100+MONTH($A1196))</f>
        <v/>
      </c>
      <c r="P1196" s="79">
        <f>IF(OR($F1196="",$D1196=""),"",IF($D1196="Receita",$F1196,IF($D1196="Transferência",0,-$F1196)))</f>
        <v/>
      </c>
    </row>
    <row r="1197">
      <c r="A1197" s="73" t="n"/>
      <c r="B1197" s="74" t="n"/>
      <c r="C1197" s="74" t="n"/>
      <c r="D1197" s="75">
        <f>IF($C1197="","",IFERROR(INDEX(CAT_TIPO,MATCH($C1197,CAT_NOME,0)),"Sem categoria"))</f>
        <v/>
      </c>
      <c r="E1197" s="75">
        <f>IF($C1197="","",IFERROR(INDEX(CAT_GRUPO,MATCH($C1197,CAT_NOME,0)),"Sem categoria"))</f>
        <v/>
      </c>
      <c r="F1197" s="76" t="n"/>
      <c r="G1197" s="74" t="n"/>
      <c r="H1197" s="74" t="n"/>
      <c r="I1197" s="74" t="n"/>
      <c r="J1197" s="77" t="n"/>
      <c r="K1197" s="77" t="n"/>
      <c r="L1197" s="74" t="n"/>
      <c r="M1197" s="74" t="n"/>
      <c r="O1197" s="78">
        <f>IF($A1197="","",YEAR($A1197)*100+MONTH($A1197))</f>
        <v/>
      </c>
      <c r="P1197" s="79">
        <f>IF(OR($F1197="",$D1197=""),"",IF($D1197="Receita",$F1197,IF($D1197="Transferência",0,-$F1197)))</f>
        <v/>
      </c>
    </row>
    <row r="1198">
      <c r="A1198" s="73" t="n"/>
      <c r="B1198" s="74" t="n"/>
      <c r="C1198" s="74" t="n"/>
      <c r="D1198" s="75">
        <f>IF($C1198="","",IFERROR(INDEX(CAT_TIPO,MATCH($C1198,CAT_NOME,0)),"Sem categoria"))</f>
        <v/>
      </c>
      <c r="E1198" s="75">
        <f>IF($C1198="","",IFERROR(INDEX(CAT_GRUPO,MATCH($C1198,CAT_NOME,0)),"Sem categoria"))</f>
        <v/>
      </c>
      <c r="F1198" s="76" t="n"/>
      <c r="G1198" s="74" t="n"/>
      <c r="H1198" s="74" t="n"/>
      <c r="I1198" s="74" t="n"/>
      <c r="J1198" s="77" t="n"/>
      <c r="K1198" s="77" t="n"/>
      <c r="L1198" s="74" t="n"/>
      <c r="M1198" s="74" t="n"/>
      <c r="O1198" s="78">
        <f>IF($A1198="","",YEAR($A1198)*100+MONTH($A1198))</f>
        <v/>
      </c>
      <c r="P1198" s="79">
        <f>IF(OR($F1198="",$D1198=""),"",IF($D1198="Receita",$F1198,IF($D1198="Transferência",0,-$F1198)))</f>
        <v/>
      </c>
    </row>
    <row r="1199">
      <c r="A1199" s="73" t="n"/>
      <c r="B1199" s="74" t="n"/>
      <c r="C1199" s="74" t="n"/>
      <c r="D1199" s="75">
        <f>IF($C1199="","",IFERROR(INDEX(CAT_TIPO,MATCH($C1199,CAT_NOME,0)),"Sem categoria"))</f>
        <v/>
      </c>
      <c r="E1199" s="75">
        <f>IF($C1199="","",IFERROR(INDEX(CAT_GRUPO,MATCH($C1199,CAT_NOME,0)),"Sem categoria"))</f>
        <v/>
      </c>
      <c r="F1199" s="76" t="n"/>
      <c r="G1199" s="74" t="n"/>
      <c r="H1199" s="74" t="n"/>
      <c r="I1199" s="74" t="n"/>
      <c r="J1199" s="77" t="n"/>
      <c r="K1199" s="77" t="n"/>
      <c r="L1199" s="74" t="n"/>
      <c r="M1199" s="74" t="n"/>
      <c r="O1199" s="78">
        <f>IF($A1199="","",YEAR($A1199)*100+MONTH($A1199))</f>
        <v/>
      </c>
      <c r="P1199" s="79">
        <f>IF(OR($F1199="",$D1199=""),"",IF($D1199="Receita",$F1199,IF($D1199="Transferência",0,-$F1199)))</f>
        <v/>
      </c>
    </row>
    <row r="1200">
      <c r="A1200" s="73" t="n"/>
      <c r="B1200" s="74" t="n"/>
      <c r="C1200" s="74" t="n"/>
      <c r="D1200" s="75">
        <f>IF($C1200="","",IFERROR(INDEX(CAT_TIPO,MATCH($C1200,CAT_NOME,0)),"Sem categoria"))</f>
        <v/>
      </c>
      <c r="E1200" s="75">
        <f>IF($C1200="","",IFERROR(INDEX(CAT_GRUPO,MATCH($C1200,CAT_NOME,0)),"Sem categoria"))</f>
        <v/>
      </c>
      <c r="F1200" s="76" t="n"/>
      <c r="G1200" s="74" t="n"/>
      <c r="H1200" s="74" t="n"/>
      <c r="I1200" s="74" t="n"/>
      <c r="J1200" s="77" t="n"/>
      <c r="K1200" s="77" t="n"/>
      <c r="L1200" s="74" t="n"/>
      <c r="M1200" s="74" t="n"/>
      <c r="O1200" s="78">
        <f>IF($A1200="","",YEAR($A1200)*100+MONTH($A1200))</f>
        <v/>
      </c>
      <c r="P1200" s="79">
        <f>IF(OR($F1200="",$D1200=""),"",IF($D1200="Receita",$F1200,IF($D1200="Transferência",0,-$F1200)))</f>
        <v/>
      </c>
    </row>
    <row r="1201">
      <c r="A1201" s="73" t="n"/>
      <c r="B1201" s="74" t="n"/>
      <c r="C1201" s="74" t="n"/>
      <c r="D1201" s="75">
        <f>IF($C1201="","",IFERROR(INDEX(CAT_TIPO,MATCH($C1201,CAT_NOME,0)),"Sem categoria"))</f>
        <v/>
      </c>
      <c r="E1201" s="75">
        <f>IF($C1201="","",IFERROR(INDEX(CAT_GRUPO,MATCH($C1201,CAT_NOME,0)),"Sem categoria"))</f>
        <v/>
      </c>
      <c r="F1201" s="76" t="n"/>
      <c r="G1201" s="74" t="n"/>
      <c r="H1201" s="74" t="n"/>
      <c r="I1201" s="74" t="n"/>
      <c r="J1201" s="77" t="n"/>
      <c r="K1201" s="77" t="n"/>
      <c r="L1201" s="74" t="n"/>
      <c r="M1201" s="74" t="n"/>
      <c r="O1201" s="78">
        <f>IF($A1201="","",YEAR($A1201)*100+MONTH($A1201))</f>
        <v/>
      </c>
      <c r="P1201" s="79">
        <f>IF(OR($F1201="",$D1201=""),"",IF($D1201="Receita",$F1201,IF($D1201="Transferência",0,-$F1201)))</f>
        <v/>
      </c>
    </row>
    <row r="1202">
      <c r="A1202" s="73" t="n"/>
      <c r="B1202" s="74" t="n"/>
      <c r="C1202" s="74" t="n"/>
      <c r="D1202" s="75">
        <f>IF($C1202="","",IFERROR(INDEX(CAT_TIPO,MATCH($C1202,CAT_NOME,0)),"Sem categoria"))</f>
        <v/>
      </c>
      <c r="E1202" s="75">
        <f>IF($C1202="","",IFERROR(INDEX(CAT_GRUPO,MATCH($C1202,CAT_NOME,0)),"Sem categoria"))</f>
        <v/>
      </c>
      <c r="F1202" s="76" t="n"/>
      <c r="G1202" s="74" t="n"/>
      <c r="H1202" s="74" t="n"/>
      <c r="I1202" s="74" t="n"/>
      <c r="J1202" s="77" t="n"/>
      <c r="K1202" s="77" t="n"/>
      <c r="L1202" s="74" t="n"/>
      <c r="M1202" s="74" t="n"/>
      <c r="O1202" s="78">
        <f>IF($A1202="","",YEAR($A1202)*100+MONTH($A1202))</f>
        <v/>
      </c>
      <c r="P1202" s="79">
        <f>IF(OR($F1202="",$D1202=""),"",IF($D1202="Receita",$F1202,IF($D1202="Transferência",0,-$F1202)))</f>
        <v/>
      </c>
    </row>
    <row r="1203">
      <c r="A1203" s="73" t="n"/>
      <c r="B1203" s="74" t="n"/>
      <c r="C1203" s="74" t="n"/>
      <c r="D1203" s="75">
        <f>IF($C1203="","",IFERROR(INDEX(CAT_TIPO,MATCH($C1203,CAT_NOME,0)),"Sem categoria"))</f>
        <v/>
      </c>
      <c r="E1203" s="75">
        <f>IF($C1203="","",IFERROR(INDEX(CAT_GRUPO,MATCH($C1203,CAT_NOME,0)),"Sem categoria"))</f>
        <v/>
      </c>
      <c r="F1203" s="76" t="n"/>
      <c r="G1203" s="74" t="n"/>
      <c r="H1203" s="74" t="n"/>
      <c r="I1203" s="74" t="n"/>
      <c r="J1203" s="77" t="n"/>
      <c r="K1203" s="77" t="n"/>
      <c r="L1203" s="74" t="n"/>
      <c r="M1203" s="74" t="n"/>
      <c r="O1203" s="78">
        <f>IF($A1203="","",YEAR($A1203)*100+MONTH($A1203))</f>
        <v/>
      </c>
      <c r="P1203" s="79">
        <f>IF(OR($F1203="",$D1203=""),"",IF($D1203="Receita",$F1203,IF($D1203="Transferência",0,-$F1203)))</f>
        <v/>
      </c>
    </row>
    <row r="1204">
      <c r="A1204" s="73" t="n"/>
      <c r="B1204" s="74" t="n"/>
      <c r="C1204" s="74" t="n"/>
      <c r="D1204" s="75">
        <f>IF($C1204="","",IFERROR(INDEX(CAT_TIPO,MATCH($C1204,CAT_NOME,0)),"Sem categoria"))</f>
        <v/>
      </c>
      <c r="E1204" s="75">
        <f>IF($C1204="","",IFERROR(INDEX(CAT_GRUPO,MATCH($C1204,CAT_NOME,0)),"Sem categoria"))</f>
        <v/>
      </c>
      <c r="F1204" s="76" t="n"/>
      <c r="G1204" s="74" t="n"/>
      <c r="H1204" s="74" t="n"/>
      <c r="I1204" s="74" t="n"/>
      <c r="J1204" s="77" t="n"/>
      <c r="K1204" s="77" t="n"/>
      <c r="L1204" s="74" t="n"/>
      <c r="M1204" s="74" t="n"/>
      <c r="O1204" s="78">
        <f>IF($A1204="","",YEAR($A1204)*100+MONTH($A1204))</f>
        <v/>
      </c>
      <c r="P1204" s="79">
        <f>IF(OR($F1204="",$D1204=""),"",IF($D1204="Receita",$F1204,IF($D1204="Transferência",0,-$F1204)))</f>
        <v/>
      </c>
    </row>
    <row r="1205">
      <c r="A1205" s="73" t="n"/>
      <c r="B1205" s="74" t="n"/>
      <c r="C1205" s="74" t="n"/>
      <c r="D1205" s="75">
        <f>IF($C1205="","",IFERROR(INDEX(CAT_TIPO,MATCH($C1205,CAT_NOME,0)),"Sem categoria"))</f>
        <v/>
      </c>
      <c r="E1205" s="75">
        <f>IF($C1205="","",IFERROR(INDEX(CAT_GRUPO,MATCH($C1205,CAT_NOME,0)),"Sem categoria"))</f>
        <v/>
      </c>
      <c r="F1205" s="76" t="n"/>
      <c r="G1205" s="74" t="n"/>
      <c r="H1205" s="74" t="n"/>
      <c r="I1205" s="74" t="n"/>
      <c r="J1205" s="77" t="n"/>
      <c r="K1205" s="77" t="n"/>
      <c r="L1205" s="74" t="n"/>
      <c r="M1205" s="74" t="n"/>
      <c r="O1205" s="78">
        <f>IF($A1205="","",YEAR($A1205)*100+MONTH($A1205))</f>
        <v/>
      </c>
      <c r="P1205" s="79">
        <f>IF(OR($F1205="",$D1205=""),"",IF($D1205="Receita",$F1205,IF($D1205="Transferência",0,-$F1205)))</f>
        <v/>
      </c>
    </row>
    <row r="1206">
      <c r="A1206" s="73" t="n"/>
      <c r="B1206" s="74" t="n"/>
      <c r="C1206" s="74" t="n"/>
      <c r="D1206" s="75">
        <f>IF($C1206="","",IFERROR(INDEX(CAT_TIPO,MATCH($C1206,CAT_NOME,0)),"Sem categoria"))</f>
        <v/>
      </c>
      <c r="E1206" s="75">
        <f>IF($C1206="","",IFERROR(INDEX(CAT_GRUPO,MATCH($C1206,CAT_NOME,0)),"Sem categoria"))</f>
        <v/>
      </c>
      <c r="F1206" s="76" t="n"/>
      <c r="G1206" s="74" t="n"/>
      <c r="H1206" s="74" t="n"/>
      <c r="I1206" s="74" t="n"/>
      <c r="J1206" s="77" t="n"/>
      <c r="K1206" s="77" t="n"/>
      <c r="L1206" s="74" t="n"/>
      <c r="M1206" s="74" t="n"/>
      <c r="O1206" s="78">
        <f>IF($A1206="","",YEAR($A1206)*100+MONTH($A1206))</f>
        <v/>
      </c>
      <c r="P1206" s="79">
        <f>IF(OR($F1206="",$D1206=""),"",IF($D1206="Receita",$F1206,IF($D1206="Transferência",0,-$F1206)))</f>
        <v/>
      </c>
    </row>
    <row r="1207">
      <c r="A1207" s="73" t="n"/>
      <c r="B1207" s="74" t="n"/>
      <c r="C1207" s="74" t="n"/>
      <c r="D1207" s="75">
        <f>IF($C1207="","",IFERROR(INDEX(CAT_TIPO,MATCH($C1207,CAT_NOME,0)),"Sem categoria"))</f>
        <v/>
      </c>
      <c r="E1207" s="75">
        <f>IF($C1207="","",IFERROR(INDEX(CAT_GRUPO,MATCH($C1207,CAT_NOME,0)),"Sem categoria"))</f>
        <v/>
      </c>
      <c r="F1207" s="76" t="n"/>
      <c r="G1207" s="74" t="n"/>
      <c r="H1207" s="74" t="n"/>
      <c r="I1207" s="74" t="n"/>
      <c r="J1207" s="77" t="n"/>
      <c r="K1207" s="77" t="n"/>
      <c r="L1207" s="74" t="n"/>
      <c r="M1207" s="74" t="n"/>
      <c r="O1207" s="78">
        <f>IF($A1207="","",YEAR($A1207)*100+MONTH($A1207))</f>
        <v/>
      </c>
      <c r="P1207" s="79">
        <f>IF(OR($F1207="",$D1207=""),"",IF($D1207="Receita",$F1207,IF($D1207="Transferência",0,-$F1207)))</f>
        <v/>
      </c>
    </row>
    <row r="1208">
      <c r="A1208" s="73" t="n"/>
      <c r="B1208" s="74" t="n"/>
      <c r="C1208" s="74" t="n"/>
      <c r="D1208" s="75">
        <f>IF($C1208="","",IFERROR(INDEX(CAT_TIPO,MATCH($C1208,CAT_NOME,0)),"Sem categoria"))</f>
        <v/>
      </c>
      <c r="E1208" s="75">
        <f>IF($C1208="","",IFERROR(INDEX(CAT_GRUPO,MATCH($C1208,CAT_NOME,0)),"Sem categoria"))</f>
        <v/>
      </c>
      <c r="F1208" s="76" t="n"/>
      <c r="G1208" s="74" t="n"/>
      <c r="H1208" s="74" t="n"/>
      <c r="I1208" s="74" t="n"/>
      <c r="J1208" s="77" t="n"/>
      <c r="K1208" s="77" t="n"/>
      <c r="L1208" s="74" t="n"/>
      <c r="M1208" s="74" t="n"/>
      <c r="O1208" s="78">
        <f>IF($A1208="","",YEAR($A1208)*100+MONTH($A1208))</f>
        <v/>
      </c>
      <c r="P1208" s="79">
        <f>IF(OR($F1208="",$D1208=""),"",IF($D1208="Receita",$F1208,IF($D1208="Transferência",0,-$F1208)))</f>
        <v/>
      </c>
    </row>
    <row r="1209">
      <c r="A1209" s="73" t="n"/>
      <c r="B1209" s="74" t="n"/>
      <c r="C1209" s="74" t="n"/>
      <c r="D1209" s="75">
        <f>IF($C1209="","",IFERROR(INDEX(CAT_TIPO,MATCH($C1209,CAT_NOME,0)),"Sem categoria"))</f>
        <v/>
      </c>
      <c r="E1209" s="75">
        <f>IF($C1209="","",IFERROR(INDEX(CAT_GRUPO,MATCH($C1209,CAT_NOME,0)),"Sem categoria"))</f>
        <v/>
      </c>
      <c r="F1209" s="76" t="n"/>
      <c r="G1209" s="74" t="n"/>
      <c r="H1209" s="74" t="n"/>
      <c r="I1209" s="74" t="n"/>
      <c r="J1209" s="77" t="n"/>
      <c r="K1209" s="77" t="n"/>
      <c r="L1209" s="74" t="n"/>
      <c r="M1209" s="74" t="n"/>
      <c r="O1209" s="78">
        <f>IF($A1209="","",YEAR($A1209)*100+MONTH($A1209))</f>
        <v/>
      </c>
      <c r="P1209" s="79">
        <f>IF(OR($F1209="",$D1209=""),"",IF($D1209="Receita",$F1209,IF($D1209="Transferência",0,-$F1209)))</f>
        <v/>
      </c>
    </row>
    <row r="1210">
      <c r="A1210" s="73" t="n"/>
      <c r="B1210" s="74" t="n"/>
      <c r="C1210" s="74" t="n"/>
      <c r="D1210" s="75">
        <f>IF($C1210="","",IFERROR(INDEX(CAT_TIPO,MATCH($C1210,CAT_NOME,0)),"Sem categoria"))</f>
        <v/>
      </c>
      <c r="E1210" s="75">
        <f>IF($C1210="","",IFERROR(INDEX(CAT_GRUPO,MATCH($C1210,CAT_NOME,0)),"Sem categoria"))</f>
        <v/>
      </c>
      <c r="F1210" s="76" t="n"/>
      <c r="G1210" s="74" t="n"/>
      <c r="H1210" s="74" t="n"/>
      <c r="I1210" s="74" t="n"/>
      <c r="J1210" s="77" t="n"/>
      <c r="K1210" s="77" t="n"/>
      <c r="L1210" s="74" t="n"/>
      <c r="M1210" s="74" t="n"/>
      <c r="O1210" s="78">
        <f>IF($A1210="","",YEAR($A1210)*100+MONTH($A1210))</f>
        <v/>
      </c>
      <c r="P1210" s="79">
        <f>IF(OR($F1210="",$D1210=""),"",IF($D1210="Receita",$F1210,IF($D1210="Transferência",0,-$F1210)))</f>
        <v/>
      </c>
    </row>
    <row r="1211">
      <c r="A1211" s="73" t="n"/>
      <c r="B1211" s="74" t="n"/>
      <c r="C1211" s="74" t="n"/>
      <c r="D1211" s="75">
        <f>IF($C1211="","",IFERROR(INDEX(CAT_TIPO,MATCH($C1211,CAT_NOME,0)),"Sem categoria"))</f>
        <v/>
      </c>
      <c r="E1211" s="75">
        <f>IF($C1211="","",IFERROR(INDEX(CAT_GRUPO,MATCH($C1211,CAT_NOME,0)),"Sem categoria"))</f>
        <v/>
      </c>
      <c r="F1211" s="76" t="n"/>
      <c r="G1211" s="74" t="n"/>
      <c r="H1211" s="74" t="n"/>
      <c r="I1211" s="74" t="n"/>
      <c r="J1211" s="77" t="n"/>
      <c r="K1211" s="77" t="n"/>
      <c r="L1211" s="74" t="n"/>
      <c r="M1211" s="74" t="n"/>
      <c r="O1211" s="78">
        <f>IF($A1211="","",YEAR($A1211)*100+MONTH($A1211))</f>
        <v/>
      </c>
      <c r="P1211" s="79">
        <f>IF(OR($F1211="",$D1211=""),"",IF($D1211="Receita",$F1211,IF($D1211="Transferência",0,-$F1211)))</f>
        <v/>
      </c>
    </row>
    <row r="1212">
      <c r="A1212" s="73" t="n"/>
      <c r="B1212" s="74" t="n"/>
      <c r="C1212" s="74" t="n"/>
      <c r="D1212" s="75">
        <f>IF($C1212="","",IFERROR(INDEX(CAT_TIPO,MATCH($C1212,CAT_NOME,0)),"Sem categoria"))</f>
        <v/>
      </c>
      <c r="E1212" s="75">
        <f>IF($C1212="","",IFERROR(INDEX(CAT_GRUPO,MATCH($C1212,CAT_NOME,0)),"Sem categoria"))</f>
        <v/>
      </c>
      <c r="F1212" s="76" t="n"/>
      <c r="G1212" s="74" t="n"/>
      <c r="H1212" s="74" t="n"/>
      <c r="I1212" s="74" t="n"/>
      <c r="J1212" s="77" t="n"/>
      <c r="K1212" s="77" t="n"/>
      <c r="L1212" s="74" t="n"/>
      <c r="M1212" s="74" t="n"/>
      <c r="O1212" s="78">
        <f>IF($A1212="","",YEAR($A1212)*100+MONTH($A1212))</f>
        <v/>
      </c>
      <c r="P1212" s="79">
        <f>IF(OR($F1212="",$D1212=""),"",IF($D1212="Receita",$F1212,IF($D1212="Transferência",0,-$F1212)))</f>
        <v/>
      </c>
    </row>
    <row r="1213">
      <c r="A1213" s="73" t="n"/>
      <c r="B1213" s="74" t="n"/>
      <c r="C1213" s="74" t="n"/>
      <c r="D1213" s="75">
        <f>IF($C1213="","",IFERROR(INDEX(CAT_TIPO,MATCH($C1213,CAT_NOME,0)),"Sem categoria"))</f>
        <v/>
      </c>
      <c r="E1213" s="75">
        <f>IF($C1213="","",IFERROR(INDEX(CAT_GRUPO,MATCH($C1213,CAT_NOME,0)),"Sem categoria"))</f>
        <v/>
      </c>
      <c r="F1213" s="76" t="n"/>
      <c r="G1213" s="74" t="n"/>
      <c r="H1213" s="74" t="n"/>
      <c r="I1213" s="74" t="n"/>
      <c r="J1213" s="77" t="n"/>
      <c r="K1213" s="77" t="n"/>
      <c r="L1213" s="74" t="n"/>
      <c r="M1213" s="74" t="n"/>
      <c r="O1213" s="78">
        <f>IF($A1213="","",YEAR($A1213)*100+MONTH($A1213))</f>
        <v/>
      </c>
      <c r="P1213" s="79">
        <f>IF(OR($F1213="",$D1213=""),"",IF($D1213="Receita",$F1213,IF($D1213="Transferência",0,-$F1213)))</f>
        <v/>
      </c>
    </row>
    <row r="1214">
      <c r="A1214" s="73" t="n"/>
      <c r="B1214" s="74" t="n"/>
      <c r="C1214" s="74" t="n"/>
      <c r="D1214" s="75">
        <f>IF($C1214="","",IFERROR(INDEX(CAT_TIPO,MATCH($C1214,CAT_NOME,0)),"Sem categoria"))</f>
        <v/>
      </c>
      <c r="E1214" s="75">
        <f>IF($C1214="","",IFERROR(INDEX(CAT_GRUPO,MATCH($C1214,CAT_NOME,0)),"Sem categoria"))</f>
        <v/>
      </c>
      <c r="F1214" s="76" t="n"/>
      <c r="G1214" s="74" t="n"/>
      <c r="H1214" s="74" t="n"/>
      <c r="I1214" s="74" t="n"/>
      <c r="J1214" s="77" t="n"/>
      <c r="K1214" s="77" t="n"/>
      <c r="L1214" s="74" t="n"/>
      <c r="M1214" s="74" t="n"/>
      <c r="O1214" s="78">
        <f>IF($A1214="","",YEAR($A1214)*100+MONTH($A1214))</f>
        <v/>
      </c>
      <c r="P1214" s="79">
        <f>IF(OR($F1214="",$D1214=""),"",IF($D1214="Receita",$F1214,IF($D1214="Transferência",0,-$F1214)))</f>
        <v/>
      </c>
    </row>
    <row r="1215">
      <c r="A1215" s="73" t="n"/>
      <c r="B1215" s="74" t="n"/>
      <c r="C1215" s="74" t="n"/>
      <c r="D1215" s="75">
        <f>IF($C1215="","",IFERROR(INDEX(CAT_TIPO,MATCH($C1215,CAT_NOME,0)),"Sem categoria"))</f>
        <v/>
      </c>
      <c r="E1215" s="75">
        <f>IF($C1215="","",IFERROR(INDEX(CAT_GRUPO,MATCH($C1215,CAT_NOME,0)),"Sem categoria"))</f>
        <v/>
      </c>
      <c r="F1215" s="76" t="n"/>
      <c r="G1215" s="74" t="n"/>
      <c r="H1215" s="74" t="n"/>
      <c r="I1215" s="74" t="n"/>
      <c r="J1215" s="77" t="n"/>
      <c r="K1215" s="77" t="n"/>
      <c r="L1215" s="74" t="n"/>
      <c r="M1215" s="74" t="n"/>
      <c r="O1215" s="78">
        <f>IF($A1215="","",YEAR($A1215)*100+MONTH($A1215))</f>
        <v/>
      </c>
      <c r="P1215" s="79">
        <f>IF(OR($F1215="",$D1215=""),"",IF($D1215="Receita",$F1215,IF($D1215="Transferência",0,-$F1215)))</f>
        <v/>
      </c>
    </row>
    <row r="1216">
      <c r="A1216" s="73" t="n"/>
      <c r="B1216" s="74" t="n"/>
      <c r="C1216" s="74" t="n"/>
      <c r="D1216" s="75">
        <f>IF($C1216="","",IFERROR(INDEX(CAT_TIPO,MATCH($C1216,CAT_NOME,0)),"Sem categoria"))</f>
        <v/>
      </c>
      <c r="E1216" s="75">
        <f>IF($C1216="","",IFERROR(INDEX(CAT_GRUPO,MATCH($C1216,CAT_NOME,0)),"Sem categoria"))</f>
        <v/>
      </c>
      <c r="F1216" s="76" t="n"/>
      <c r="G1216" s="74" t="n"/>
      <c r="H1216" s="74" t="n"/>
      <c r="I1216" s="74" t="n"/>
      <c r="J1216" s="77" t="n"/>
      <c r="K1216" s="77" t="n"/>
      <c r="L1216" s="74" t="n"/>
      <c r="M1216" s="74" t="n"/>
      <c r="O1216" s="78">
        <f>IF($A1216="","",YEAR($A1216)*100+MONTH($A1216))</f>
        <v/>
      </c>
      <c r="P1216" s="79">
        <f>IF(OR($F1216="",$D1216=""),"",IF($D1216="Receita",$F1216,IF($D1216="Transferência",0,-$F1216)))</f>
        <v/>
      </c>
    </row>
    <row r="1217">
      <c r="A1217" s="73" t="n"/>
      <c r="B1217" s="74" t="n"/>
      <c r="C1217" s="74" t="n"/>
      <c r="D1217" s="75">
        <f>IF($C1217="","",IFERROR(INDEX(CAT_TIPO,MATCH($C1217,CAT_NOME,0)),"Sem categoria"))</f>
        <v/>
      </c>
      <c r="E1217" s="75">
        <f>IF($C1217="","",IFERROR(INDEX(CAT_GRUPO,MATCH($C1217,CAT_NOME,0)),"Sem categoria"))</f>
        <v/>
      </c>
      <c r="F1217" s="76" t="n"/>
      <c r="G1217" s="74" t="n"/>
      <c r="H1217" s="74" t="n"/>
      <c r="I1217" s="74" t="n"/>
      <c r="J1217" s="77" t="n"/>
      <c r="K1217" s="77" t="n"/>
      <c r="L1217" s="74" t="n"/>
      <c r="M1217" s="74" t="n"/>
      <c r="O1217" s="78">
        <f>IF($A1217="","",YEAR($A1217)*100+MONTH($A1217))</f>
        <v/>
      </c>
      <c r="P1217" s="79">
        <f>IF(OR($F1217="",$D1217=""),"",IF($D1217="Receita",$F1217,IF($D1217="Transferência",0,-$F1217)))</f>
        <v/>
      </c>
    </row>
    <row r="1218">
      <c r="A1218" s="73" t="n"/>
      <c r="B1218" s="74" t="n"/>
      <c r="C1218" s="74" t="n"/>
      <c r="D1218" s="75">
        <f>IF($C1218="","",IFERROR(INDEX(CAT_TIPO,MATCH($C1218,CAT_NOME,0)),"Sem categoria"))</f>
        <v/>
      </c>
      <c r="E1218" s="75">
        <f>IF($C1218="","",IFERROR(INDEX(CAT_GRUPO,MATCH($C1218,CAT_NOME,0)),"Sem categoria"))</f>
        <v/>
      </c>
      <c r="F1218" s="76" t="n"/>
      <c r="G1218" s="74" t="n"/>
      <c r="H1218" s="74" t="n"/>
      <c r="I1218" s="74" t="n"/>
      <c r="J1218" s="77" t="n"/>
      <c r="K1218" s="77" t="n"/>
      <c r="L1218" s="74" t="n"/>
      <c r="M1218" s="74" t="n"/>
      <c r="O1218" s="78">
        <f>IF($A1218="","",YEAR($A1218)*100+MONTH($A1218))</f>
        <v/>
      </c>
      <c r="P1218" s="79">
        <f>IF(OR($F1218="",$D1218=""),"",IF($D1218="Receita",$F1218,IF($D1218="Transferência",0,-$F1218)))</f>
        <v/>
      </c>
    </row>
    <row r="1219">
      <c r="A1219" s="73" t="n"/>
      <c r="B1219" s="74" t="n"/>
      <c r="C1219" s="74" t="n"/>
      <c r="D1219" s="75">
        <f>IF($C1219="","",IFERROR(INDEX(CAT_TIPO,MATCH($C1219,CAT_NOME,0)),"Sem categoria"))</f>
        <v/>
      </c>
      <c r="E1219" s="75">
        <f>IF($C1219="","",IFERROR(INDEX(CAT_GRUPO,MATCH($C1219,CAT_NOME,0)),"Sem categoria"))</f>
        <v/>
      </c>
      <c r="F1219" s="76" t="n"/>
      <c r="G1219" s="74" t="n"/>
      <c r="H1219" s="74" t="n"/>
      <c r="I1219" s="74" t="n"/>
      <c r="J1219" s="77" t="n"/>
      <c r="K1219" s="77" t="n"/>
      <c r="L1219" s="74" t="n"/>
      <c r="M1219" s="74" t="n"/>
      <c r="O1219" s="78">
        <f>IF($A1219="","",YEAR($A1219)*100+MONTH($A1219))</f>
        <v/>
      </c>
      <c r="P1219" s="79">
        <f>IF(OR($F1219="",$D1219=""),"",IF($D1219="Receita",$F1219,IF($D1219="Transferência",0,-$F1219)))</f>
        <v/>
      </c>
    </row>
    <row r="1220">
      <c r="A1220" s="73" t="n"/>
      <c r="B1220" s="74" t="n"/>
      <c r="C1220" s="74" t="n"/>
      <c r="D1220" s="75">
        <f>IF($C1220="","",IFERROR(INDEX(CAT_TIPO,MATCH($C1220,CAT_NOME,0)),"Sem categoria"))</f>
        <v/>
      </c>
      <c r="E1220" s="75">
        <f>IF($C1220="","",IFERROR(INDEX(CAT_GRUPO,MATCH($C1220,CAT_NOME,0)),"Sem categoria"))</f>
        <v/>
      </c>
      <c r="F1220" s="76" t="n"/>
      <c r="G1220" s="74" t="n"/>
      <c r="H1220" s="74" t="n"/>
      <c r="I1220" s="74" t="n"/>
      <c r="J1220" s="77" t="n"/>
      <c r="K1220" s="77" t="n"/>
      <c r="L1220" s="74" t="n"/>
      <c r="M1220" s="74" t="n"/>
      <c r="O1220" s="78">
        <f>IF($A1220="","",YEAR($A1220)*100+MONTH($A1220))</f>
        <v/>
      </c>
      <c r="P1220" s="79">
        <f>IF(OR($F1220="",$D1220=""),"",IF($D1220="Receita",$F1220,IF($D1220="Transferência",0,-$F1220)))</f>
        <v/>
      </c>
    </row>
    <row r="1221">
      <c r="A1221" s="73" t="n"/>
      <c r="B1221" s="74" t="n"/>
      <c r="C1221" s="74" t="n"/>
      <c r="D1221" s="75">
        <f>IF($C1221="","",IFERROR(INDEX(CAT_TIPO,MATCH($C1221,CAT_NOME,0)),"Sem categoria"))</f>
        <v/>
      </c>
      <c r="E1221" s="75">
        <f>IF($C1221="","",IFERROR(INDEX(CAT_GRUPO,MATCH($C1221,CAT_NOME,0)),"Sem categoria"))</f>
        <v/>
      </c>
      <c r="F1221" s="76" t="n"/>
      <c r="G1221" s="74" t="n"/>
      <c r="H1221" s="74" t="n"/>
      <c r="I1221" s="74" t="n"/>
      <c r="J1221" s="77" t="n"/>
      <c r="K1221" s="77" t="n"/>
      <c r="L1221" s="74" t="n"/>
      <c r="M1221" s="74" t="n"/>
      <c r="O1221" s="78">
        <f>IF($A1221="","",YEAR($A1221)*100+MONTH($A1221))</f>
        <v/>
      </c>
      <c r="P1221" s="79">
        <f>IF(OR($F1221="",$D1221=""),"",IF($D1221="Receita",$F1221,IF($D1221="Transferência",0,-$F1221)))</f>
        <v/>
      </c>
    </row>
    <row r="1222">
      <c r="A1222" s="73" t="n"/>
      <c r="B1222" s="74" t="n"/>
      <c r="C1222" s="74" t="n"/>
      <c r="D1222" s="75">
        <f>IF($C1222="","",IFERROR(INDEX(CAT_TIPO,MATCH($C1222,CAT_NOME,0)),"Sem categoria"))</f>
        <v/>
      </c>
      <c r="E1222" s="75">
        <f>IF($C1222="","",IFERROR(INDEX(CAT_GRUPO,MATCH($C1222,CAT_NOME,0)),"Sem categoria"))</f>
        <v/>
      </c>
      <c r="F1222" s="76" t="n"/>
      <c r="G1222" s="74" t="n"/>
      <c r="H1222" s="74" t="n"/>
      <c r="I1222" s="74" t="n"/>
      <c r="J1222" s="77" t="n"/>
      <c r="K1222" s="77" t="n"/>
      <c r="L1222" s="74" t="n"/>
      <c r="M1222" s="74" t="n"/>
      <c r="O1222" s="78">
        <f>IF($A1222="","",YEAR($A1222)*100+MONTH($A1222))</f>
        <v/>
      </c>
      <c r="P1222" s="79">
        <f>IF(OR($F1222="",$D1222=""),"",IF($D1222="Receita",$F1222,IF($D1222="Transferência",0,-$F1222)))</f>
        <v/>
      </c>
    </row>
    <row r="1223">
      <c r="A1223" s="73" t="n"/>
      <c r="B1223" s="74" t="n"/>
      <c r="C1223" s="74" t="n"/>
      <c r="D1223" s="75">
        <f>IF($C1223="","",IFERROR(INDEX(CAT_TIPO,MATCH($C1223,CAT_NOME,0)),"Sem categoria"))</f>
        <v/>
      </c>
      <c r="E1223" s="75">
        <f>IF($C1223="","",IFERROR(INDEX(CAT_GRUPO,MATCH($C1223,CAT_NOME,0)),"Sem categoria"))</f>
        <v/>
      </c>
      <c r="F1223" s="76" t="n"/>
      <c r="G1223" s="74" t="n"/>
      <c r="H1223" s="74" t="n"/>
      <c r="I1223" s="74" t="n"/>
      <c r="J1223" s="77" t="n"/>
      <c r="K1223" s="77" t="n"/>
      <c r="L1223" s="74" t="n"/>
      <c r="M1223" s="74" t="n"/>
      <c r="O1223" s="78">
        <f>IF($A1223="","",YEAR($A1223)*100+MONTH($A1223))</f>
        <v/>
      </c>
      <c r="P1223" s="79">
        <f>IF(OR($F1223="",$D1223=""),"",IF($D1223="Receita",$F1223,IF($D1223="Transferência",0,-$F1223)))</f>
        <v/>
      </c>
    </row>
    <row r="1224">
      <c r="A1224" s="73" t="n"/>
      <c r="B1224" s="74" t="n"/>
      <c r="C1224" s="74" t="n"/>
      <c r="D1224" s="75">
        <f>IF($C1224="","",IFERROR(INDEX(CAT_TIPO,MATCH($C1224,CAT_NOME,0)),"Sem categoria"))</f>
        <v/>
      </c>
      <c r="E1224" s="75">
        <f>IF($C1224="","",IFERROR(INDEX(CAT_GRUPO,MATCH($C1224,CAT_NOME,0)),"Sem categoria"))</f>
        <v/>
      </c>
      <c r="F1224" s="76" t="n"/>
      <c r="G1224" s="74" t="n"/>
      <c r="H1224" s="74" t="n"/>
      <c r="I1224" s="74" t="n"/>
      <c r="J1224" s="77" t="n"/>
      <c r="K1224" s="77" t="n"/>
      <c r="L1224" s="74" t="n"/>
      <c r="M1224" s="74" t="n"/>
      <c r="O1224" s="78">
        <f>IF($A1224="","",YEAR($A1224)*100+MONTH($A1224))</f>
        <v/>
      </c>
      <c r="P1224" s="79">
        <f>IF(OR($F1224="",$D1224=""),"",IF($D1224="Receita",$F1224,IF($D1224="Transferência",0,-$F1224)))</f>
        <v/>
      </c>
    </row>
    <row r="1225">
      <c r="A1225" s="73" t="n"/>
      <c r="B1225" s="74" t="n"/>
      <c r="C1225" s="74" t="n"/>
      <c r="D1225" s="75">
        <f>IF($C1225="","",IFERROR(INDEX(CAT_TIPO,MATCH($C1225,CAT_NOME,0)),"Sem categoria"))</f>
        <v/>
      </c>
      <c r="E1225" s="75">
        <f>IF($C1225="","",IFERROR(INDEX(CAT_GRUPO,MATCH($C1225,CAT_NOME,0)),"Sem categoria"))</f>
        <v/>
      </c>
      <c r="F1225" s="76" t="n"/>
      <c r="G1225" s="74" t="n"/>
      <c r="H1225" s="74" t="n"/>
      <c r="I1225" s="74" t="n"/>
      <c r="J1225" s="77" t="n"/>
      <c r="K1225" s="77" t="n"/>
      <c r="L1225" s="74" t="n"/>
      <c r="M1225" s="74" t="n"/>
      <c r="O1225" s="78">
        <f>IF($A1225="","",YEAR($A1225)*100+MONTH($A1225))</f>
        <v/>
      </c>
      <c r="P1225" s="79">
        <f>IF(OR($F1225="",$D1225=""),"",IF($D1225="Receita",$F1225,IF($D1225="Transferência",0,-$F1225)))</f>
        <v/>
      </c>
    </row>
    <row r="1226">
      <c r="A1226" s="73" t="n"/>
      <c r="B1226" s="74" t="n"/>
      <c r="C1226" s="74" t="n"/>
      <c r="D1226" s="75">
        <f>IF($C1226="","",IFERROR(INDEX(CAT_TIPO,MATCH($C1226,CAT_NOME,0)),"Sem categoria"))</f>
        <v/>
      </c>
      <c r="E1226" s="75">
        <f>IF($C1226="","",IFERROR(INDEX(CAT_GRUPO,MATCH($C1226,CAT_NOME,0)),"Sem categoria"))</f>
        <v/>
      </c>
      <c r="F1226" s="76" t="n"/>
      <c r="G1226" s="74" t="n"/>
      <c r="H1226" s="74" t="n"/>
      <c r="I1226" s="74" t="n"/>
      <c r="J1226" s="77" t="n"/>
      <c r="K1226" s="77" t="n"/>
      <c r="L1226" s="74" t="n"/>
      <c r="M1226" s="74" t="n"/>
      <c r="O1226" s="78">
        <f>IF($A1226="","",YEAR($A1226)*100+MONTH($A1226))</f>
        <v/>
      </c>
      <c r="P1226" s="79">
        <f>IF(OR($F1226="",$D1226=""),"",IF($D1226="Receita",$F1226,IF($D1226="Transferência",0,-$F1226)))</f>
        <v/>
      </c>
    </row>
    <row r="1227">
      <c r="A1227" s="73" t="n"/>
      <c r="B1227" s="74" t="n"/>
      <c r="C1227" s="74" t="n"/>
      <c r="D1227" s="75">
        <f>IF($C1227="","",IFERROR(INDEX(CAT_TIPO,MATCH($C1227,CAT_NOME,0)),"Sem categoria"))</f>
        <v/>
      </c>
      <c r="E1227" s="75">
        <f>IF($C1227="","",IFERROR(INDEX(CAT_GRUPO,MATCH($C1227,CAT_NOME,0)),"Sem categoria"))</f>
        <v/>
      </c>
      <c r="F1227" s="76" t="n"/>
      <c r="G1227" s="74" t="n"/>
      <c r="H1227" s="74" t="n"/>
      <c r="I1227" s="74" t="n"/>
      <c r="J1227" s="77" t="n"/>
      <c r="K1227" s="77" t="n"/>
      <c r="L1227" s="74" t="n"/>
      <c r="M1227" s="74" t="n"/>
      <c r="O1227" s="78">
        <f>IF($A1227="","",YEAR($A1227)*100+MONTH($A1227))</f>
        <v/>
      </c>
      <c r="P1227" s="79">
        <f>IF(OR($F1227="",$D1227=""),"",IF($D1227="Receita",$F1227,IF($D1227="Transferência",0,-$F1227)))</f>
        <v/>
      </c>
    </row>
    <row r="1228">
      <c r="A1228" s="73" t="n"/>
      <c r="B1228" s="74" t="n"/>
      <c r="C1228" s="74" t="n"/>
      <c r="D1228" s="75">
        <f>IF($C1228="","",IFERROR(INDEX(CAT_TIPO,MATCH($C1228,CAT_NOME,0)),"Sem categoria"))</f>
        <v/>
      </c>
      <c r="E1228" s="75">
        <f>IF($C1228="","",IFERROR(INDEX(CAT_GRUPO,MATCH($C1228,CAT_NOME,0)),"Sem categoria"))</f>
        <v/>
      </c>
      <c r="F1228" s="76" t="n"/>
      <c r="G1228" s="74" t="n"/>
      <c r="H1228" s="74" t="n"/>
      <c r="I1228" s="74" t="n"/>
      <c r="J1228" s="77" t="n"/>
      <c r="K1228" s="77" t="n"/>
      <c r="L1228" s="74" t="n"/>
      <c r="M1228" s="74" t="n"/>
      <c r="O1228" s="78">
        <f>IF($A1228="","",YEAR($A1228)*100+MONTH($A1228))</f>
        <v/>
      </c>
      <c r="P1228" s="79">
        <f>IF(OR($F1228="",$D1228=""),"",IF($D1228="Receita",$F1228,IF($D1228="Transferência",0,-$F1228)))</f>
        <v/>
      </c>
    </row>
    <row r="1229">
      <c r="A1229" s="73" t="n"/>
      <c r="B1229" s="74" t="n"/>
      <c r="C1229" s="74" t="n"/>
      <c r="D1229" s="75">
        <f>IF($C1229="","",IFERROR(INDEX(CAT_TIPO,MATCH($C1229,CAT_NOME,0)),"Sem categoria"))</f>
        <v/>
      </c>
      <c r="E1229" s="75">
        <f>IF($C1229="","",IFERROR(INDEX(CAT_GRUPO,MATCH($C1229,CAT_NOME,0)),"Sem categoria"))</f>
        <v/>
      </c>
      <c r="F1229" s="76" t="n"/>
      <c r="G1229" s="74" t="n"/>
      <c r="H1229" s="74" t="n"/>
      <c r="I1229" s="74" t="n"/>
      <c r="J1229" s="77" t="n"/>
      <c r="K1229" s="77" t="n"/>
      <c r="L1229" s="74" t="n"/>
      <c r="M1229" s="74" t="n"/>
      <c r="O1229" s="78">
        <f>IF($A1229="","",YEAR($A1229)*100+MONTH($A1229))</f>
        <v/>
      </c>
      <c r="P1229" s="79">
        <f>IF(OR($F1229="",$D1229=""),"",IF($D1229="Receita",$F1229,IF($D1229="Transferência",0,-$F1229)))</f>
        <v/>
      </c>
    </row>
    <row r="1230">
      <c r="A1230" s="73" t="n"/>
      <c r="B1230" s="74" t="n"/>
      <c r="C1230" s="74" t="n"/>
      <c r="D1230" s="75">
        <f>IF($C1230="","",IFERROR(INDEX(CAT_TIPO,MATCH($C1230,CAT_NOME,0)),"Sem categoria"))</f>
        <v/>
      </c>
      <c r="E1230" s="75">
        <f>IF($C1230="","",IFERROR(INDEX(CAT_GRUPO,MATCH($C1230,CAT_NOME,0)),"Sem categoria"))</f>
        <v/>
      </c>
      <c r="F1230" s="76" t="n"/>
      <c r="G1230" s="74" t="n"/>
      <c r="H1230" s="74" t="n"/>
      <c r="I1230" s="74" t="n"/>
      <c r="J1230" s="77" t="n"/>
      <c r="K1230" s="77" t="n"/>
      <c r="L1230" s="74" t="n"/>
      <c r="M1230" s="74" t="n"/>
      <c r="O1230" s="78">
        <f>IF($A1230="","",YEAR($A1230)*100+MONTH($A1230))</f>
        <v/>
      </c>
      <c r="P1230" s="79">
        <f>IF(OR($F1230="",$D1230=""),"",IF($D1230="Receita",$F1230,IF($D1230="Transferência",0,-$F1230)))</f>
        <v/>
      </c>
    </row>
    <row r="1231">
      <c r="A1231" s="73" t="n"/>
      <c r="B1231" s="74" t="n"/>
      <c r="C1231" s="74" t="n"/>
      <c r="D1231" s="75">
        <f>IF($C1231="","",IFERROR(INDEX(CAT_TIPO,MATCH($C1231,CAT_NOME,0)),"Sem categoria"))</f>
        <v/>
      </c>
      <c r="E1231" s="75">
        <f>IF($C1231="","",IFERROR(INDEX(CAT_GRUPO,MATCH($C1231,CAT_NOME,0)),"Sem categoria"))</f>
        <v/>
      </c>
      <c r="F1231" s="76" t="n"/>
      <c r="G1231" s="74" t="n"/>
      <c r="H1231" s="74" t="n"/>
      <c r="I1231" s="74" t="n"/>
      <c r="J1231" s="77" t="n"/>
      <c r="K1231" s="77" t="n"/>
      <c r="L1231" s="74" t="n"/>
      <c r="M1231" s="74" t="n"/>
      <c r="O1231" s="78">
        <f>IF($A1231="","",YEAR($A1231)*100+MONTH($A1231))</f>
        <v/>
      </c>
      <c r="P1231" s="79">
        <f>IF(OR($F1231="",$D1231=""),"",IF($D1231="Receita",$F1231,IF($D1231="Transferência",0,-$F1231)))</f>
        <v/>
      </c>
    </row>
    <row r="1232">
      <c r="A1232" s="73" t="n"/>
      <c r="B1232" s="74" t="n"/>
      <c r="C1232" s="74" t="n"/>
      <c r="D1232" s="75">
        <f>IF($C1232="","",IFERROR(INDEX(CAT_TIPO,MATCH($C1232,CAT_NOME,0)),"Sem categoria"))</f>
        <v/>
      </c>
      <c r="E1232" s="75">
        <f>IF($C1232="","",IFERROR(INDEX(CAT_GRUPO,MATCH($C1232,CAT_NOME,0)),"Sem categoria"))</f>
        <v/>
      </c>
      <c r="F1232" s="76" t="n"/>
      <c r="G1232" s="74" t="n"/>
      <c r="H1232" s="74" t="n"/>
      <c r="I1232" s="74" t="n"/>
      <c r="J1232" s="77" t="n"/>
      <c r="K1232" s="77" t="n"/>
      <c r="L1232" s="74" t="n"/>
      <c r="M1232" s="74" t="n"/>
      <c r="O1232" s="78">
        <f>IF($A1232="","",YEAR($A1232)*100+MONTH($A1232))</f>
        <v/>
      </c>
      <c r="P1232" s="79">
        <f>IF(OR($F1232="",$D1232=""),"",IF($D1232="Receita",$F1232,IF($D1232="Transferência",0,-$F1232)))</f>
        <v/>
      </c>
    </row>
    <row r="1233">
      <c r="A1233" s="73" t="n"/>
      <c r="B1233" s="74" t="n"/>
      <c r="C1233" s="74" t="n"/>
      <c r="D1233" s="75">
        <f>IF($C1233="","",IFERROR(INDEX(CAT_TIPO,MATCH($C1233,CAT_NOME,0)),"Sem categoria"))</f>
        <v/>
      </c>
      <c r="E1233" s="75">
        <f>IF($C1233="","",IFERROR(INDEX(CAT_GRUPO,MATCH($C1233,CAT_NOME,0)),"Sem categoria"))</f>
        <v/>
      </c>
      <c r="F1233" s="76" t="n"/>
      <c r="G1233" s="74" t="n"/>
      <c r="H1233" s="74" t="n"/>
      <c r="I1233" s="74" t="n"/>
      <c r="J1233" s="77" t="n"/>
      <c r="K1233" s="77" t="n"/>
      <c r="L1233" s="74" t="n"/>
      <c r="M1233" s="74" t="n"/>
      <c r="O1233" s="78">
        <f>IF($A1233="","",YEAR($A1233)*100+MONTH($A1233))</f>
        <v/>
      </c>
      <c r="P1233" s="79">
        <f>IF(OR($F1233="",$D1233=""),"",IF($D1233="Receita",$F1233,IF($D1233="Transferência",0,-$F1233)))</f>
        <v/>
      </c>
    </row>
    <row r="1234">
      <c r="A1234" s="73" t="n"/>
      <c r="B1234" s="74" t="n"/>
      <c r="C1234" s="74" t="n"/>
      <c r="D1234" s="75">
        <f>IF($C1234="","",IFERROR(INDEX(CAT_TIPO,MATCH($C1234,CAT_NOME,0)),"Sem categoria"))</f>
        <v/>
      </c>
      <c r="E1234" s="75">
        <f>IF($C1234="","",IFERROR(INDEX(CAT_GRUPO,MATCH($C1234,CAT_NOME,0)),"Sem categoria"))</f>
        <v/>
      </c>
      <c r="F1234" s="76" t="n"/>
      <c r="G1234" s="74" t="n"/>
      <c r="H1234" s="74" t="n"/>
      <c r="I1234" s="74" t="n"/>
      <c r="J1234" s="77" t="n"/>
      <c r="K1234" s="77" t="n"/>
      <c r="L1234" s="74" t="n"/>
      <c r="M1234" s="74" t="n"/>
      <c r="O1234" s="78">
        <f>IF($A1234="","",YEAR($A1234)*100+MONTH($A1234))</f>
        <v/>
      </c>
      <c r="P1234" s="79">
        <f>IF(OR($F1234="",$D1234=""),"",IF($D1234="Receita",$F1234,IF($D1234="Transferência",0,-$F1234)))</f>
        <v/>
      </c>
    </row>
    <row r="1235">
      <c r="A1235" s="73" t="n"/>
      <c r="B1235" s="74" t="n"/>
      <c r="C1235" s="74" t="n"/>
      <c r="D1235" s="75">
        <f>IF($C1235="","",IFERROR(INDEX(CAT_TIPO,MATCH($C1235,CAT_NOME,0)),"Sem categoria"))</f>
        <v/>
      </c>
      <c r="E1235" s="75">
        <f>IF($C1235="","",IFERROR(INDEX(CAT_GRUPO,MATCH($C1235,CAT_NOME,0)),"Sem categoria"))</f>
        <v/>
      </c>
      <c r="F1235" s="76" t="n"/>
      <c r="G1235" s="74" t="n"/>
      <c r="H1235" s="74" t="n"/>
      <c r="I1235" s="74" t="n"/>
      <c r="J1235" s="77" t="n"/>
      <c r="K1235" s="77" t="n"/>
      <c r="L1235" s="74" t="n"/>
      <c r="M1235" s="74" t="n"/>
      <c r="O1235" s="78">
        <f>IF($A1235="","",YEAR($A1235)*100+MONTH($A1235))</f>
        <v/>
      </c>
      <c r="P1235" s="79">
        <f>IF(OR($F1235="",$D1235=""),"",IF($D1235="Receita",$F1235,IF($D1235="Transferência",0,-$F1235)))</f>
        <v/>
      </c>
    </row>
    <row r="1236">
      <c r="A1236" s="73" t="n"/>
      <c r="B1236" s="74" t="n"/>
      <c r="C1236" s="74" t="n"/>
      <c r="D1236" s="75">
        <f>IF($C1236="","",IFERROR(INDEX(CAT_TIPO,MATCH($C1236,CAT_NOME,0)),"Sem categoria"))</f>
        <v/>
      </c>
      <c r="E1236" s="75">
        <f>IF($C1236="","",IFERROR(INDEX(CAT_GRUPO,MATCH($C1236,CAT_NOME,0)),"Sem categoria"))</f>
        <v/>
      </c>
      <c r="F1236" s="76" t="n"/>
      <c r="G1236" s="74" t="n"/>
      <c r="H1236" s="74" t="n"/>
      <c r="I1236" s="74" t="n"/>
      <c r="J1236" s="77" t="n"/>
      <c r="K1236" s="77" t="n"/>
      <c r="L1236" s="74" t="n"/>
      <c r="M1236" s="74" t="n"/>
      <c r="O1236" s="78">
        <f>IF($A1236="","",YEAR($A1236)*100+MONTH($A1236))</f>
        <v/>
      </c>
      <c r="P1236" s="79">
        <f>IF(OR($F1236="",$D1236=""),"",IF($D1236="Receita",$F1236,IF($D1236="Transferência",0,-$F1236)))</f>
        <v/>
      </c>
    </row>
    <row r="1237">
      <c r="A1237" s="73" t="n"/>
      <c r="B1237" s="74" t="n"/>
      <c r="C1237" s="74" t="n"/>
      <c r="D1237" s="75">
        <f>IF($C1237="","",IFERROR(INDEX(CAT_TIPO,MATCH($C1237,CAT_NOME,0)),"Sem categoria"))</f>
        <v/>
      </c>
      <c r="E1237" s="75">
        <f>IF($C1237="","",IFERROR(INDEX(CAT_GRUPO,MATCH($C1237,CAT_NOME,0)),"Sem categoria"))</f>
        <v/>
      </c>
      <c r="F1237" s="76" t="n"/>
      <c r="G1237" s="74" t="n"/>
      <c r="H1237" s="74" t="n"/>
      <c r="I1237" s="74" t="n"/>
      <c r="J1237" s="77" t="n"/>
      <c r="K1237" s="77" t="n"/>
      <c r="L1237" s="74" t="n"/>
      <c r="M1237" s="74" t="n"/>
      <c r="O1237" s="78">
        <f>IF($A1237="","",YEAR($A1237)*100+MONTH($A1237))</f>
        <v/>
      </c>
      <c r="P1237" s="79">
        <f>IF(OR($F1237="",$D1237=""),"",IF($D1237="Receita",$F1237,IF($D1237="Transferência",0,-$F1237)))</f>
        <v/>
      </c>
    </row>
    <row r="1238">
      <c r="A1238" s="73" t="n"/>
      <c r="B1238" s="74" t="n"/>
      <c r="C1238" s="74" t="n"/>
      <c r="D1238" s="75">
        <f>IF($C1238="","",IFERROR(INDEX(CAT_TIPO,MATCH($C1238,CAT_NOME,0)),"Sem categoria"))</f>
        <v/>
      </c>
      <c r="E1238" s="75">
        <f>IF($C1238="","",IFERROR(INDEX(CAT_GRUPO,MATCH($C1238,CAT_NOME,0)),"Sem categoria"))</f>
        <v/>
      </c>
      <c r="F1238" s="76" t="n"/>
      <c r="G1238" s="74" t="n"/>
      <c r="H1238" s="74" t="n"/>
      <c r="I1238" s="74" t="n"/>
      <c r="J1238" s="77" t="n"/>
      <c r="K1238" s="77" t="n"/>
      <c r="L1238" s="74" t="n"/>
      <c r="M1238" s="74" t="n"/>
      <c r="O1238" s="78">
        <f>IF($A1238="","",YEAR($A1238)*100+MONTH($A1238))</f>
        <v/>
      </c>
      <c r="P1238" s="79">
        <f>IF(OR($F1238="",$D1238=""),"",IF($D1238="Receita",$F1238,IF($D1238="Transferência",0,-$F1238)))</f>
        <v/>
      </c>
    </row>
    <row r="1239">
      <c r="A1239" s="73" t="n"/>
      <c r="B1239" s="74" t="n"/>
      <c r="C1239" s="74" t="n"/>
      <c r="D1239" s="75">
        <f>IF($C1239="","",IFERROR(INDEX(CAT_TIPO,MATCH($C1239,CAT_NOME,0)),"Sem categoria"))</f>
        <v/>
      </c>
      <c r="E1239" s="75">
        <f>IF($C1239="","",IFERROR(INDEX(CAT_GRUPO,MATCH($C1239,CAT_NOME,0)),"Sem categoria"))</f>
        <v/>
      </c>
      <c r="F1239" s="76" t="n"/>
      <c r="G1239" s="74" t="n"/>
      <c r="H1239" s="74" t="n"/>
      <c r="I1239" s="74" t="n"/>
      <c r="J1239" s="77" t="n"/>
      <c r="K1239" s="77" t="n"/>
      <c r="L1239" s="74" t="n"/>
      <c r="M1239" s="74" t="n"/>
      <c r="O1239" s="78">
        <f>IF($A1239="","",YEAR($A1239)*100+MONTH($A1239))</f>
        <v/>
      </c>
      <c r="P1239" s="79">
        <f>IF(OR($F1239="",$D1239=""),"",IF($D1239="Receita",$F1239,IF($D1239="Transferência",0,-$F1239)))</f>
        <v/>
      </c>
    </row>
    <row r="1240">
      <c r="A1240" s="73" t="n"/>
      <c r="B1240" s="74" t="n"/>
      <c r="C1240" s="74" t="n"/>
      <c r="D1240" s="75">
        <f>IF($C1240="","",IFERROR(INDEX(CAT_TIPO,MATCH($C1240,CAT_NOME,0)),"Sem categoria"))</f>
        <v/>
      </c>
      <c r="E1240" s="75">
        <f>IF($C1240="","",IFERROR(INDEX(CAT_GRUPO,MATCH($C1240,CAT_NOME,0)),"Sem categoria"))</f>
        <v/>
      </c>
      <c r="F1240" s="76" t="n"/>
      <c r="G1240" s="74" t="n"/>
      <c r="H1240" s="74" t="n"/>
      <c r="I1240" s="74" t="n"/>
      <c r="J1240" s="77" t="n"/>
      <c r="K1240" s="77" t="n"/>
      <c r="L1240" s="74" t="n"/>
      <c r="M1240" s="74" t="n"/>
      <c r="O1240" s="78">
        <f>IF($A1240="","",YEAR($A1240)*100+MONTH($A1240))</f>
        <v/>
      </c>
      <c r="P1240" s="79">
        <f>IF(OR($F1240="",$D1240=""),"",IF($D1240="Receita",$F1240,IF($D1240="Transferência",0,-$F1240)))</f>
        <v/>
      </c>
    </row>
    <row r="1241">
      <c r="A1241" s="73" t="n"/>
      <c r="B1241" s="74" t="n"/>
      <c r="C1241" s="74" t="n"/>
      <c r="D1241" s="75">
        <f>IF($C1241="","",IFERROR(INDEX(CAT_TIPO,MATCH($C1241,CAT_NOME,0)),"Sem categoria"))</f>
        <v/>
      </c>
      <c r="E1241" s="75">
        <f>IF($C1241="","",IFERROR(INDEX(CAT_GRUPO,MATCH($C1241,CAT_NOME,0)),"Sem categoria"))</f>
        <v/>
      </c>
      <c r="F1241" s="76" t="n"/>
      <c r="G1241" s="74" t="n"/>
      <c r="H1241" s="74" t="n"/>
      <c r="I1241" s="74" t="n"/>
      <c r="J1241" s="77" t="n"/>
      <c r="K1241" s="77" t="n"/>
      <c r="L1241" s="74" t="n"/>
      <c r="M1241" s="74" t="n"/>
      <c r="O1241" s="78">
        <f>IF($A1241="","",YEAR($A1241)*100+MONTH($A1241))</f>
        <v/>
      </c>
      <c r="P1241" s="79">
        <f>IF(OR($F1241="",$D1241=""),"",IF($D1241="Receita",$F1241,IF($D1241="Transferência",0,-$F1241)))</f>
        <v/>
      </c>
    </row>
    <row r="1242">
      <c r="A1242" s="73" t="n"/>
      <c r="B1242" s="74" t="n"/>
      <c r="C1242" s="74" t="n"/>
      <c r="D1242" s="75">
        <f>IF($C1242="","",IFERROR(INDEX(CAT_TIPO,MATCH($C1242,CAT_NOME,0)),"Sem categoria"))</f>
        <v/>
      </c>
      <c r="E1242" s="75">
        <f>IF($C1242="","",IFERROR(INDEX(CAT_GRUPO,MATCH($C1242,CAT_NOME,0)),"Sem categoria"))</f>
        <v/>
      </c>
      <c r="F1242" s="76" t="n"/>
      <c r="G1242" s="74" t="n"/>
      <c r="H1242" s="74" t="n"/>
      <c r="I1242" s="74" t="n"/>
      <c r="J1242" s="77" t="n"/>
      <c r="K1242" s="77" t="n"/>
      <c r="L1242" s="74" t="n"/>
      <c r="M1242" s="74" t="n"/>
      <c r="O1242" s="78">
        <f>IF($A1242="","",YEAR($A1242)*100+MONTH($A1242))</f>
        <v/>
      </c>
      <c r="P1242" s="79">
        <f>IF(OR($F1242="",$D1242=""),"",IF($D1242="Receita",$F1242,IF($D1242="Transferência",0,-$F1242)))</f>
        <v/>
      </c>
    </row>
    <row r="1243">
      <c r="A1243" s="73" t="n"/>
      <c r="B1243" s="74" t="n"/>
      <c r="C1243" s="74" t="n"/>
      <c r="D1243" s="75">
        <f>IF($C1243="","",IFERROR(INDEX(CAT_TIPO,MATCH($C1243,CAT_NOME,0)),"Sem categoria"))</f>
        <v/>
      </c>
      <c r="E1243" s="75">
        <f>IF($C1243="","",IFERROR(INDEX(CAT_GRUPO,MATCH($C1243,CAT_NOME,0)),"Sem categoria"))</f>
        <v/>
      </c>
      <c r="F1243" s="76" t="n"/>
      <c r="G1243" s="74" t="n"/>
      <c r="H1243" s="74" t="n"/>
      <c r="I1243" s="74" t="n"/>
      <c r="J1243" s="77" t="n"/>
      <c r="K1243" s="77" t="n"/>
      <c r="L1243" s="74" t="n"/>
      <c r="M1243" s="74" t="n"/>
      <c r="O1243" s="78">
        <f>IF($A1243="","",YEAR($A1243)*100+MONTH($A1243))</f>
        <v/>
      </c>
      <c r="P1243" s="79">
        <f>IF(OR($F1243="",$D1243=""),"",IF($D1243="Receita",$F1243,IF($D1243="Transferência",0,-$F1243)))</f>
        <v/>
      </c>
    </row>
    <row r="1244">
      <c r="A1244" s="73" t="n"/>
      <c r="B1244" s="74" t="n"/>
      <c r="C1244" s="74" t="n"/>
      <c r="D1244" s="75">
        <f>IF($C1244="","",IFERROR(INDEX(CAT_TIPO,MATCH($C1244,CAT_NOME,0)),"Sem categoria"))</f>
        <v/>
      </c>
      <c r="E1244" s="75">
        <f>IF($C1244="","",IFERROR(INDEX(CAT_GRUPO,MATCH($C1244,CAT_NOME,0)),"Sem categoria"))</f>
        <v/>
      </c>
      <c r="F1244" s="76" t="n"/>
      <c r="G1244" s="74" t="n"/>
      <c r="H1244" s="74" t="n"/>
      <c r="I1244" s="74" t="n"/>
      <c r="J1244" s="77" t="n"/>
      <c r="K1244" s="77" t="n"/>
      <c r="L1244" s="74" t="n"/>
      <c r="M1244" s="74" t="n"/>
      <c r="O1244" s="78">
        <f>IF($A1244="","",YEAR($A1244)*100+MONTH($A1244))</f>
        <v/>
      </c>
      <c r="P1244" s="79">
        <f>IF(OR($F1244="",$D1244=""),"",IF($D1244="Receita",$F1244,IF($D1244="Transferência",0,-$F1244)))</f>
        <v/>
      </c>
    </row>
    <row r="1245">
      <c r="A1245" s="73" t="n"/>
      <c r="B1245" s="74" t="n"/>
      <c r="C1245" s="74" t="n"/>
      <c r="D1245" s="75">
        <f>IF($C1245="","",IFERROR(INDEX(CAT_TIPO,MATCH($C1245,CAT_NOME,0)),"Sem categoria"))</f>
        <v/>
      </c>
      <c r="E1245" s="75">
        <f>IF($C1245="","",IFERROR(INDEX(CAT_GRUPO,MATCH($C1245,CAT_NOME,0)),"Sem categoria"))</f>
        <v/>
      </c>
      <c r="F1245" s="76" t="n"/>
      <c r="G1245" s="74" t="n"/>
      <c r="H1245" s="74" t="n"/>
      <c r="I1245" s="74" t="n"/>
      <c r="J1245" s="77" t="n"/>
      <c r="K1245" s="77" t="n"/>
      <c r="L1245" s="74" t="n"/>
      <c r="M1245" s="74" t="n"/>
      <c r="O1245" s="78">
        <f>IF($A1245="","",YEAR($A1245)*100+MONTH($A1245))</f>
        <v/>
      </c>
      <c r="P1245" s="79">
        <f>IF(OR($F1245="",$D1245=""),"",IF($D1245="Receita",$F1245,IF($D1245="Transferência",0,-$F1245)))</f>
        <v/>
      </c>
    </row>
    <row r="1246">
      <c r="A1246" s="73" t="n"/>
      <c r="B1246" s="74" t="n"/>
      <c r="C1246" s="74" t="n"/>
      <c r="D1246" s="75">
        <f>IF($C1246="","",IFERROR(INDEX(CAT_TIPO,MATCH($C1246,CAT_NOME,0)),"Sem categoria"))</f>
        <v/>
      </c>
      <c r="E1246" s="75">
        <f>IF($C1246="","",IFERROR(INDEX(CAT_GRUPO,MATCH($C1246,CAT_NOME,0)),"Sem categoria"))</f>
        <v/>
      </c>
      <c r="F1246" s="76" t="n"/>
      <c r="G1246" s="74" t="n"/>
      <c r="H1246" s="74" t="n"/>
      <c r="I1246" s="74" t="n"/>
      <c r="J1246" s="77" t="n"/>
      <c r="K1246" s="77" t="n"/>
      <c r="L1246" s="74" t="n"/>
      <c r="M1246" s="74" t="n"/>
      <c r="O1246" s="78">
        <f>IF($A1246="","",YEAR($A1246)*100+MONTH($A1246))</f>
        <v/>
      </c>
      <c r="P1246" s="79">
        <f>IF(OR($F1246="",$D1246=""),"",IF($D1246="Receita",$F1246,IF($D1246="Transferência",0,-$F1246)))</f>
        <v/>
      </c>
    </row>
    <row r="1247">
      <c r="A1247" s="73" t="n"/>
      <c r="B1247" s="74" t="n"/>
      <c r="C1247" s="74" t="n"/>
      <c r="D1247" s="75">
        <f>IF($C1247="","",IFERROR(INDEX(CAT_TIPO,MATCH($C1247,CAT_NOME,0)),"Sem categoria"))</f>
        <v/>
      </c>
      <c r="E1247" s="75">
        <f>IF($C1247="","",IFERROR(INDEX(CAT_GRUPO,MATCH($C1247,CAT_NOME,0)),"Sem categoria"))</f>
        <v/>
      </c>
      <c r="F1247" s="76" t="n"/>
      <c r="G1247" s="74" t="n"/>
      <c r="H1247" s="74" t="n"/>
      <c r="I1247" s="74" t="n"/>
      <c r="J1247" s="77" t="n"/>
      <c r="K1247" s="77" t="n"/>
      <c r="L1247" s="74" t="n"/>
      <c r="M1247" s="74" t="n"/>
      <c r="O1247" s="78">
        <f>IF($A1247="","",YEAR($A1247)*100+MONTH($A1247))</f>
        <v/>
      </c>
      <c r="P1247" s="79">
        <f>IF(OR($F1247="",$D1247=""),"",IF($D1247="Receita",$F1247,IF($D1247="Transferência",0,-$F1247)))</f>
        <v/>
      </c>
    </row>
    <row r="1248">
      <c r="A1248" s="73" t="n"/>
      <c r="B1248" s="74" t="n"/>
      <c r="C1248" s="74" t="n"/>
      <c r="D1248" s="75">
        <f>IF($C1248="","",IFERROR(INDEX(CAT_TIPO,MATCH($C1248,CAT_NOME,0)),"Sem categoria"))</f>
        <v/>
      </c>
      <c r="E1248" s="75">
        <f>IF($C1248="","",IFERROR(INDEX(CAT_GRUPO,MATCH($C1248,CAT_NOME,0)),"Sem categoria"))</f>
        <v/>
      </c>
      <c r="F1248" s="76" t="n"/>
      <c r="G1248" s="74" t="n"/>
      <c r="H1248" s="74" t="n"/>
      <c r="I1248" s="74" t="n"/>
      <c r="J1248" s="77" t="n"/>
      <c r="K1248" s="77" t="n"/>
      <c r="L1248" s="74" t="n"/>
      <c r="M1248" s="74" t="n"/>
      <c r="O1248" s="78">
        <f>IF($A1248="","",YEAR($A1248)*100+MONTH($A1248))</f>
        <v/>
      </c>
      <c r="P1248" s="79">
        <f>IF(OR($F1248="",$D1248=""),"",IF($D1248="Receita",$F1248,IF($D1248="Transferência",0,-$F1248)))</f>
        <v/>
      </c>
    </row>
    <row r="1249">
      <c r="A1249" s="73" t="n"/>
      <c r="B1249" s="74" t="n"/>
      <c r="C1249" s="74" t="n"/>
      <c r="D1249" s="75">
        <f>IF($C1249="","",IFERROR(INDEX(CAT_TIPO,MATCH($C1249,CAT_NOME,0)),"Sem categoria"))</f>
        <v/>
      </c>
      <c r="E1249" s="75">
        <f>IF($C1249="","",IFERROR(INDEX(CAT_GRUPO,MATCH($C1249,CAT_NOME,0)),"Sem categoria"))</f>
        <v/>
      </c>
      <c r="F1249" s="76" t="n"/>
      <c r="G1249" s="74" t="n"/>
      <c r="H1249" s="74" t="n"/>
      <c r="I1249" s="74" t="n"/>
      <c r="J1249" s="77" t="n"/>
      <c r="K1249" s="77" t="n"/>
      <c r="L1249" s="74" t="n"/>
      <c r="M1249" s="74" t="n"/>
      <c r="O1249" s="78">
        <f>IF($A1249="","",YEAR($A1249)*100+MONTH($A1249))</f>
        <v/>
      </c>
      <c r="P1249" s="79">
        <f>IF(OR($F1249="",$D1249=""),"",IF($D1249="Receita",$F1249,IF($D1249="Transferência",0,-$F1249)))</f>
        <v/>
      </c>
    </row>
    <row r="1250">
      <c r="A1250" s="73" t="n"/>
      <c r="B1250" s="74" t="n"/>
      <c r="C1250" s="74" t="n"/>
      <c r="D1250" s="75">
        <f>IF($C1250="","",IFERROR(INDEX(CAT_TIPO,MATCH($C1250,CAT_NOME,0)),"Sem categoria"))</f>
        <v/>
      </c>
      <c r="E1250" s="75">
        <f>IF($C1250="","",IFERROR(INDEX(CAT_GRUPO,MATCH($C1250,CAT_NOME,0)),"Sem categoria"))</f>
        <v/>
      </c>
      <c r="F1250" s="76" t="n"/>
      <c r="G1250" s="74" t="n"/>
      <c r="H1250" s="74" t="n"/>
      <c r="I1250" s="74" t="n"/>
      <c r="J1250" s="77" t="n"/>
      <c r="K1250" s="77" t="n"/>
      <c r="L1250" s="74" t="n"/>
      <c r="M1250" s="74" t="n"/>
      <c r="O1250" s="78">
        <f>IF($A1250="","",YEAR($A1250)*100+MONTH($A1250))</f>
        <v/>
      </c>
      <c r="P1250" s="79">
        <f>IF(OR($F1250="",$D1250=""),"",IF($D1250="Receita",$F1250,IF($D1250="Transferência",0,-$F1250)))</f>
        <v/>
      </c>
    </row>
    <row r="1251">
      <c r="A1251" s="73" t="n"/>
      <c r="B1251" s="74" t="n"/>
      <c r="C1251" s="74" t="n"/>
      <c r="D1251" s="75">
        <f>IF($C1251="","",IFERROR(INDEX(CAT_TIPO,MATCH($C1251,CAT_NOME,0)),"Sem categoria"))</f>
        <v/>
      </c>
      <c r="E1251" s="75">
        <f>IF($C1251="","",IFERROR(INDEX(CAT_GRUPO,MATCH($C1251,CAT_NOME,0)),"Sem categoria"))</f>
        <v/>
      </c>
      <c r="F1251" s="76" t="n"/>
      <c r="G1251" s="74" t="n"/>
      <c r="H1251" s="74" t="n"/>
      <c r="I1251" s="74" t="n"/>
      <c r="J1251" s="77" t="n"/>
      <c r="K1251" s="77" t="n"/>
      <c r="L1251" s="74" t="n"/>
      <c r="M1251" s="74" t="n"/>
      <c r="O1251" s="78">
        <f>IF($A1251="","",YEAR($A1251)*100+MONTH($A1251))</f>
        <v/>
      </c>
      <c r="P1251" s="79">
        <f>IF(OR($F1251="",$D1251=""),"",IF($D1251="Receita",$F1251,IF($D1251="Transferência",0,-$F1251)))</f>
        <v/>
      </c>
    </row>
    <row r="1252">
      <c r="A1252" s="73" t="n"/>
      <c r="B1252" s="74" t="n"/>
      <c r="C1252" s="74" t="n"/>
      <c r="D1252" s="75">
        <f>IF($C1252="","",IFERROR(INDEX(CAT_TIPO,MATCH($C1252,CAT_NOME,0)),"Sem categoria"))</f>
        <v/>
      </c>
      <c r="E1252" s="75">
        <f>IF($C1252="","",IFERROR(INDEX(CAT_GRUPO,MATCH($C1252,CAT_NOME,0)),"Sem categoria"))</f>
        <v/>
      </c>
      <c r="F1252" s="76" t="n"/>
      <c r="G1252" s="74" t="n"/>
      <c r="H1252" s="74" t="n"/>
      <c r="I1252" s="74" t="n"/>
      <c r="J1252" s="77" t="n"/>
      <c r="K1252" s="77" t="n"/>
      <c r="L1252" s="74" t="n"/>
      <c r="M1252" s="74" t="n"/>
      <c r="O1252" s="78">
        <f>IF($A1252="","",YEAR($A1252)*100+MONTH($A1252))</f>
        <v/>
      </c>
      <c r="P1252" s="79">
        <f>IF(OR($F1252="",$D1252=""),"",IF($D1252="Receita",$F1252,IF($D1252="Transferência",0,-$F1252)))</f>
        <v/>
      </c>
    </row>
    <row r="1253">
      <c r="A1253" s="73" t="n"/>
      <c r="B1253" s="74" t="n"/>
      <c r="C1253" s="74" t="n"/>
      <c r="D1253" s="75">
        <f>IF($C1253="","",IFERROR(INDEX(CAT_TIPO,MATCH($C1253,CAT_NOME,0)),"Sem categoria"))</f>
        <v/>
      </c>
      <c r="E1253" s="75">
        <f>IF($C1253="","",IFERROR(INDEX(CAT_GRUPO,MATCH($C1253,CAT_NOME,0)),"Sem categoria"))</f>
        <v/>
      </c>
      <c r="F1253" s="76" t="n"/>
      <c r="G1253" s="74" t="n"/>
      <c r="H1253" s="74" t="n"/>
      <c r="I1253" s="74" t="n"/>
      <c r="J1253" s="77" t="n"/>
      <c r="K1253" s="77" t="n"/>
      <c r="L1253" s="74" t="n"/>
      <c r="M1253" s="74" t="n"/>
      <c r="O1253" s="78">
        <f>IF($A1253="","",YEAR($A1253)*100+MONTH($A1253))</f>
        <v/>
      </c>
      <c r="P1253" s="79">
        <f>IF(OR($F1253="",$D1253=""),"",IF($D1253="Receita",$F1253,IF($D1253="Transferência",0,-$F1253)))</f>
        <v/>
      </c>
    </row>
    <row r="1254">
      <c r="A1254" s="73" t="n"/>
      <c r="B1254" s="74" t="n"/>
      <c r="C1254" s="74" t="n"/>
      <c r="D1254" s="75">
        <f>IF($C1254="","",IFERROR(INDEX(CAT_TIPO,MATCH($C1254,CAT_NOME,0)),"Sem categoria"))</f>
        <v/>
      </c>
      <c r="E1254" s="75">
        <f>IF($C1254="","",IFERROR(INDEX(CAT_GRUPO,MATCH($C1254,CAT_NOME,0)),"Sem categoria"))</f>
        <v/>
      </c>
      <c r="F1254" s="76" t="n"/>
      <c r="G1254" s="74" t="n"/>
      <c r="H1254" s="74" t="n"/>
      <c r="I1254" s="74" t="n"/>
      <c r="J1254" s="77" t="n"/>
      <c r="K1254" s="77" t="n"/>
      <c r="L1254" s="74" t="n"/>
      <c r="M1254" s="74" t="n"/>
      <c r="O1254" s="78">
        <f>IF($A1254="","",YEAR($A1254)*100+MONTH($A1254))</f>
        <v/>
      </c>
      <c r="P1254" s="79">
        <f>IF(OR($F1254="",$D1254=""),"",IF($D1254="Receita",$F1254,IF($D1254="Transferência",0,-$F1254)))</f>
        <v/>
      </c>
    </row>
    <row r="1255">
      <c r="A1255" s="73" t="n"/>
      <c r="B1255" s="74" t="n"/>
      <c r="C1255" s="74" t="n"/>
      <c r="D1255" s="75">
        <f>IF($C1255="","",IFERROR(INDEX(CAT_TIPO,MATCH($C1255,CAT_NOME,0)),"Sem categoria"))</f>
        <v/>
      </c>
      <c r="E1255" s="75">
        <f>IF($C1255="","",IFERROR(INDEX(CAT_GRUPO,MATCH($C1255,CAT_NOME,0)),"Sem categoria"))</f>
        <v/>
      </c>
      <c r="F1255" s="76" t="n"/>
      <c r="G1255" s="74" t="n"/>
      <c r="H1255" s="74" t="n"/>
      <c r="I1255" s="74" t="n"/>
      <c r="J1255" s="77" t="n"/>
      <c r="K1255" s="77" t="n"/>
      <c r="L1255" s="74" t="n"/>
      <c r="M1255" s="74" t="n"/>
      <c r="O1255" s="78">
        <f>IF($A1255="","",YEAR($A1255)*100+MONTH($A1255))</f>
        <v/>
      </c>
      <c r="P1255" s="79">
        <f>IF(OR($F1255="",$D1255=""),"",IF($D1255="Receita",$F1255,IF($D1255="Transferência",0,-$F1255)))</f>
        <v/>
      </c>
    </row>
    <row r="1256">
      <c r="A1256" s="73" t="n"/>
      <c r="B1256" s="74" t="n"/>
      <c r="C1256" s="74" t="n"/>
      <c r="D1256" s="75">
        <f>IF($C1256="","",IFERROR(INDEX(CAT_TIPO,MATCH($C1256,CAT_NOME,0)),"Sem categoria"))</f>
        <v/>
      </c>
      <c r="E1256" s="75">
        <f>IF($C1256="","",IFERROR(INDEX(CAT_GRUPO,MATCH($C1256,CAT_NOME,0)),"Sem categoria"))</f>
        <v/>
      </c>
      <c r="F1256" s="76" t="n"/>
      <c r="G1256" s="74" t="n"/>
      <c r="H1256" s="74" t="n"/>
      <c r="I1256" s="74" t="n"/>
      <c r="J1256" s="77" t="n"/>
      <c r="K1256" s="77" t="n"/>
      <c r="L1256" s="74" t="n"/>
      <c r="M1256" s="74" t="n"/>
      <c r="O1256" s="78">
        <f>IF($A1256="","",YEAR($A1256)*100+MONTH($A1256))</f>
        <v/>
      </c>
      <c r="P1256" s="79">
        <f>IF(OR($F1256="",$D1256=""),"",IF($D1256="Receita",$F1256,IF($D1256="Transferência",0,-$F1256)))</f>
        <v/>
      </c>
    </row>
    <row r="1257">
      <c r="A1257" s="73" t="n"/>
      <c r="B1257" s="74" t="n"/>
      <c r="C1257" s="74" t="n"/>
      <c r="D1257" s="75">
        <f>IF($C1257="","",IFERROR(INDEX(CAT_TIPO,MATCH($C1257,CAT_NOME,0)),"Sem categoria"))</f>
        <v/>
      </c>
      <c r="E1257" s="75">
        <f>IF($C1257="","",IFERROR(INDEX(CAT_GRUPO,MATCH($C1257,CAT_NOME,0)),"Sem categoria"))</f>
        <v/>
      </c>
      <c r="F1257" s="76" t="n"/>
      <c r="G1257" s="74" t="n"/>
      <c r="H1257" s="74" t="n"/>
      <c r="I1257" s="74" t="n"/>
      <c r="J1257" s="77" t="n"/>
      <c r="K1257" s="77" t="n"/>
      <c r="L1257" s="74" t="n"/>
      <c r="M1257" s="74" t="n"/>
      <c r="O1257" s="78">
        <f>IF($A1257="","",YEAR($A1257)*100+MONTH($A1257))</f>
        <v/>
      </c>
      <c r="P1257" s="79">
        <f>IF(OR($F1257="",$D1257=""),"",IF($D1257="Receita",$F1257,IF($D1257="Transferência",0,-$F1257)))</f>
        <v/>
      </c>
    </row>
    <row r="1258">
      <c r="A1258" s="73" t="n"/>
      <c r="B1258" s="74" t="n"/>
      <c r="C1258" s="74" t="n"/>
      <c r="D1258" s="75">
        <f>IF($C1258="","",IFERROR(INDEX(CAT_TIPO,MATCH($C1258,CAT_NOME,0)),"Sem categoria"))</f>
        <v/>
      </c>
      <c r="E1258" s="75">
        <f>IF($C1258="","",IFERROR(INDEX(CAT_GRUPO,MATCH($C1258,CAT_NOME,0)),"Sem categoria"))</f>
        <v/>
      </c>
      <c r="F1258" s="76" t="n"/>
      <c r="G1258" s="74" t="n"/>
      <c r="H1258" s="74" t="n"/>
      <c r="I1258" s="74" t="n"/>
      <c r="J1258" s="77" t="n"/>
      <c r="K1258" s="77" t="n"/>
      <c r="L1258" s="74" t="n"/>
      <c r="M1258" s="74" t="n"/>
      <c r="O1258" s="78">
        <f>IF($A1258="","",YEAR($A1258)*100+MONTH($A1258))</f>
        <v/>
      </c>
      <c r="P1258" s="79">
        <f>IF(OR($F1258="",$D1258=""),"",IF($D1258="Receita",$F1258,IF($D1258="Transferência",0,-$F1258)))</f>
        <v/>
      </c>
    </row>
    <row r="1259">
      <c r="A1259" s="73" t="n"/>
      <c r="B1259" s="74" t="n"/>
      <c r="C1259" s="74" t="n"/>
      <c r="D1259" s="75">
        <f>IF($C1259="","",IFERROR(INDEX(CAT_TIPO,MATCH($C1259,CAT_NOME,0)),"Sem categoria"))</f>
        <v/>
      </c>
      <c r="E1259" s="75">
        <f>IF($C1259="","",IFERROR(INDEX(CAT_GRUPO,MATCH($C1259,CAT_NOME,0)),"Sem categoria"))</f>
        <v/>
      </c>
      <c r="F1259" s="76" t="n"/>
      <c r="G1259" s="74" t="n"/>
      <c r="H1259" s="74" t="n"/>
      <c r="I1259" s="74" t="n"/>
      <c r="J1259" s="77" t="n"/>
      <c r="K1259" s="77" t="n"/>
      <c r="L1259" s="74" t="n"/>
      <c r="M1259" s="74" t="n"/>
      <c r="O1259" s="78">
        <f>IF($A1259="","",YEAR($A1259)*100+MONTH($A1259))</f>
        <v/>
      </c>
      <c r="P1259" s="79">
        <f>IF(OR($F1259="",$D1259=""),"",IF($D1259="Receita",$F1259,IF($D1259="Transferência",0,-$F1259)))</f>
        <v/>
      </c>
    </row>
    <row r="1260">
      <c r="A1260" s="73" t="n"/>
      <c r="B1260" s="74" t="n"/>
      <c r="C1260" s="74" t="n"/>
      <c r="D1260" s="75">
        <f>IF($C1260="","",IFERROR(INDEX(CAT_TIPO,MATCH($C1260,CAT_NOME,0)),"Sem categoria"))</f>
        <v/>
      </c>
      <c r="E1260" s="75">
        <f>IF($C1260="","",IFERROR(INDEX(CAT_GRUPO,MATCH($C1260,CAT_NOME,0)),"Sem categoria"))</f>
        <v/>
      </c>
      <c r="F1260" s="76" t="n"/>
      <c r="G1260" s="74" t="n"/>
      <c r="H1260" s="74" t="n"/>
      <c r="I1260" s="74" t="n"/>
      <c r="J1260" s="77" t="n"/>
      <c r="K1260" s="77" t="n"/>
      <c r="L1260" s="74" t="n"/>
      <c r="M1260" s="74" t="n"/>
      <c r="O1260" s="78">
        <f>IF($A1260="","",YEAR($A1260)*100+MONTH($A1260))</f>
        <v/>
      </c>
      <c r="P1260" s="79">
        <f>IF(OR($F1260="",$D1260=""),"",IF($D1260="Receita",$F1260,IF($D1260="Transferência",0,-$F1260)))</f>
        <v/>
      </c>
    </row>
    <row r="1261">
      <c r="A1261" s="73" t="n"/>
      <c r="B1261" s="74" t="n"/>
      <c r="C1261" s="74" t="n"/>
      <c r="D1261" s="75">
        <f>IF($C1261="","",IFERROR(INDEX(CAT_TIPO,MATCH($C1261,CAT_NOME,0)),"Sem categoria"))</f>
        <v/>
      </c>
      <c r="E1261" s="75">
        <f>IF($C1261="","",IFERROR(INDEX(CAT_GRUPO,MATCH($C1261,CAT_NOME,0)),"Sem categoria"))</f>
        <v/>
      </c>
      <c r="F1261" s="76" t="n"/>
      <c r="G1261" s="74" t="n"/>
      <c r="H1261" s="74" t="n"/>
      <c r="I1261" s="74" t="n"/>
      <c r="J1261" s="77" t="n"/>
      <c r="K1261" s="77" t="n"/>
      <c r="L1261" s="74" t="n"/>
      <c r="M1261" s="74" t="n"/>
      <c r="O1261" s="78">
        <f>IF($A1261="","",YEAR($A1261)*100+MONTH($A1261))</f>
        <v/>
      </c>
      <c r="P1261" s="79">
        <f>IF(OR($F1261="",$D1261=""),"",IF($D1261="Receita",$F1261,IF($D1261="Transferência",0,-$F1261)))</f>
        <v/>
      </c>
    </row>
    <row r="1262">
      <c r="A1262" s="73" t="n"/>
      <c r="B1262" s="74" t="n"/>
      <c r="C1262" s="74" t="n"/>
      <c r="D1262" s="75">
        <f>IF($C1262="","",IFERROR(INDEX(CAT_TIPO,MATCH($C1262,CAT_NOME,0)),"Sem categoria"))</f>
        <v/>
      </c>
      <c r="E1262" s="75">
        <f>IF($C1262="","",IFERROR(INDEX(CAT_GRUPO,MATCH($C1262,CAT_NOME,0)),"Sem categoria"))</f>
        <v/>
      </c>
      <c r="F1262" s="76" t="n"/>
      <c r="G1262" s="74" t="n"/>
      <c r="H1262" s="74" t="n"/>
      <c r="I1262" s="74" t="n"/>
      <c r="J1262" s="77" t="n"/>
      <c r="K1262" s="77" t="n"/>
      <c r="L1262" s="74" t="n"/>
      <c r="M1262" s="74" t="n"/>
      <c r="O1262" s="78">
        <f>IF($A1262="","",YEAR($A1262)*100+MONTH($A1262))</f>
        <v/>
      </c>
      <c r="P1262" s="79">
        <f>IF(OR($F1262="",$D1262=""),"",IF($D1262="Receita",$F1262,IF($D1262="Transferência",0,-$F1262)))</f>
        <v/>
      </c>
    </row>
    <row r="1263">
      <c r="A1263" s="73" t="n"/>
      <c r="B1263" s="74" t="n"/>
      <c r="C1263" s="74" t="n"/>
      <c r="D1263" s="75">
        <f>IF($C1263="","",IFERROR(INDEX(CAT_TIPO,MATCH($C1263,CAT_NOME,0)),"Sem categoria"))</f>
        <v/>
      </c>
      <c r="E1263" s="75">
        <f>IF($C1263="","",IFERROR(INDEX(CAT_GRUPO,MATCH($C1263,CAT_NOME,0)),"Sem categoria"))</f>
        <v/>
      </c>
      <c r="F1263" s="76" t="n"/>
      <c r="G1263" s="74" t="n"/>
      <c r="H1263" s="74" t="n"/>
      <c r="I1263" s="74" t="n"/>
      <c r="J1263" s="77" t="n"/>
      <c r="K1263" s="77" t="n"/>
      <c r="L1263" s="74" t="n"/>
      <c r="M1263" s="74" t="n"/>
      <c r="O1263" s="78">
        <f>IF($A1263="","",YEAR($A1263)*100+MONTH($A1263))</f>
        <v/>
      </c>
      <c r="P1263" s="79">
        <f>IF(OR($F1263="",$D1263=""),"",IF($D1263="Receita",$F1263,IF($D1263="Transferência",0,-$F1263)))</f>
        <v/>
      </c>
    </row>
    <row r="1264">
      <c r="A1264" s="73" t="n"/>
      <c r="B1264" s="74" t="n"/>
      <c r="C1264" s="74" t="n"/>
      <c r="D1264" s="75">
        <f>IF($C1264="","",IFERROR(INDEX(CAT_TIPO,MATCH($C1264,CAT_NOME,0)),"Sem categoria"))</f>
        <v/>
      </c>
      <c r="E1264" s="75">
        <f>IF($C1264="","",IFERROR(INDEX(CAT_GRUPO,MATCH($C1264,CAT_NOME,0)),"Sem categoria"))</f>
        <v/>
      </c>
      <c r="F1264" s="76" t="n"/>
      <c r="G1264" s="74" t="n"/>
      <c r="H1264" s="74" t="n"/>
      <c r="I1264" s="74" t="n"/>
      <c r="J1264" s="77" t="n"/>
      <c r="K1264" s="77" t="n"/>
      <c r="L1264" s="74" t="n"/>
      <c r="M1264" s="74" t="n"/>
      <c r="O1264" s="78">
        <f>IF($A1264="","",YEAR($A1264)*100+MONTH($A1264))</f>
        <v/>
      </c>
      <c r="P1264" s="79">
        <f>IF(OR($F1264="",$D1264=""),"",IF($D1264="Receita",$F1264,IF($D1264="Transferência",0,-$F1264)))</f>
        <v/>
      </c>
    </row>
    <row r="1265">
      <c r="A1265" s="73" t="n"/>
      <c r="B1265" s="74" t="n"/>
      <c r="C1265" s="74" t="n"/>
      <c r="D1265" s="75">
        <f>IF($C1265="","",IFERROR(INDEX(CAT_TIPO,MATCH($C1265,CAT_NOME,0)),"Sem categoria"))</f>
        <v/>
      </c>
      <c r="E1265" s="75">
        <f>IF($C1265="","",IFERROR(INDEX(CAT_GRUPO,MATCH($C1265,CAT_NOME,0)),"Sem categoria"))</f>
        <v/>
      </c>
      <c r="F1265" s="76" t="n"/>
      <c r="G1265" s="74" t="n"/>
      <c r="H1265" s="74" t="n"/>
      <c r="I1265" s="74" t="n"/>
      <c r="J1265" s="77" t="n"/>
      <c r="K1265" s="77" t="n"/>
      <c r="L1265" s="74" t="n"/>
      <c r="M1265" s="74" t="n"/>
      <c r="O1265" s="78">
        <f>IF($A1265="","",YEAR($A1265)*100+MONTH($A1265))</f>
        <v/>
      </c>
      <c r="P1265" s="79">
        <f>IF(OR($F1265="",$D1265=""),"",IF($D1265="Receita",$F1265,IF($D1265="Transferência",0,-$F1265)))</f>
        <v/>
      </c>
    </row>
    <row r="1266">
      <c r="A1266" s="73" t="n"/>
      <c r="B1266" s="74" t="n"/>
      <c r="C1266" s="74" t="n"/>
      <c r="D1266" s="75">
        <f>IF($C1266="","",IFERROR(INDEX(CAT_TIPO,MATCH($C1266,CAT_NOME,0)),"Sem categoria"))</f>
        <v/>
      </c>
      <c r="E1266" s="75">
        <f>IF($C1266="","",IFERROR(INDEX(CAT_GRUPO,MATCH($C1266,CAT_NOME,0)),"Sem categoria"))</f>
        <v/>
      </c>
      <c r="F1266" s="76" t="n"/>
      <c r="G1266" s="74" t="n"/>
      <c r="H1266" s="74" t="n"/>
      <c r="I1266" s="74" t="n"/>
      <c r="J1266" s="77" t="n"/>
      <c r="K1266" s="77" t="n"/>
      <c r="L1266" s="74" t="n"/>
      <c r="M1266" s="74" t="n"/>
      <c r="O1266" s="78">
        <f>IF($A1266="","",YEAR($A1266)*100+MONTH($A1266))</f>
        <v/>
      </c>
      <c r="P1266" s="79">
        <f>IF(OR($F1266="",$D1266=""),"",IF($D1266="Receita",$F1266,IF($D1266="Transferência",0,-$F1266)))</f>
        <v/>
      </c>
    </row>
    <row r="1267">
      <c r="A1267" s="73" t="n"/>
      <c r="B1267" s="74" t="n"/>
      <c r="C1267" s="74" t="n"/>
      <c r="D1267" s="75">
        <f>IF($C1267="","",IFERROR(INDEX(CAT_TIPO,MATCH($C1267,CAT_NOME,0)),"Sem categoria"))</f>
        <v/>
      </c>
      <c r="E1267" s="75">
        <f>IF($C1267="","",IFERROR(INDEX(CAT_GRUPO,MATCH($C1267,CAT_NOME,0)),"Sem categoria"))</f>
        <v/>
      </c>
      <c r="F1267" s="76" t="n"/>
      <c r="G1267" s="74" t="n"/>
      <c r="H1267" s="74" t="n"/>
      <c r="I1267" s="74" t="n"/>
      <c r="J1267" s="77" t="n"/>
      <c r="K1267" s="77" t="n"/>
      <c r="L1267" s="74" t="n"/>
      <c r="M1267" s="74" t="n"/>
      <c r="O1267" s="78">
        <f>IF($A1267="","",YEAR($A1267)*100+MONTH($A1267))</f>
        <v/>
      </c>
      <c r="P1267" s="79">
        <f>IF(OR($F1267="",$D1267=""),"",IF($D1267="Receita",$F1267,IF($D1267="Transferência",0,-$F1267)))</f>
        <v/>
      </c>
    </row>
    <row r="1268">
      <c r="A1268" s="73" t="n"/>
      <c r="B1268" s="74" t="n"/>
      <c r="C1268" s="74" t="n"/>
      <c r="D1268" s="75">
        <f>IF($C1268="","",IFERROR(INDEX(CAT_TIPO,MATCH($C1268,CAT_NOME,0)),"Sem categoria"))</f>
        <v/>
      </c>
      <c r="E1268" s="75">
        <f>IF($C1268="","",IFERROR(INDEX(CAT_GRUPO,MATCH($C1268,CAT_NOME,0)),"Sem categoria"))</f>
        <v/>
      </c>
      <c r="F1268" s="76" t="n"/>
      <c r="G1268" s="74" t="n"/>
      <c r="H1268" s="74" t="n"/>
      <c r="I1268" s="74" t="n"/>
      <c r="J1268" s="77" t="n"/>
      <c r="K1268" s="77" t="n"/>
      <c r="L1268" s="74" t="n"/>
      <c r="M1268" s="74" t="n"/>
      <c r="O1268" s="78">
        <f>IF($A1268="","",YEAR($A1268)*100+MONTH($A1268))</f>
        <v/>
      </c>
      <c r="P1268" s="79">
        <f>IF(OR($F1268="",$D1268=""),"",IF($D1268="Receita",$F1268,IF($D1268="Transferência",0,-$F1268)))</f>
        <v/>
      </c>
    </row>
    <row r="1269">
      <c r="A1269" s="73" t="n"/>
      <c r="B1269" s="74" t="n"/>
      <c r="C1269" s="74" t="n"/>
      <c r="D1269" s="75">
        <f>IF($C1269="","",IFERROR(INDEX(CAT_TIPO,MATCH($C1269,CAT_NOME,0)),"Sem categoria"))</f>
        <v/>
      </c>
      <c r="E1269" s="75">
        <f>IF($C1269="","",IFERROR(INDEX(CAT_GRUPO,MATCH($C1269,CAT_NOME,0)),"Sem categoria"))</f>
        <v/>
      </c>
      <c r="F1269" s="76" t="n"/>
      <c r="G1269" s="74" t="n"/>
      <c r="H1269" s="74" t="n"/>
      <c r="I1269" s="74" t="n"/>
      <c r="J1269" s="77" t="n"/>
      <c r="K1269" s="77" t="n"/>
      <c r="L1269" s="74" t="n"/>
      <c r="M1269" s="74" t="n"/>
      <c r="O1269" s="78">
        <f>IF($A1269="","",YEAR($A1269)*100+MONTH($A1269))</f>
        <v/>
      </c>
      <c r="P1269" s="79">
        <f>IF(OR($F1269="",$D1269=""),"",IF($D1269="Receita",$F1269,IF($D1269="Transferência",0,-$F1269)))</f>
        <v/>
      </c>
    </row>
    <row r="1270">
      <c r="A1270" s="73" t="n"/>
      <c r="B1270" s="74" t="n"/>
      <c r="C1270" s="74" t="n"/>
      <c r="D1270" s="75">
        <f>IF($C1270="","",IFERROR(INDEX(CAT_TIPO,MATCH($C1270,CAT_NOME,0)),"Sem categoria"))</f>
        <v/>
      </c>
      <c r="E1270" s="75">
        <f>IF($C1270="","",IFERROR(INDEX(CAT_GRUPO,MATCH($C1270,CAT_NOME,0)),"Sem categoria"))</f>
        <v/>
      </c>
      <c r="F1270" s="76" t="n"/>
      <c r="G1270" s="74" t="n"/>
      <c r="H1270" s="74" t="n"/>
      <c r="I1270" s="74" t="n"/>
      <c r="J1270" s="77" t="n"/>
      <c r="K1270" s="77" t="n"/>
      <c r="L1270" s="74" t="n"/>
      <c r="M1270" s="74" t="n"/>
      <c r="O1270" s="78">
        <f>IF($A1270="","",YEAR($A1270)*100+MONTH($A1270))</f>
        <v/>
      </c>
      <c r="P1270" s="79">
        <f>IF(OR($F1270="",$D1270=""),"",IF($D1270="Receita",$F1270,IF($D1270="Transferência",0,-$F1270)))</f>
        <v/>
      </c>
    </row>
    <row r="1271">
      <c r="A1271" s="73" t="n"/>
      <c r="B1271" s="74" t="n"/>
      <c r="C1271" s="74" t="n"/>
      <c r="D1271" s="75">
        <f>IF($C1271="","",IFERROR(INDEX(CAT_TIPO,MATCH($C1271,CAT_NOME,0)),"Sem categoria"))</f>
        <v/>
      </c>
      <c r="E1271" s="75">
        <f>IF($C1271="","",IFERROR(INDEX(CAT_GRUPO,MATCH($C1271,CAT_NOME,0)),"Sem categoria"))</f>
        <v/>
      </c>
      <c r="F1271" s="76" t="n"/>
      <c r="G1271" s="74" t="n"/>
      <c r="H1271" s="74" t="n"/>
      <c r="I1271" s="74" t="n"/>
      <c r="J1271" s="77" t="n"/>
      <c r="K1271" s="77" t="n"/>
      <c r="L1271" s="74" t="n"/>
      <c r="M1271" s="74" t="n"/>
      <c r="O1271" s="78">
        <f>IF($A1271="","",YEAR($A1271)*100+MONTH($A1271))</f>
        <v/>
      </c>
      <c r="P1271" s="79">
        <f>IF(OR($F1271="",$D1271=""),"",IF($D1271="Receita",$F1271,IF($D1271="Transferência",0,-$F1271)))</f>
        <v/>
      </c>
    </row>
    <row r="1272">
      <c r="A1272" s="73" t="n"/>
      <c r="B1272" s="74" t="n"/>
      <c r="C1272" s="74" t="n"/>
      <c r="D1272" s="75">
        <f>IF($C1272="","",IFERROR(INDEX(CAT_TIPO,MATCH($C1272,CAT_NOME,0)),"Sem categoria"))</f>
        <v/>
      </c>
      <c r="E1272" s="75">
        <f>IF($C1272="","",IFERROR(INDEX(CAT_GRUPO,MATCH($C1272,CAT_NOME,0)),"Sem categoria"))</f>
        <v/>
      </c>
      <c r="F1272" s="76" t="n"/>
      <c r="G1272" s="74" t="n"/>
      <c r="H1272" s="74" t="n"/>
      <c r="I1272" s="74" t="n"/>
      <c r="J1272" s="77" t="n"/>
      <c r="K1272" s="77" t="n"/>
      <c r="L1272" s="74" t="n"/>
      <c r="M1272" s="74" t="n"/>
      <c r="O1272" s="78">
        <f>IF($A1272="","",YEAR($A1272)*100+MONTH($A1272))</f>
        <v/>
      </c>
      <c r="P1272" s="79">
        <f>IF(OR($F1272="",$D1272=""),"",IF($D1272="Receita",$F1272,IF($D1272="Transferência",0,-$F1272)))</f>
        <v/>
      </c>
    </row>
    <row r="1273">
      <c r="A1273" s="73" t="n"/>
      <c r="B1273" s="74" t="n"/>
      <c r="C1273" s="74" t="n"/>
      <c r="D1273" s="75">
        <f>IF($C1273="","",IFERROR(INDEX(CAT_TIPO,MATCH($C1273,CAT_NOME,0)),"Sem categoria"))</f>
        <v/>
      </c>
      <c r="E1273" s="75">
        <f>IF($C1273="","",IFERROR(INDEX(CAT_GRUPO,MATCH($C1273,CAT_NOME,0)),"Sem categoria"))</f>
        <v/>
      </c>
      <c r="F1273" s="76" t="n"/>
      <c r="G1273" s="74" t="n"/>
      <c r="H1273" s="74" t="n"/>
      <c r="I1273" s="74" t="n"/>
      <c r="J1273" s="77" t="n"/>
      <c r="K1273" s="77" t="n"/>
      <c r="L1273" s="74" t="n"/>
      <c r="M1273" s="74" t="n"/>
      <c r="O1273" s="78">
        <f>IF($A1273="","",YEAR($A1273)*100+MONTH($A1273))</f>
        <v/>
      </c>
      <c r="P1273" s="79">
        <f>IF(OR($F1273="",$D1273=""),"",IF($D1273="Receita",$F1273,IF($D1273="Transferência",0,-$F1273)))</f>
        <v/>
      </c>
    </row>
    <row r="1274">
      <c r="A1274" s="73" t="n"/>
      <c r="B1274" s="74" t="n"/>
      <c r="C1274" s="74" t="n"/>
      <c r="D1274" s="75">
        <f>IF($C1274="","",IFERROR(INDEX(CAT_TIPO,MATCH($C1274,CAT_NOME,0)),"Sem categoria"))</f>
        <v/>
      </c>
      <c r="E1274" s="75">
        <f>IF($C1274="","",IFERROR(INDEX(CAT_GRUPO,MATCH($C1274,CAT_NOME,0)),"Sem categoria"))</f>
        <v/>
      </c>
      <c r="F1274" s="76" t="n"/>
      <c r="G1274" s="74" t="n"/>
      <c r="H1274" s="74" t="n"/>
      <c r="I1274" s="74" t="n"/>
      <c r="J1274" s="77" t="n"/>
      <c r="K1274" s="77" t="n"/>
      <c r="L1274" s="74" t="n"/>
      <c r="M1274" s="74" t="n"/>
      <c r="O1274" s="78">
        <f>IF($A1274="","",YEAR($A1274)*100+MONTH($A1274))</f>
        <v/>
      </c>
      <c r="P1274" s="79">
        <f>IF(OR($F1274="",$D1274=""),"",IF($D1274="Receita",$F1274,IF($D1274="Transferência",0,-$F1274)))</f>
        <v/>
      </c>
    </row>
    <row r="1275">
      <c r="A1275" s="73" t="n"/>
      <c r="B1275" s="74" t="n"/>
      <c r="C1275" s="74" t="n"/>
      <c r="D1275" s="75">
        <f>IF($C1275="","",IFERROR(INDEX(CAT_TIPO,MATCH($C1275,CAT_NOME,0)),"Sem categoria"))</f>
        <v/>
      </c>
      <c r="E1275" s="75">
        <f>IF($C1275="","",IFERROR(INDEX(CAT_GRUPO,MATCH($C1275,CAT_NOME,0)),"Sem categoria"))</f>
        <v/>
      </c>
      <c r="F1275" s="76" t="n"/>
      <c r="G1275" s="74" t="n"/>
      <c r="H1275" s="74" t="n"/>
      <c r="I1275" s="74" t="n"/>
      <c r="J1275" s="77" t="n"/>
      <c r="K1275" s="77" t="n"/>
      <c r="L1275" s="74" t="n"/>
      <c r="M1275" s="74" t="n"/>
      <c r="O1275" s="78">
        <f>IF($A1275="","",YEAR($A1275)*100+MONTH($A1275))</f>
        <v/>
      </c>
      <c r="P1275" s="79">
        <f>IF(OR($F1275="",$D1275=""),"",IF($D1275="Receita",$F1275,IF($D1275="Transferência",0,-$F1275)))</f>
        <v/>
      </c>
    </row>
    <row r="1276">
      <c r="A1276" s="73" t="n"/>
      <c r="B1276" s="74" t="n"/>
      <c r="C1276" s="74" t="n"/>
      <c r="D1276" s="75">
        <f>IF($C1276="","",IFERROR(INDEX(CAT_TIPO,MATCH($C1276,CAT_NOME,0)),"Sem categoria"))</f>
        <v/>
      </c>
      <c r="E1276" s="75">
        <f>IF($C1276="","",IFERROR(INDEX(CAT_GRUPO,MATCH($C1276,CAT_NOME,0)),"Sem categoria"))</f>
        <v/>
      </c>
      <c r="F1276" s="76" t="n"/>
      <c r="G1276" s="74" t="n"/>
      <c r="H1276" s="74" t="n"/>
      <c r="I1276" s="74" t="n"/>
      <c r="J1276" s="77" t="n"/>
      <c r="K1276" s="77" t="n"/>
      <c r="L1276" s="74" t="n"/>
      <c r="M1276" s="74" t="n"/>
      <c r="O1276" s="78">
        <f>IF($A1276="","",YEAR($A1276)*100+MONTH($A1276))</f>
        <v/>
      </c>
      <c r="P1276" s="79">
        <f>IF(OR($F1276="",$D1276=""),"",IF($D1276="Receita",$F1276,IF($D1276="Transferência",0,-$F1276)))</f>
        <v/>
      </c>
    </row>
    <row r="1277">
      <c r="A1277" s="73" t="n"/>
      <c r="B1277" s="74" t="n"/>
      <c r="C1277" s="74" t="n"/>
      <c r="D1277" s="75">
        <f>IF($C1277="","",IFERROR(INDEX(CAT_TIPO,MATCH($C1277,CAT_NOME,0)),"Sem categoria"))</f>
        <v/>
      </c>
      <c r="E1277" s="75">
        <f>IF($C1277="","",IFERROR(INDEX(CAT_GRUPO,MATCH($C1277,CAT_NOME,0)),"Sem categoria"))</f>
        <v/>
      </c>
      <c r="F1277" s="76" t="n"/>
      <c r="G1277" s="74" t="n"/>
      <c r="H1277" s="74" t="n"/>
      <c r="I1277" s="74" t="n"/>
      <c r="J1277" s="77" t="n"/>
      <c r="K1277" s="77" t="n"/>
      <c r="L1277" s="74" t="n"/>
      <c r="M1277" s="74" t="n"/>
      <c r="O1277" s="78">
        <f>IF($A1277="","",YEAR($A1277)*100+MONTH($A1277))</f>
        <v/>
      </c>
      <c r="P1277" s="79">
        <f>IF(OR($F1277="",$D1277=""),"",IF($D1277="Receita",$F1277,IF($D1277="Transferência",0,-$F1277)))</f>
        <v/>
      </c>
    </row>
    <row r="1278">
      <c r="A1278" s="73" t="n"/>
      <c r="B1278" s="74" t="n"/>
      <c r="C1278" s="74" t="n"/>
      <c r="D1278" s="75">
        <f>IF($C1278="","",IFERROR(INDEX(CAT_TIPO,MATCH($C1278,CAT_NOME,0)),"Sem categoria"))</f>
        <v/>
      </c>
      <c r="E1278" s="75">
        <f>IF($C1278="","",IFERROR(INDEX(CAT_GRUPO,MATCH($C1278,CAT_NOME,0)),"Sem categoria"))</f>
        <v/>
      </c>
      <c r="F1278" s="76" t="n"/>
      <c r="G1278" s="74" t="n"/>
      <c r="H1278" s="74" t="n"/>
      <c r="I1278" s="74" t="n"/>
      <c r="J1278" s="77" t="n"/>
      <c r="K1278" s="77" t="n"/>
      <c r="L1278" s="74" t="n"/>
      <c r="M1278" s="74" t="n"/>
      <c r="O1278" s="78">
        <f>IF($A1278="","",YEAR($A1278)*100+MONTH($A1278))</f>
        <v/>
      </c>
      <c r="P1278" s="79">
        <f>IF(OR($F1278="",$D1278=""),"",IF($D1278="Receita",$F1278,IF($D1278="Transferência",0,-$F1278)))</f>
        <v/>
      </c>
    </row>
    <row r="1279">
      <c r="A1279" s="73" t="n"/>
      <c r="B1279" s="74" t="n"/>
      <c r="C1279" s="74" t="n"/>
      <c r="D1279" s="75">
        <f>IF($C1279="","",IFERROR(INDEX(CAT_TIPO,MATCH($C1279,CAT_NOME,0)),"Sem categoria"))</f>
        <v/>
      </c>
      <c r="E1279" s="75">
        <f>IF($C1279="","",IFERROR(INDEX(CAT_GRUPO,MATCH($C1279,CAT_NOME,0)),"Sem categoria"))</f>
        <v/>
      </c>
      <c r="F1279" s="76" t="n"/>
      <c r="G1279" s="74" t="n"/>
      <c r="H1279" s="74" t="n"/>
      <c r="I1279" s="74" t="n"/>
      <c r="J1279" s="77" t="n"/>
      <c r="K1279" s="77" t="n"/>
      <c r="L1279" s="74" t="n"/>
      <c r="M1279" s="74" t="n"/>
      <c r="O1279" s="78">
        <f>IF($A1279="","",YEAR($A1279)*100+MONTH($A1279))</f>
        <v/>
      </c>
      <c r="P1279" s="79">
        <f>IF(OR($F1279="",$D1279=""),"",IF($D1279="Receita",$F1279,IF($D1279="Transferência",0,-$F1279)))</f>
        <v/>
      </c>
    </row>
    <row r="1280">
      <c r="A1280" s="73" t="n"/>
      <c r="B1280" s="74" t="n"/>
      <c r="C1280" s="74" t="n"/>
      <c r="D1280" s="75">
        <f>IF($C1280="","",IFERROR(INDEX(CAT_TIPO,MATCH($C1280,CAT_NOME,0)),"Sem categoria"))</f>
        <v/>
      </c>
      <c r="E1280" s="75">
        <f>IF($C1280="","",IFERROR(INDEX(CAT_GRUPO,MATCH($C1280,CAT_NOME,0)),"Sem categoria"))</f>
        <v/>
      </c>
      <c r="F1280" s="76" t="n"/>
      <c r="G1280" s="74" t="n"/>
      <c r="H1280" s="74" t="n"/>
      <c r="I1280" s="74" t="n"/>
      <c r="J1280" s="77" t="n"/>
      <c r="K1280" s="77" t="n"/>
      <c r="L1280" s="74" t="n"/>
      <c r="M1280" s="74" t="n"/>
      <c r="O1280" s="78">
        <f>IF($A1280="","",YEAR($A1280)*100+MONTH($A1280))</f>
        <v/>
      </c>
      <c r="P1280" s="79">
        <f>IF(OR($F1280="",$D1280=""),"",IF($D1280="Receita",$F1280,IF($D1280="Transferência",0,-$F1280)))</f>
        <v/>
      </c>
    </row>
    <row r="1281">
      <c r="A1281" s="73" t="n"/>
      <c r="B1281" s="74" t="n"/>
      <c r="C1281" s="74" t="n"/>
      <c r="D1281" s="75">
        <f>IF($C1281="","",IFERROR(INDEX(CAT_TIPO,MATCH($C1281,CAT_NOME,0)),"Sem categoria"))</f>
        <v/>
      </c>
      <c r="E1281" s="75">
        <f>IF($C1281="","",IFERROR(INDEX(CAT_GRUPO,MATCH($C1281,CAT_NOME,0)),"Sem categoria"))</f>
        <v/>
      </c>
      <c r="F1281" s="76" t="n"/>
      <c r="G1281" s="74" t="n"/>
      <c r="H1281" s="74" t="n"/>
      <c r="I1281" s="74" t="n"/>
      <c r="J1281" s="77" t="n"/>
      <c r="K1281" s="77" t="n"/>
      <c r="L1281" s="74" t="n"/>
      <c r="M1281" s="74" t="n"/>
      <c r="O1281" s="78">
        <f>IF($A1281="","",YEAR($A1281)*100+MONTH($A1281))</f>
        <v/>
      </c>
      <c r="P1281" s="79">
        <f>IF(OR($F1281="",$D1281=""),"",IF($D1281="Receita",$F1281,IF($D1281="Transferência",0,-$F1281)))</f>
        <v/>
      </c>
    </row>
    <row r="1282">
      <c r="A1282" s="73" t="n"/>
      <c r="B1282" s="74" t="n"/>
      <c r="C1282" s="74" t="n"/>
      <c r="D1282" s="75">
        <f>IF($C1282="","",IFERROR(INDEX(CAT_TIPO,MATCH($C1282,CAT_NOME,0)),"Sem categoria"))</f>
        <v/>
      </c>
      <c r="E1282" s="75">
        <f>IF($C1282="","",IFERROR(INDEX(CAT_GRUPO,MATCH($C1282,CAT_NOME,0)),"Sem categoria"))</f>
        <v/>
      </c>
      <c r="F1282" s="76" t="n"/>
      <c r="G1282" s="74" t="n"/>
      <c r="H1282" s="74" t="n"/>
      <c r="I1282" s="74" t="n"/>
      <c r="J1282" s="77" t="n"/>
      <c r="K1282" s="77" t="n"/>
      <c r="L1282" s="74" t="n"/>
      <c r="M1282" s="74" t="n"/>
      <c r="O1282" s="78">
        <f>IF($A1282="","",YEAR($A1282)*100+MONTH($A1282))</f>
        <v/>
      </c>
      <c r="P1282" s="79">
        <f>IF(OR($F1282="",$D1282=""),"",IF($D1282="Receita",$F1282,IF($D1282="Transferência",0,-$F1282)))</f>
        <v/>
      </c>
    </row>
    <row r="1283">
      <c r="A1283" s="73" t="n"/>
      <c r="B1283" s="74" t="n"/>
      <c r="C1283" s="74" t="n"/>
      <c r="D1283" s="75">
        <f>IF($C1283="","",IFERROR(INDEX(CAT_TIPO,MATCH($C1283,CAT_NOME,0)),"Sem categoria"))</f>
        <v/>
      </c>
      <c r="E1283" s="75">
        <f>IF($C1283="","",IFERROR(INDEX(CAT_GRUPO,MATCH($C1283,CAT_NOME,0)),"Sem categoria"))</f>
        <v/>
      </c>
      <c r="F1283" s="76" t="n"/>
      <c r="G1283" s="74" t="n"/>
      <c r="H1283" s="74" t="n"/>
      <c r="I1283" s="74" t="n"/>
      <c r="J1283" s="77" t="n"/>
      <c r="K1283" s="77" t="n"/>
      <c r="L1283" s="74" t="n"/>
      <c r="M1283" s="74" t="n"/>
      <c r="O1283" s="78">
        <f>IF($A1283="","",YEAR($A1283)*100+MONTH($A1283))</f>
        <v/>
      </c>
      <c r="P1283" s="79">
        <f>IF(OR($F1283="",$D1283=""),"",IF($D1283="Receita",$F1283,IF($D1283="Transferência",0,-$F1283)))</f>
        <v/>
      </c>
    </row>
    <row r="1284">
      <c r="A1284" s="73" t="n"/>
      <c r="B1284" s="74" t="n"/>
      <c r="C1284" s="74" t="n"/>
      <c r="D1284" s="75">
        <f>IF($C1284="","",IFERROR(INDEX(CAT_TIPO,MATCH($C1284,CAT_NOME,0)),"Sem categoria"))</f>
        <v/>
      </c>
      <c r="E1284" s="75">
        <f>IF($C1284="","",IFERROR(INDEX(CAT_GRUPO,MATCH($C1284,CAT_NOME,0)),"Sem categoria"))</f>
        <v/>
      </c>
      <c r="F1284" s="76" t="n"/>
      <c r="G1284" s="74" t="n"/>
      <c r="H1284" s="74" t="n"/>
      <c r="I1284" s="74" t="n"/>
      <c r="J1284" s="77" t="n"/>
      <c r="K1284" s="77" t="n"/>
      <c r="L1284" s="74" t="n"/>
      <c r="M1284" s="74" t="n"/>
      <c r="O1284" s="78">
        <f>IF($A1284="","",YEAR($A1284)*100+MONTH($A1284))</f>
        <v/>
      </c>
      <c r="P1284" s="79">
        <f>IF(OR($F1284="",$D1284=""),"",IF($D1284="Receita",$F1284,IF($D1284="Transferência",0,-$F1284)))</f>
        <v/>
      </c>
    </row>
    <row r="1285">
      <c r="A1285" s="73" t="n"/>
      <c r="B1285" s="74" t="n"/>
      <c r="C1285" s="74" t="n"/>
      <c r="D1285" s="75">
        <f>IF($C1285="","",IFERROR(INDEX(CAT_TIPO,MATCH($C1285,CAT_NOME,0)),"Sem categoria"))</f>
        <v/>
      </c>
      <c r="E1285" s="75">
        <f>IF($C1285="","",IFERROR(INDEX(CAT_GRUPO,MATCH($C1285,CAT_NOME,0)),"Sem categoria"))</f>
        <v/>
      </c>
      <c r="F1285" s="76" t="n"/>
      <c r="G1285" s="74" t="n"/>
      <c r="H1285" s="74" t="n"/>
      <c r="I1285" s="74" t="n"/>
      <c r="J1285" s="77" t="n"/>
      <c r="K1285" s="77" t="n"/>
      <c r="L1285" s="74" t="n"/>
      <c r="M1285" s="74" t="n"/>
      <c r="O1285" s="78">
        <f>IF($A1285="","",YEAR($A1285)*100+MONTH($A1285))</f>
        <v/>
      </c>
      <c r="P1285" s="79">
        <f>IF(OR($F1285="",$D1285=""),"",IF($D1285="Receita",$F1285,IF($D1285="Transferência",0,-$F1285)))</f>
        <v/>
      </c>
    </row>
    <row r="1286">
      <c r="A1286" s="73" t="n"/>
      <c r="B1286" s="74" t="n"/>
      <c r="C1286" s="74" t="n"/>
      <c r="D1286" s="75">
        <f>IF($C1286="","",IFERROR(INDEX(CAT_TIPO,MATCH($C1286,CAT_NOME,0)),"Sem categoria"))</f>
        <v/>
      </c>
      <c r="E1286" s="75">
        <f>IF($C1286="","",IFERROR(INDEX(CAT_GRUPO,MATCH($C1286,CAT_NOME,0)),"Sem categoria"))</f>
        <v/>
      </c>
      <c r="F1286" s="76" t="n"/>
      <c r="G1286" s="74" t="n"/>
      <c r="H1286" s="74" t="n"/>
      <c r="I1286" s="74" t="n"/>
      <c r="J1286" s="77" t="n"/>
      <c r="K1286" s="77" t="n"/>
      <c r="L1286" s="74" t="n"/>
      <c r="M1286" s="74" t="n"/>
      <c r="O1286" s="78">
        <f>IF($A1286="","",YEAR($A1286)*100+MONTH($A1286))</f>
        <v/>
      </c>
      <c r="P1286" s="79">
        <f>IF(OR($F1286="",$D1286=""),"",IF($D1286="Receita",$F1286,IF($D1286="Transferência",0,-$F1286)))</f>
        <v/>
      </c>
    </row>
    <row r="1287">
      <c r="A1287" s="73" t="n"/>
      <c r="B1287" s="74" t="n"/>
      <c r="C1287" s="74" t="n"/>
      <c r="D1287" s="75">
        <f>IF($C1287="","",IFERROR(INDEX(CAT_TIPO,MATCH($C1287,CAT_NOME,0)),"Sem categoria"))</f>
        <v/>
      </c>
      <c r="E1287" s="75">
        <f>IF($C1287="","",IFERROR(INDEX(CAT_GRUPO,MATCH($C1287,CAT_NOME,0)),"Sem categoria"))</f>
        <v/>
      </c>
      <c r="F1287" s="76" t="n"/>
      <c r="G1287" s="74" t="n"/>
      <c r="H1287" s="74" t="n"/>
      <c r="I1287" s="74" t="n"/>
      <c r="J1287" s="77" t="n"/>
      <c r="K1287" s="77" t="n"/>
      <c r="L1287" s="74" t="n"/>
      <c r="M1287" s="74" t="n"/>
      <c r="O1287" s="78">
        <f>IF($A1287="","",YEAR($A1287)*100+MONTH($A1287))</f>
        <v/>
      </c>
      <c r="P1287" s="79">
        <f>IF(OR($F1287="",$D1287=""),"",IF($D1287="Receita",$F1287,IF($D1287="Transferência",0,-$F1287)))</f>
        <v/>
      </c>
    </row>
    <row r="1288">
      <c r="A1288" s="73" t="n"/>
      <c r="B1288" s="74" t="n"/>
      <c r="C1288" s="74" t="n"/>
      <c r="D1288" s="75">
        <f>IF($C1288="","",IFERROR(INDEX(CAT_TIPO,MATCH($C1288,CAT_NOME,0)),"Sem categoria"))</f>
        <v/>
      </c>
      <c r="E1288" s="75">
        <f>IF($C1288="","",IFERROR(INDEX(CAT_GRUPO,MATCH($C1288,CAT_NOME,0)),"Sem categoria"))</f>
        <v/>
      </c>
      <c r="F1288" s="76" t="n"/>
      <c r="G1288" s="74" t="n"/>
      <c r="H1288" s="74" t="n"/>
      <c r="I1288" s="74" t="n"/>
      <c r="J1288" s="77" t="n"/>
      <c r="K1288" s="77" t="n"/>
      <c r="L1288" s="74" t="n"/>
      <c r="M1288" s="74" t="n"/>
      <c r="O1288" s="78">
        <f>IF($A1288="","",YEAR($A1288)*100+MONTH($A1288))</f>
        <v/>
      </c>
      <c r="P1288" s="79">
        <f>IF(OR($F1288="",$D1288=""),"",IF($D1288="Receita",$F1288,IF($D1288="Transferência",0,-$F1288)))</f>
        <v/>
      </c>
    </row>
    <row r="1289">
      <c r="A1289" s="73" t="n"/>
      <c r="B1289" s="74" t="n"/>
      <c r="C1289" s="74" t="n"/>
      <c r="D1289" s="75">
        <f>IF($C1289="","",IFERROR(INDEX(CAT_TIPO,MATCH($C1289,CAT_NOME,0)),"Sem categoria"))</f>
        <v/>
      </c>
      <c r="E1289" s="75">
        <f>IF($C1289="","",IFERROR(INDEX(CAT_GRUPO,MATCH($C1289,CAT_NOME,0)),"Sem categoria"))</f>
        <v/>
      </c>
      <c r="F1289" s="76" t="n"/>
      <c r="G1289" s="74" t="n"/>
      <c r="H1289" s="74" t="n"/>
      <c r="I1289" s="74" t="n"/>
      <c r="J1289" s="77" t="n"/>
      <c r="K1289" s="77" t="n"/>
      <c r="L1289" s="74" t="n"/>
      <c r="M1289" s="74" t="n"/>
      <c r="O1289" s="78">
        <f>IF($A1289="","",YEAR($A1289)*100+MONTH($A1289))</f>
        <v/>
      </c>
      <c r="P1289" s="79">
        <f>IF(OR($F1289="",$D1289=""),"",IF($D1289="Receita",$F1289,IF($D1289="Transferência",0,-$F1289)))</f>
        <v/>
      </c>
    </row>
    <row r="1290">
      <c r="A1290" s="73" t="n"/>
      <c r="B1290" s="74" t="n"/>
      <c r="C1290" s="74" t="n"/>
      <c r="D1290" s="75">
        <f>IF($C1290="","",IFERROR(INDEX(CAT_TIPO,MATCH($C1290,CAT_NOME,0)),"Sem categoria"))</f>
        <v/>
      </c>
      <c r="E1290" s="75">
        <f>IF($C1290="","",IFERROR(INDEX(CAT_GRUPO,MATCH($C1290,CAT_NOME,0)),"Sem categoria"))</f>
        <v/>
      </c>
      <c r="F1290" s="76" t="n"/>
      <c r="G1290" s="74" t="n"/>
      <c r="H1290" s="74" t="n"/>
      <c r="I1290" s="74" t="n"/>
      <c r="J1290" s="77" t="n"/>
      <c r="K1290" s="77" t="n"/>
      <c r="L1290" s="74" t="n"/>
      <c r="M1290" s="74" t="n"/>
      <c r="O1290" s="78">
        <f>IF($A1290="","",YEAR($A1290)*100+MONTH($A1290))</f>
        <v/>
      </c>
      <c r="P1290" s="79">
        <f>IF(OR($F1290="",$D1290=""),"",IF($D1290="Receita",$F1290,IF($D1290="Transferência",0,-$F1290)))</f>
        <v/>
      </c>
    </row>
    <row r="1291">
      <c r="A1291" s="73" t="n"/>
      <c r="B1291" s="74" t="n"/>
      <c r="C1291" s="74" t="n"/>
      <c r="D1291" s="75">
        <f>IF($C1291="","",IFERROR(INDEX(CAT_TIPO,MATCH($C1291,CAT_NOME,0)),"Sem categoria"))</f>
        <v/>
      </c>
      <c r="E1291" s="75">
        <f>IF($C1291="","",IFERROR(INDEX(CAT_GRUPO,MATCH($C1291,CAT_NOME,0)),"Sem categoria"))</f>
        <v/>
      </c>
      <c r="F1291" s="76" t="n"/>
      <c r="G1291" s="74" t="n"/>
      <c r="H1291" s="74" t="n"/>
      <c r="I1291" s="74" t="n"/>
      <c r="J1291" s="77" t="n"/>
      <c r="K1291" s="77" t="n"/>
      <c r="L1291" s="74" t="n"/>
      <c r="M1291" s="74" t="n"/>
      <c r="O1291" s="78">
        <f>IF($A1291="","",YEAR($A1291)*100+MONTH($A1291))</f>
        <v/>
      </c>
      <c r="P1291" s="79">
        <f>IF(OR($F1291="",$D1291=""),"",IF($D1291="Receita",$F1291,IF($D1291="Transferência",0,-$F1291)))</f>
        <v/>
      </c>
    </row>
    <row r="1292">
      <c r="A1292" s="73" t="n"/>
      <c r="B1292" s="74" t="n"/>
      <c r="C1292" s="74" t="n"/>
      <c r="D1292" s="75">
        <f>IF($C1292="","",IFERROR(INDEX(CAT_TIPO,MATCH($C1292,CAT_NOME,0)),"Sem categoria"))</f>
        <v/>
      </c>
      <c r="E1292" s="75">
        <f>IF($C1292="","",IFERROR(INDEX(CAT_GRUPO,MATCH($C1292,CAT_NOME,0)),"Sem categoria"))</f>
        <v/>
      </c>
      <c r="F1292" s="76" t="n"/>
      <c r="G1292" s="74" t="n"/>
      <c r="H1292" s="74" t="n"/>
      <c r="I1292" s="74" t="n"/>
      <c r="J1292" s="77" t="n"/>
      <c r="K1292" s="77" t="n"/>
      <c r="L1292" s="74" t="n"/>
      <c r="M1292" s="74" t="n"/>
      <c r="O1292" s="78">
        <f>IF($A1292="","",YEAR($A1292)*100+MONTH($A1292))</f>
        <v/>
      </c>
      <c r="P1292" s="79">
        <f>IF(OR($F1292="",$D1292=""),"",IF($D1292="Receita",$F1292,IF($D1292="Transferência",0,-$F1292)))</f>
        <v/>
      </c>
    </row>
    <row r="1293">
      <c r="A1293" s="73" t="n"/>
      <c r="B1293" s="74" t="n"/>
      <c r="C1293" s="74" t="n"/>
      <c r="D1293" s="75">
        <f>IF($C1293="","",IFERROR(INDEX(CAT_TIPO,MATCH($C1293,CAT_NOME,0)),"Sem categoria"))</f>
        <v/>
      </c>
      <c r="E1293" s="75">
        <f>IF($C1293="","",IFERROR(INDEX(CAT_GRUPO,MATCH($C1293,CAT_NOME,0)),"Sem categoria"))</f>
        <v/>
      </c>
      <c r="F1293" s="76" t="n"/>
      <c r="G1293" s="74" t="n"/>
      <c r="H1293" s="74" t="n"/>
      <c r="I1293" s="74" t="n"/>
      <c r="J1293" s="77" t="n"/>
      <c r="K1293" s="77" t="n"/>
      <c r="L1293" s="74" t="n"/>
      <c r="M1293" s="74" t="n"/>
      <c r="O1293" s="78">
        <f>IF($A1293="","",YEAR($A1293)*100+MONTH($A1293))</f>
        <v/>
      </c>
      <c r="P1293" s="79">
        <f>IF(OR($F1293="",$D1293=""),"",IF($D1293="Receita",$F1293,IF($D1293="Transferência",0,-$F1293)))</f>
        <v/>
      </c>
    </row>
    <row r="1294">
      <c r="A1294" s="73" t="n"/>
      <c r="B1294" s="74" t="n"/>
      <c r="C1294" s="74" t="n"/>
      <c r="D1294" s="75">
        <f>IF($C1294="","",IFERROR(INDEX(CAT_TIPO,MATCH($C1294,CAT_NOME,0)),"Sem categoria"))</f>
        <v/>
      </c>
      <c r="E1294" s="75">
        <f>IF($C1294="","",IFERROR(INDEX(CAT_GRUPO,MATCH($C1294,CAT_NOME,0)),"Sem categoria"))</f>
        <v/>
      </c>
      <c r="F1294" s="76" t="n"/>
      <c r="G1294" s="74" t="n"/>
      <c r="H1294" s="74" t="n"/>
      <c r="I1294" s="74" t="n"/>
      <c r="J1294" s="77" t="n"/>
      <c r="K1294" s="77" t="n"/>
      <c r="L1294" s="74" t="n"/>
      <c r="M1294" s="74" t="n"/>
      <c r="O1294" s="78">
        <f>IF($A1294="","",YEAR($A1294)*100+MONTH($A1294))</f>
        <v/>
      </c>
      <c r="P1294" s="79">
        <f>IF(OR($F1294="",$D1294=""),"",IF($D1294="Receita",$F1294,IF($D1294="Transferência",0,-$F1294)))</f>
        <v/>
      </c>
    </row>
    <row r="1295">
      <c r="A1295" s="73" t="n"/>
      <c r="B1295" s="74" t="n"/>
      <c r="C1295" s="74" t="n"/>
      <c r="D1295" s="75">
        <f>IF($C1295="","",IFERROR(INDEX(CAT_TIPO,MATCH($C1295,CAT_NOME,0)),"Sem categoria"))</f>
        <v/>
      </c>
      <c r="E1295" s="75">
        <f>IF($C1295="","",IFERROR(INDEX(CAT_GRUPO,MATCH($C1295,CAT_NOME,0)),"Sem categoria"))</f>
        <v/>
      </c>
      <c r="F1295" s="76" t="n"/>
      <c r="G1295" s="74" t="n"/>
      <c r="H1295" s="74" t="n"/>
      <c r="I1295" s="74" t="n"/>
      <c r="J1295" s="77" t="n"/>
      <c r="K1295" s="77" t="n"/>
      <c r="L1295" s="74" t="n"/>
      <c r="M1295" s="74" t="n"/>
      <c r="O1295" s="78">
        <f>IF($A1295="","",YEAR($A1295)*100+MONTH($A1295))</f>
        <v/>
      </c>
      <c r="P1295" s="79">
        <f>IF(OR($F1295="",$D1295=""),"",IF($D1295="Receita",$F1295,IF($D1295="Transferência",0,-$F1295)))</f>
        <v/>
      </c>
    </row>
    <row r="1296">
      <c r="A1296" s="73" t="n"/>
      <c r="B1296" s="74" t="n"/>
      <c r="C1296" s="74" t="n"/>
      <c r="D1296" s="75">
        <f>IF($C1296="","",IFERROR(INDEX(CAT_TIPO,MATCH($C1296,CAT_NOME,0)),"Sem categoria"))</f>
        <v/>
      </c>
      <c r="E1296" s="75">
        <f>IF($C1296="","",IFERROR(INDEX(CAT_GRUPO,MATCH($C1296,CAT_NOME,0)),"Sem categoria"))</f>
        <v/>
      </c>
      <c r="F1296" s="76" t="n"/>
      <c r="G1296" s="74" t="n"/>
      <c r="H1296" s="74" t="n"/>
      <c r="I1296" s="74" t="n"/>
      <c r="J1296" s="77" t="n"/>
      <c r="K1296" s="77" t="n"/>
      <c r="L1296" s="74" t="n"/>
      <c r="M1296" s="74" t="n"/>
      <c r="O1296" s="78">
        <f>IF($A1296="","",YEAR($A1296)*100+MONTH($A1296))</f>
        <v/>
      </c>
      <c r="P1296" s="79">
        <f>IF(OR($F1296="",$D1296=""),"",IF($D1296="Receita",$F1296,IF($D1296="Transferência",0,-$F1296)))</f>
        <v/>
      </c>
    </row>
    <row r="1297">
      <c r="A1297" s="73" t="n"/>
      <c r="B1297" s="74" t="n"/>
      <c r="C1297" s="74" t="n"/>
      <c r="D1297" s="75">
        <f>IF($C1297="","",IFERROR(INDEX(CAT_TIPO,MATCH($C1297,CAT_NOME,0)),"Sem categoria"))</f>
        <v/>
      </c>
      <c r="E1297" s="75">
        <f>IF($C1297="","",IFERROR(INDEX(CAT_GRUPO,MATCH($C1297,CAT_NOME,0)),"Sem categoria"))</f>
        <v/>
      </c>
      <c r="F1297" s="76" t="n"/>
      <c r="G1297" s="74" t="n"/>
      <c r="H1297" s="74" t="n"/>
      <c r="I1297" s="74" t="n"/>
      <c r="J1297" s="77" t="n"/>
      <c r="K1297" s="77" t="n"/>
      <c r="L1297" s="74" t="n"/>
      <c r="M1297" s="74" t="n"/>
      <c r="O1297" s="78">
        <f>IF($A1297="","",YEAR($A1297)*100+MONTH($A1297))</f>
        <v/>
      </c>
      <c r="P1297" s="79">
        <f>IF(OR($F1297="",$D1297=""),"",IF($D1297="Receita",$F1297,IF($D1297="Transferência",0,-$F1297)))</f>
        <v/>
      </c>
    </row>
    <row r="1298">
      <c r="A1298" s="73" t="n"/>
      <c r="B1298" s="74" t="n"/>
      <c r="C1298" s="74" t="n"/>
      <c r="D1298" s="75">
        <f>IF($C1298="","",IFERROR(INDEX(CAT_TIPO,MATCH($C1298,CAT_NOME,0)),"Sem categoria"))</f>
        <v/>
      </c>
      <c r="E1298" s="75">
        <f>IF($C1298="","",IFERROR(INDEX(CAT_GRUPO,MATCH($C1298,CAT_NOME,0)),"Sem categoria"))</f>
        <v/>
      </c>
      <c r="F1298" s="76" t="n"/>
      <c r="G1298" s="74" t="n"/>
      <c r="H1298" s="74" t="n"/>
      <c r="I1298" s="74" t="n"/>
      <c r="J1298" s="77" t="n"/>
      <c r="K1298" s="77" t="n"/>
      <c r="L1298" s="74" t="n"/>
      <c r="M1298" s="74" t="n"/>
      <c r="O1298" s="78">
        <f>IF($A1298="","",YEAR($A1298)*100+MONTH($A1298))</f>
        <v/>
      </c>
      <c r="P1298" s="79">
        <f>IF(OR($F1298="",$D1298=""),"",IF($D1298="Receita",$F1298,IF($D1298="Transferência",0,-$F1298)))</f>
        <v/>
      </c>
    </row>
    <row r="1299">
      <c r="A1299" s="73" t="n"/>
      <c r="B1299" s="74" t="n"/>
      <c r="C1299" s="74" t="n"/>
      <c r="D1299" s="75">
        <f>IF($C1299="","",IFERROR(INDEX(CAT_TIPO,MATCH($C1299,CAT_NOME,0)),"Sem categoria"))</f>
        <v/>
      </c>
      <c r="E1299" s="75">
        <f>IF($C1299="","",IFERROR(INDEX(CAT_GRUPO,MATCH($C1299,CAT_NOME,0)),"Sem categoria"))</f>
        <v/>
      </c>
      <c r="F1299" s="76" t="n"/>
      <c r="G1299" s="74" t="n"/>
      <c r="H1299" s="74" t="n"/>
      <c r="I1299" s="74" t="n"/>
      <c r="J1299" s="77" t="n"/>
      <c r="K1299" s="77" t="n"/>
      <c r="L1299" s="74" t="n"/>
      <c r="M1299" s="74" t="n"/>
      <c r="O1299" s="78">
        <f>IF($A1299="","",YEAR($A1299)*100+MONTH($A1299))</f>
        <v/>
      </c>
      <c r="P1299" s="79">
        <f>IF(OR($F1299="",$D1299=""),"",IF($D1299="Receita",$F1299,IF($D1299="Transferência",0,-$F1299)))</f>
        <v/>
      </c>
    </row>
    <row r="1300">
      <c r="A1300" s="73" t="n"/>
      <c r="B1300" s="74" t="n"/>
      <c r="C1300" s="74" t="n"/>
      <c r="D1300" s="75">
        <f>IF($C1300="","",IFERROR(INDEX(CAT_TIPO,MATCH($C1300,CAT_NOME,0)),"Sem categoria"))</f>
        <v/>
      </c>
      <c r="E1300" s="75">
        <f>IF($C1300="","",IFERROR(INDEX(CAT_GRUPO,MATCH($C1300,CAT_NOME,0)),"Sem categoria"))</f>
        <v/>
      </c>
      <c r="F1300" s="76" t="n"/>
      <c r="G1300" s="74" t="n"/>
      <c r="H1300" s="74" t="n"/>
      <c r="I1300" s="74" t="n"/>
      <c r="J1300" s="77" t="n"/>
      <c r="K1300" s="77" t="n"/>
      <c r="L1300" s="74" t="n"/>
      <c r="M1300" s="74" t="n"/>
      <c r="O1300" s="78">
        <f>IF($A1300="","",YEAR($A1300)*100+MONTH($A1300))</f>
        <v/>
      </c>
      <c r="P1300" s="79">
        <f>IF(OR($F1300="",$D1300=""),"",IF($D1300="Receita",$F1300,IF($D1300="Transferência",0,-$F1300)))</f>
        <v/>
      </c>
    </row>
    <row r="1301">
      <c r="A1301" s="73" t="n"/>
      <c r="B1301" s="74" t="n"/>
      <c r="C1301" s="74" t="n"/>
      <c r="D1301" s="75">
        <f>IF($C1301="","",IFERROR(INDEX(CAT_TIPO,MATCH($C1301,CAT_NOME,0)),"Sem categoria"))</f>
        <v/>
      </c>
      <c r="E1301" s="75">
        <f>IF($C1301="","",IFERROR(INDEX(CAT_GRUPO,MATCH($C1301,CAT_NOME,0)),"Sem categoria"))</f>
        <v/>
      </c>
      <c r="F1301" s="76" t="n"/>
      <c r="G1301" s="74" t="n"/>
      <c r="H1301" s="74" t="n"/>
      <c r="I1301" s="74" t="n"/>
      <c r="J1301" s="77" t="n"/>
      <c r="K1301" s="77" t="n"/>
      <c r="L1301" s="74" t="n"/>
      <c r="M1301" s="74" t="n"/>
      <c r="O1301" s="78">
        <f>IF($A1301="","",YEAR($A1301)*100+MONTH($A1301))</f>
        <v/>
      </c>
      <c r="P1301" s="79">
        <f>IF(OR($F1301="",$D1301=""),"",IF($D1301="Receita",$F1301,IF($D1301="Transferência",0,-$F1301)))</f>
        <v/>
      </c>
    </row>
    <row r="1302">
      <c r="A1302" s="73" t="n"/>
      <c r="B1302" s="74" t="n"/>
      <c r="C1302" s="74" t="n"/>
      <c r="D1302" s="75">
        <f>IF($C1302="","",IFERROR(INDEX(CAT_TIPO,MATCH($C1302,CAT_NOME,0)),"Sem categoria"))</f>
        <v/>
      </c>
      <c r="E1302" s="75">
        <f>IF($C1302="","",IFERROR(INDEX(CAT_GRUPO,MATCH($C1302,CAT_NOME,0)),"Sem categoria"))</f>
        <v/>
      </c>
      <c r="F1302" s="76" t="n"/>
      <c r="G1302" s="74" t="n"/>
      <c r="H1302" s="74" t="n"/>
      <c r="I1302" s="74" t="n"/>
      <c r="J1302" s="77" t="n"/>
      <c r="K1302" s="77" t="n"/>
      <c r="L1302" s="74" t="n"/>
      <c r="M1302" s="74" t="n"/>
      <c r="O1302" s="78">
        <f>IF($A1302="","",YEAR($A1302)*100+MONTH($A1302))</f>
        <v/>
      </c>
      <c r="P1302" s="79">
        <f>IF(OR($F1302="",$D1302=""),"",IF($D1302="Receita",$F1302,IF($D1302="Transferência",0,-$F1302)))</f>
        <v/>
      </c>
    </row>
    <row r="1303">
      <c r="A1303" s="73" t="n"/>
      <c r="B1303" s="74" t="n"/>
      <c r="C1303" s="74" t="n"/>
      <c r="D1303" s="75">
        <f>IF($C1303="","",IFERROR(INDEX(CAT_TIPO,MATCH($C1303,CAT_NOME,0)),"Sem categoria"))</f>
        <v/>
      </c>
      <c r="E1303" s="75">
        <f>IF($C1303="","",IFERROR(INDEX(CAT_GRUPO,MATCH($C1303,CAT_NOME,0)),"Sem categoria"))</f>
        <v/>
      </c>
      <c r="F1303" s="76" t="n"/>
      <c r="G1303" s="74" t="n"/>
      <c r="H1303" s="74" t="n"/>
      <c r="I1303" s="74" t="n"/>
      <c r="J1303" s="77" t="n"/>
      <c r="K1303" s="77" t="n"/>
      <c r="L1303" s="74" t="n"/>
      <c r="M1303" s="74" t="n"/>
      <c r="O1303" s="78">
        <f>IF($A1303="","",YEAR($A1303)*100+MONTH($A1303))</f>
        <v/>
      </c>
      <c r="P1303" s="79">
        <f>IF(OR($F1303="",$D1303=""),"",IF($D1303="Receita",$F1303,IF($D1303="Transferência",0,-$F1303)))</f>
        <v/>
      </c>
    </row>
    <row r="1304">
      <c r="A1304" s="73" t="n"/>
      <c r="B1304" s="74" t="n"/>
      <c r="C1304" s="74" t="n"/>
      <c r="D1304" s="75">
        <f>IF($C1304="","",IFERROR(INDEX(CAT_TIPO,MATCH($C1304,CAT_NOME,0)),"Sem categoria"))</f>
        <v/>
      </c>
      <c r="E1304" s="75">
        <f>IF($C1304="","",IFERROR(INDEX(CAT_GRUPO,MATCH($C1304,CAT_NOME,0)),"Sem categoria"))</f>
        <v/>
      </c>
      <c r="F1304" s="76" t="n"/>
      <c r="G1304" s="74" t="n"/>
      <c r="H1304" s="74" t="n"/>
      <c r="I1304" s="74" t="n"/>
      <c r="J1304" s="77" t="n"/>
      <c r="K1304" s="77" t="n"/>
      <c r="L1304" s="74" t="n"/>
      <c r="M1304" s="74" t="n"/>
      <c r="O1304" s="78">
        <f>IF($A1304="","",YEAR($A1304)*100+MONTH($A1304))</f>
        <v/>
      </c>
      <c r="P1304" s="79">
        <f>IF(OR($F1304="",$D1304=""),"",IF($D1304="Receita",$F1304,IF($D1304="Transferência",0,-$F1304)))</f>
        <v/>
      </c>
    </row>
    <row r="1305">
      <c r="A1305" s="73" t="n"/>
      <c r="B1305" s="74" t="n"/>
      <c r="C1305" s="74" t="n"/>
      <c r="D1305" s="75">
        <f>IF($C1305="","",IFERROR(INDEX(CAT_TIPO,MATCH($C1305,CAT_NOME,0)),"Sem categoria"))</f>
        <v/>
      </c>
      <c r="E1305" s="75">
        <f>IF($C1305="","",IFERROR(INDEX(CAT_GRUPO,MATCH($C1305,CAT_NOME,0)),"Sem categoria"))</f>
        <v/>
      </c>
      <c r="F1305" s="76" t="n"/>
      <c r="G1305" s="74" t="n"/>
      <c r="H1305" s="74" t="n"/>
      <c r="I1305" s="74" t="n"/>
      <c r="J1305" s="77" t="n"/>
      <c r="K1305" s="77" t="n"/>
      <c r="L1305" s="74" t="n"/>
      <c r="M1305" s="74" t="n"/>
      <c r="O1305" s="78">
        <f>IF($A1305="","",YEAR($A1305)*100+MONTH($A1305))</f>
        <v/>
      </c>
      <c r="P1305" s="79">
        <f>IF(OR($F1305="",$D1305=""),"",IF($D1305="Receita",$F1305,IF($D1305="Transferência",0,-$F1305)))</f>
        <v/>
      </c>
    </row>
    <row r="1306">
      <c r="A1306" s="73" t="n"/>
      <c r="B1306" s="74" t="n"/>
      <c r="C1306" s="74" t="n"/>
      <c r="D1306" s="75">
        <f>IF($C1306="","",IFERROR(INDEX(CAT_TIPO,MATCH($C1306,CAT_NOME,0)),"Sem categoria"))</f>
        <v/>
      </c>
      <c r="E1306" s="75">
        <f>IF($C1306="","",IFERROR(INDEX(CAT_GRUPO,MATCH($C1306,CAT_NOME,0)),"Sem categoria"))</f>
        <v/>
      </c>
      <c r="F1306" s="76" t="n"/>
      <c r="G1306" s="74" t="n"/>
      <c r="H1306" s="74" t="n"/>
      <c r="I1306" s="74" t="n"/>
      <c r="J1306" s="77" t="n"/>
      <c r="K1306" s="77" t="n"/>
      <c r="L1306" s="74" t="n"/>
      <c r="M1306" s="74" t="n"/>
      <c r="O1306" s="78">
        <f>IF($A1306="","",YEAR($A1306)*100+MONTH($A1306))</f>
        <v/>
      </c>
      <c r="P1306" s="79">
        <f>IF(OR($F1306="",$D1306=""),"",IF($D1306="Receita",$F1306,IF($D1306="Transferência",0,-$F1306)))</f>
        <v/>
      </c>
    </row>
    <row r="1307">
      <c r="A1307" s="73" t="n"/>
      <c r="B1307" s="74" t="n"/>
      <c r="C1307" s="74" t="n"/>
      <c r="D1307" s="75">
        <f>IF($C1307="","",IFERROR(INDEX(CAT_TIPO,MATCH($C1307,CAT_NOME,0)),"Sem categoria"))</f>
        <v/>
      </c>
      <c r="E1307" s="75">
        <f>IF($C1307="","",IFERROR(INDEX(CAT_GRUPO,MATCH($C1307,CAT_NOME,0)),"Sem categoria"))</f>
        <v/>
      </c>
      <c r="F1307" s="76" t="n"/>
      <c r="G1307" s="74" t="n"/>
      <c r="H1307" s="74" t="n"/>
      <c r="I1307" s="74" t="n"/>
      <c r="J1307" s="77" t="n"/>
      <c r="K1307" s="77" t="n"/>
      <c r="L1307" s="74" t="n"/>
      <c r="M1307" s="74" t="n"/>
      <c r="O1307" s="78">
        <f>IF($A1307="","",YEAR($A1307)*100+MONTH($A1307))</f>
        <v/>
      </c>
      <c r="P1307" s="79">
        <f>IF(OR($F1307="",$D1307=""),"",IF($D1307="Receita",$F1307,IF($D1307="Transferência",0,-$F1307)))</f>
        <v/>
      </c>
    </row>
    <row r="1308">
      <c r="A1308" s="73" t="n"/>
      <c r="B1308" s="74" t="n"/>
      <c r="C1308" s="74" t="n"/>
      <c r="D1308" s="75">
        <f>IF($C1308="","",IFERROR(INDEX(CAT_TIPO,MATCH($C1308,CAT_NOME,0)),"Sem categoria"))</f>
        <v/>
      </c>
      <c r="E1308" s="75">
        <f>IF($C1308="","",IFERROR(INDEX(CAT_GRUPO,MATCH($C1308,CAT_NOME,0)),"Sem categoria"))</f>
        <v/>
      </c>
      <c r="F1308" s="76" t="n"/>
      <c r="G1308" s="74" t="n"/>
      <c r="H1308" s="74" t="n"/>
      <c r="I1308" s="74" t="n"/>
      <c r="J1308" s="77" t="n"/>
      <c r="K1308" s="77" t="n"/>
      <c r="L1308" s="74" t="n"/>
      <c r="M1308" s="74" t="n"/>
      <c r="O1308" s="78">
        <f>IF($A1308="","",YEAR($A1308)*100+MONTH($A1308))</f>
        <v/>
      </c>
      <c r="P1308" s="79">
        <f>IF(OR($F1308="",$D1308=""),"",IF($D1308="Receita",$F1308,IF($D1308="Transferência",0,-$F1308)))</f>
        <v/>
      </c>
    </row>
    <row r="1309">
      <c r="A1309" s="73" t="n"/>
      <c r="B1309" s="74" t="n"/>
      <c r="C1309" s="74" t="n"/>
      <c r="D1309" s="75">
        <f>IF($C1309="","",IFERROR(INDEX(CAT_TIPO,MATCH($C1309,CAT_NOME,0)),"Sem categoria"))</f>
        <v/>
      </c>
      <c r="E1309" s="75">
        <f>IF($C1309="","",IFERROR(INDEX(CAT_GRUPO,MATCH($C1309,CAT_NOME,0)),"Sem categoria"))</f>
        <v/>
      </c>
      <c r="F1309" s="76" t="n"/>
      <c r="G1309" s="74" t="n"/>
      <c r="H1309" s="74" t="n"/>
      <c r="I1309" s="74" t="n"/>
      <c r="J1309" s="77" t="n"/>
      <c r="K1309" s="77" t="n"/>
      <c r="L1309" s="74" t="n"/>
      <c r="M1309" s="74" t="n"/>
      <c r="O1309" s="78">
        <f>IF($A1309="","",YEAR($A1309)*100+MONTH($A1309))</f>
        <v/>
      </c>
      <c r="P1309" s="79">
        <f>IF(OR($F1309="",$D1309=""),"",IF($D1309="Receita",$F1309,IF($D1309="Transferência",0,-$F1309)))</f>
        <v/>
      </c>
    </row>
    <row r="1310">
      <c r="A1310" s="73" t="n"/>
      <c r="B1310" s="74" t="n"/>
      <c r="C1310" s="74" t="n"/>
      <c r="D1310" s="75">
        <f>IF($C1310="","",IFERROR(INDEX(CAT_TIPO,MATCH($C1310,CAT_NOME,0)),"Sem categoria"))</f>
        <v/>
      </c>
      <c r="E1310" s="75">
        <f>IF($C1310="","",IFERROR(INDEX(CAT_GRUPO,MATCH($C1310,CAT_NOME,0)),"Sem categoria"))</f>
        <v/>
      </c>
      <c r="F1310" s="76" t="n"/>
      <c r="G1310" s="74" t="n"/>
      <c r="H1310" s="74" t="n"/>
      <c r="I1310" s="74" t="n"/>
      <c r="J1310" s="77" t="n"/>
      <c r="K1310" s="77" t="n"/>
      <c r="L1310" s="74" t="n"/>
      <c r="M1310" s="74" t="n"/>
      <c r="O1310" s="78">
        <f>IF($A1310="","",YEAR($A1310)*100+MONTH($A1310))</f>
        <v/>
      </c>
      <c r="P1310" s="79">
        <f>IF(OR($F1310="",$D1310=""),"",IF($D1310="Receita",$F1310,IF($D1310="Transferência",0,-$F1310)))</f>
        <v/>
      </c>
    </row>
    <row r="1311">
      <c r="A1311" s="73" t="n"/>
      <c r="B1311" s="74" t="n"/>
      <c r="C1311" s="74" t="n"/>
      <c r="D1311" s="75">
        <f>IF($C1311="","",IFERROR(INDEX(CAT_TIPO,MATCH($C1311,CAT_NOME,0)),"Sem categoria"))</f>
        <v/>
      </c>
      <c r="E1311" s="75">
        <f>IF($C1311="","",IFERROR(INDEX(CAT_GRUPO,MATCH($C1311,CAT_NOME,0)),"Sem categoria"))</f>
        <v/>
      </c>
      <c r="F1311" s="76" t="n"/>
      <c r="G1311" s="74" t="n"/>
      <c r="H1311" s="74" t="n"/>
      <c r="I1311" s="74" t="n"/>
      <c r="J1311" s="77" t="n"/>
      <c r="K1311" s="77" t="n"/>
      <c r="L1311" s="74" t="n"/>
      <c r="M1311" s="74" t="n"/>
      <c r="O1311" s="78">
        <f>IF($A1311="","",YEAR($A1311)*100+MONTH($A1311))</f>
        <v/>
      </c>
      <c r="P1311" s="79">
        <f>IF(OR($F1311="",$D1311=""),"",IF($D1311="Receita",$F1311,IF($D1311="Transferência",0,-$F1311)))</f>
        <v/>
      </c>
    </row>
    <row r="1312">
      <c r="A1312" s="73" t="n"/>
      <c r="B1312" s="74" t="n"/>
      <c r="C1312" s="74" t="n"/>
      <c r="D1312" s="75">
        <f>IF($C1312="","",IFERROR(INDEX(CAT_TIPO,MATCH($C1312,CAT_NOME,0)),"Sem categoria"))</f>
        <v/>
      </c>
      <c r="E1312" s="75">
        <f>IF($C1312="","",IFERROR(INDEX(CAT_GRUPO,MATCH($C1312,CAT_NOME,0)),"Sem categoria"))</f>
        <v/>
      </c>
      <c r="F1312" s="76" t="n"/>
      <c r="G1312" s="74" t="n"/>
      <c r="H1312" s="74" t="n"/>
      <c r="I1312" s="74" t="n"/>
      <c r="J1312" s="77" t="n"/>
      <c r="K1312" s="77" t="n"/>
      <c r="L1312" s="74" t="n"/>
      <c r="M1312" s="74" t="n"/>
      <c r="O1312" s="78">
        <f>IF($A1312="","",YEAR($A1312)*100+MONTH($A1312))</f>
        <v/>
      </c>
      <c r="P1312" s="79">
        <f>IF(OR($F1312="",$D1312=""),"",IF($D1312="Receita",$F1312,IF($D1312="Transferência",0,-$F1312)))</f>
        <v/>
      </c>
    </row>
    <row r="1313">
      <c r="A1313" s="73" t="n"/>
      <c r="B1313" s="74" t="n"/>
      <c r="C1313" s="74" t="n"/>
      <c r="D1313" s="75">
        <f>IF($C1313="","",IFERROR(INDEX(CAT_TIPO,MATCH($C1313,CAT_NOME,0)),"Sem categoria"))</f>
        <v/>
      </c>
      <c r="E1313" s="75">
        <f>IF($C1313="","",IFERROR(INDEX(CAT_GRUPO,MATCH($C1313,CAT_NOME,0)),"Sem categoria"))</f>
        <v/>
      </c>
      <c r="F1313" s="76" t="n"/>
      <c r="G1313" s="74" t="n"/>
      <c r="H1313" s="74" t="n"/>
      <c r="I1313" s="74" t="n"/>
      <c r="J1313" s="77" t="n"/>
      <c r="K1313" s="77" t="n"/>
      <c r="L1313" s="74" t="n"/>
      <c r="M1313" s="74" t="n"/>
      <c r="O1313" s="78">
        <f>IF($A1313="","",YEAR($A1313)*100+MONTH($A1313))</f>
        <v/>
      </c>
      <c r="P1313" s="79">
        <f>IF(OR($F1313="",$D1313=""),"",IF($D1313="Receita",$F1313,IF($D1313="Transferência",0,-$F1313)))</f>
        <v/>
      </c>
    </row>
    <row r="1314">
      <c r="A1314" s="73" t="n"/>
      <c r="B1314" s="74" t="n"/>
      <c r="C1314" s="74" t="n"/>
      <c r="D1314" s="75">
        <f>IF($C1314="","",IFERROR(INDEX(CAT_TIPO,MATCH($C1314,CAT_NOME,0)),"Sem categoria"))</f>
        <v/>
      </c>
      <c r="E1314" s="75">
        <f>IF($C1314="","",IFERROR(INDEX(CAT_GRUPO,MATCH($C1314,CAT_NOME,0)),"Sem categoria"))</f>
        <v/>
      </c>
      <c r="F1314" s="76" t="n"/>
      <c r="G1314" s="74" t="n"/>
      <c r="H1314" s="74" t="n"/>
      <c r="I1314" s="74" t="n"/>
      <c r="J1314" s="77" t="n"/>
      <c r="K1314" s="77" t="n"/>
      <c r="L1314" s="74" t="n"/>
      <c r="M1314" s="74" t="n"/>
      <c r="O1314" s="78">
        <f>IF($A1314="","",YEAR($A1314)*100+MONTH($A1314))</f>
        <v/>
      </c>
      <c r="P1314" s="79">
        <f>IF(OR($F1314="",$D1314=""),"",IF($D1314="Receita",$F1314,IF($D1314="Transferência",0,-$F1314)))</f>
        <v/>
      </c>
    </row>
    <row r="1315">
      <c r="A1315" s="73" t="n"/>
      <c r="B1315" s="74" t="n"/>
      <c r="C1315" s="74" t="n"/>
      <c r="D1315" s="75">
        <f>IF($C1315="","",IFERROR(INDEX(CAT_TIPO,MATCH($C1315,CAT_NOME,0)),"Sem categoria"))</f>
        <v/>
      </c>
      <c r="E1315" s="75">
        <f>IF($C1315="","",IFERROR(INDEX(CAT_GRUPO,MATCH($C1315,CAT_NOME,0)),"Sem categoria"))</f>
        <v/>
      </c>
      <c r="F1315" s="76" t="n"/>
      <c r="G1315" s="74" t="n"/>
      <c r="H1315" s="74" t="n"/>
      <c r="I1315" s="74" t="n"/>
      <c r="J1315" s="77" t="n"/>
      <c r="K1315" s="77" t="n"/>
      <c r="L1315" s="74" t="n"/>
      <c r="M1315" s="74" t="n"/>
      <c r="O1315" s="78">
        <f>IF($A1315="","",YEAR($A1315)*100+MONTH($A1315))</f>
        <v/>
      </c>
      <c r="P1315" s="79">
        <f>IF(OR($F1315="",$D1315=""),"",IF($D1315="Receita",$F1315,IF($D1315="Transferência",0,-$F1315)))</f>
        <v/>
      </c>
    </row>
    <row r="1316">
      <c r="A1316" s="73" t="n"/>
      <c r="B1316" s="74" t="n"/>
      <c r="C1316" s="74" t="n"/>
      <c r="D1316" s="75">
        <f>IF($C1316="","",IFERROR(INDEX(CAT_TIPO,MATCH($C1316,CAT_NOME,0)),"Sem categoria"))</f>
        <v/>
      </c>
      <c r="E1316" s="75">
        <f>IF($C1316="","",IFERROR(INDEX(CAT_GRUPO,MATCH($C1316,CAT_NOME,0)),"Sem categoria"))</f>
        <v/>
      </c>
      <c r="F1316" s="76" t="n"/>
      <c r="G1316" s="74" t="n"/>
      <c r="H1316" s="74" t="n"/>
      <c r="I1316" s="74" t="n"/>
      <c r="J1316" s="77" t="n"/>
      <c r="K1316" s="77" t="n"/>
      <c r="L1316" s="74" t="n"/>
      <c r="M1316" s="74" t="n"/>
      <c r="O1316" s="78">
        <f>IF($A1316="","",YEAR($A1316)*100+MONTH($A1316))</f>
        <v/>
      </c>
      <c r="P1316" s="79">
        <f>IF(OR($F1316="",$D1316=""),"",IF($D1316="Receita",$F1316,IF($D1316="Transferência",0,-$F1316)))</f>
        <v/>
      </c>
    </row>
    <row r="1317">
      <c r="A1317" s="73" t="n"/>
      <c r="B1317" s="74" t="n"/>
      <c r="C1317" s="74" t="n"/>
      <c r="D1317" s="75">
        <f>IF($C1317="","",IFERROR(INDEX(CAT_TIPO,MATCH($C1317,CAT_NOME,0)),"Sem categoria"))</f>
        <v/>
      </c>
      <c r="E1317" s="75">
        <f>IF($C1317="","",IFERROR(INDEX(CAT_GRUPO,MATCH($C1317,CAT_NOME,0)),"Sem categoria"))</f>
        <v/>
      </c>
      <c r="F1317" s="76" t="n"/>
      <c r="G1317" s="74" t="n"/>
      <c r="H1317" s="74" t="n"/>
      <c r="I1317" s="74" t="n"/>
      <c r="J1317" s="77" t="n"/>
      <c r="K1317" s="77" t="n"/>
      <c r="L1317" s="74" t="n"/>
      <c r="M1317" s="74" t="n"/>
      <c r="O1317" s="78">
        <f>IF($A1317="","",YEAR($A1317)*100+MONTH($A1317))</f>
        <v/>
      </c>
      <c r="P1317" s="79">
        <f>IF(OR($F1317="",$D1317=""),"",IF($D1317="Receita",$F1317,IF($D1317="Transferência",0,-$F1317)))</f>
        <v/>
      </c>
    </row>
    <row r="1318">
      <c r="A1318" s="73" t="n"/>
      <c r="B1318" s="74" t="n"/>
      <c r="C1318" s="74" t="n"/>
      <c r="D1318" s="75">
        <f>IF($C1318="","",IFERROR(INDEX(CAT_TIPO,MATCH($C1318,CAT_NOME,0)),"Sem categoria"))</f>
        <v/>
      </c>
      <c r="E1318" s="75">
        <f>IF($C1318="","",IFERROR(INDEX(CAT_GRUPO,MATCH($C1318,CAT_NOME,0)),"Sem categoria"))</f>
        <v/>
      </c>
      <c r="F1318" s="76" t="n"/>
      <c r="G1318" s="74" t="n"/>
      <c r="H1318" s="74" t="n"/>
      <c r="I1318" s="74" t="n"/>
      <c r="J1318" s="77" t="n"/>
      <c r="K1318" s="77" t="n"/>
      <c r="L1318" s="74" t="n"/>
      <c r="M1318" s="74" t="n"/>
      <c r="O1318" s="78">
        <f>IF($A1318="","",YEAR($A1318)*100+MONTH($A1318))</f>
        <v/>
      </c>
      <c r="P1318" s="79">
        <f>IF(OR($F1318="",$D1318=""),"",IF($D1318="Receita",$F1318,IF($D1318="Transferência",0,-$F1318)))</f>
        <v/>
      </c>
    </row>
    <row r="1319">
      <c r="A1319" s="73" t="n"/>
      <c r="B1319" s="74" t="n"/>
      <c r="C1319" s="74" t="n"/>
      <c r="D1319" s="75">
        <f>IF($C1319="","",IFERROR(INDEX(CAT_TIPO,MATCH($C1319,CAT_NOME,0)),"Sem categoria"))</f>
        <v/>
      </c>
      <c r="E1319" s="75">
        <f>IF($C1319="","",IFERROR(INDEX(CAT_GRUPO,MATCH($C1319,CAT_NOME,0)),"Sem categoria"))</f>
        <v/>
      </c>
      <c r="F1319" s="76" t="n"/>
      <c r="G1319" s="74" t="n"/>
      <c r="H1319" s="74" t="n"/>
      <c r="I1319" s="74" t="n"/>
      <c r="J1319" s="77" t="n"/>
      <c r="K1319" s="77" t="n"/>
      <c r="L1319" s="74" t="n"/>
      <c r="M1319" s="74" t="n"/>
      <c r="O1319" s="78">
        <f>IF($A1319="","",YEAR($A1319)*100+MONTH($A1319))</f>
        <v/>
      </c>
      <c r="P1319" s="79">
        <f>IF(OR($F1319="",$D1319=""),"",IF($D1319="Receita",$F1319,IF($D1319="Transferência",0,-$F1319)))</f>
        <v/>
      </c>
    </row>
    <row r="1320">
      <c r="A1320" s="73" t="n"/>
      <c r="B1320" s="74" t="n"/>
      <c r="C1320" s="74" t="n"/>
      <c r="D1320" s="75">
        <f>IF($C1320="","",IFERROR(INDEX(CAT_TIPO,MATCH($C1320,CAT_NOME,0)),"Sem categoria"))</f>
        <v/>
      </c>
      <c r="E1320" s="75">
        <f>IF($C1320="","",IFERROR(INDEX(CAT_GRUPO,MATCH($C1320,CAT_NOME,0)),"Sem categoria"))</f>
        <v/>
      </c>
      <c r="F1320" s="76" t="n"/>
      <c r="G1320" s="74" t="n"/>
      <c r="H1320" s="74" t="n"/>
      <c r="I1320" s="74" t="n"/>
      <c r="J1320" s="77" t="n"/>
      <c r="K1320" s="77" t="n"/>
      <c r="L1320" s="74" t="n"/>
      <c r="M1320" s="74" t="n"/>
      <c r="O1320" s="78">
        <f>IF($A1320="","",YEAR($A1320)*100+MONTH($A1320))</f>
        <v/>
      </c>
      <c r="P1320" s="79">
        <f>IF(OR($F1320="",$D1320=""),"",IF($D1320="Receita",$F1320,IF($D1320="Transferência",0,-$F1320)))</f>
        <v/>
      </c>
    </row>
    <row r="1321">
      <c r="A1321" s="73" t="n"/>
      <c r="B1321" s="74" t="n"/>
      <c r="C1321" s="74" t="n"/>
      <c r="D1321" s="75">
        <f>IF($C1321="","",IFERROR(INDEX(CAT_TIPO,MATCH($C1321,CAT_NOME,0)),"Sem categoria"))</f>
        <v/>
      </c>
      <c r="E1321" s="75">
        <f>IF($C1321="","",IFERROR(INDEX(CAT_GRUPO,MATCH($C1321,CAT_NOME,0)),"Sem categoria"))</f>
        <v/>
      </c>
      <c r="F1321" s="76" t="n"/>
      <c r="G1321" s="74" t="n"/>
      <c r="H1321" s="74" t="n"/>
      <c r="I1321" s="74" t="n"/>
      <c r="J1321" s="77" t="n"/>
      <c r="K1321" s="77" t="n"/>
      <c r="L1321" s="74" t="n"/>
      <c r="M1321" s="74" t="n"/>
      <c r="O1321" s="78">
        <f>IF($A1321="","",YEAR($A1321)*100+MONTH($A1321))</f>
        <v/>
      </c>
      <c r="P1321" s="79">
        <f>IF(OR($F1321="",$D1321=""),"",IF($D1321="Receita",$F1321,IF($D1321="Transferência",0,-$F1321)))</f>
        <v/>
      </c>
    </row>
    <row r="1322">
      <c r="A1322" s="73" t="n"/>
      <c r="B1322" s="74" t="n"/>
      <c r="C1322" s="74" t="n"/>
      <c r="D1322" s="75">
        <f>IF($C1322="","",IFERROR(INDEX(CAT_TIPO,MATCH($C1322,CAT_NOME,0)),"Sem categoria"))</f>
        <v/>
      </c>
      <c r="E1322" s="75">
        <f>IF($C1322="","",IFERROR(INDEX(CAT_GRUPO,MATCH($C1322,CAT_NOME,0)),"Sem categoria"))</f>
        <v/>
      </c>
      <c r="F1322" s="76" t="n"/>
      <c r="G1322" s="74" t="n"/>
      <c r="H1322" s="74" t="n"/>
      <c r="I1322" s="74" t="n"/>
      <c r="J1322" s="77" t="n"/>
      <c r="K1322" s="77" t="n"/>
      <c r="L1322" s="74" t="n"/>
      <c r="M1322" s="74" t="n"/>
      <c r="O1322" s="78">
        <f>IF($A1322="","",YEAR($A1322)*100+MONTH($A1322))</f>
        <v/>
      </c>
      <c r="P1322" s="79">
        <f>IF(OR($F1322="",$D1322=""),"",IF($D1322="Receita",$F1322,IF($D1322="Transferência",0,-$F1322)))</f>
        <v/>
      </c>
    </row>
    <row r="1323">
      <c r="A1323" s="73" t="n"/>
      <c r="B1323" s="74" t="n"/>
      <c r="C1323" s="74" t="n"/>
      <c r="D1323" s="75">
        <f>IF($C1323="","",IFERROR(INDEX(CAT_TIPO,MATCH($C1323,CAT_NOME,0)),"Sem categoria"))</f>
        <v/>
      </c>
      <c r="E1323" s="75">
        <f>IF($C1323="","",IFERROR(INDEX(CAT_GRUPO,MATCH($C1323,CAT_NOME,0)),"Sem categoria"))</f>
        <v/>
      </c>
      <c r="F1323" s="76" t="n"/>
      <c r="G1323" s="74" t="n"/>
      <c r="H1323" s="74" t="n"/>
      <c r="I1323" s="74" t="n"/>
      <c r="J1323" s="77" t="n"/>
      <c r="K1323" s="77" t="n"/>
      <c r="L1323" s="74" t="n"/>
      <c r="M1323" s="74" t="n"/>
      <c r="O1323" s="78">
        <f>IF($A1323="","",YEAR($A1323)*100+MONTH($A1323))</f>
        <v/>
      </c>
      <c r="P1323" s="79">
        <f>IF(OR($F1323="",$D1323=""),"",IF($D1323="Receita",$F1323,IF($D1323="Transferência",0,-$F1323)))</f>
        <v/>
      </c>
    </row>
    <row r="1324">
      <c r="A1324" s="73" t="n"/>
      <c r="B1324" s="74" t="n"/>
      <c r="C1324" s="74" t="n"/>
      <c r="D1324" s="75">
        <f>IF($C1324="","",IFERROR(INDEX(CAT_TIPO,MATCH($C1324,CAT_NOME,0)),"Sem categoria"))</f>
        <v/>
      </c>
      <c r="E1324" s="75">
        <f>IF($C1324="","",IFERROR(INDEX(CAT_GRUPO,MATCH($C1324,CAT_NOME,0)),"Sem categoria"))</f>
        <v/>
      </c>
      <c r="F1324" s="76" t="n"/>
      <c r="G1324" s="74" t="n"/>
      <c r="H1324" s="74" t="n"/>
      <c r="I1324" s="74" t="n"/>
      <c r="J1324" s="77" t="n"/>
      <c r="K1324" s="77" t="n"/>
      <c r="L1324" s="74" t="n"/>
      <c r="M1324" s="74" t="n"/>
      <c r="O1324" s="78">
        <f>IF($A1324="","",YEAR($A1324)*100+MONTH($A1324))</f>
        <v/>
      </c>
      <c r="P1324" s="79">
        <f>IF(OR($F1324="",$D1324=""),"",IF($D1324="Receita",$F1324,IF($D1324="Transferência",0,-$F1324)))</f>
        <v/>
      </c>
    </row>
    <row r="1325">
      <c r="A1325" s="73" t="n"/>
      <c r="B1325" s="74" t="n"/>
      <c r="C1325" s="74" t="n"/>
      <c r="D1325" s="75">
        <f>IF($C1325="","",IFERROR(INDEX(CAT_TIPO,MATCH($C1325,CAT_NOME,0)),"Sem categoria"))</f>
        <v/>
      </c>
      <c r="E1325" s="75">
        <f>IF($C1325="","",IFERROR(INDEX(CAT_GRUPO,MATCH($C1325,CAT_NOME,0)),"Sem categoria"))</f>
        <v/>
      </c>
      <c r="F1325" s="76" t="n"/>
      <c r="G1325" s="74" t="n"/>
      <c r="H1325" s="74" t="n"/>
      <c r="I1325" s="74" t="n"/>
      <c r="J1325" s="77" t="n"/>
      <c r="K1325" s="77" t="n"/>
      <c r="L1325" s="74" t="n"/>
      <c r="M1325" s="74" t="n"/>
      <c r="O1325" s="78">
        <f>IF($A1325="","",YEAR($A1325)*100+MONTH($A1325))</f>
        <v/>
      </c>
      <c r="P1325" s="79">
        <f>IF(OR($F1325="",$D1325=""),"",IF($D1325="Receita",$F1325,IF($D1325="Transferência",0,-$F1325)))</f>
        <v/>
      </c>
    </row>
    <row r="1326">
      <c r="A1326" s="73" t="n"/>
      <c r="B1326" s="74" t="n"/>
      <c r="C1326" s="74" t="n"/>
      <c r="D1326" s="75">
        <f>IF($C1326="","",IFERROR(INDEX(CAT_TIPO,MATCH($C1326,CAT_NOME,0)),"Sem categoria"))</f>
        <v/>
      </c>
      <c r="E1326" s="75">
        <f>IF($C1326="","",IFERROR(INDEX(CAT_GRUPO,MATCH($C1326,CAT_NOME,0)),"Sem categoria"))</f>
        <v/>
      </c>
      <c r="F1326" s="76" t="n"/>
      <c r="G1326" s="74" t="n"/>
      <c r="H1326" s="74" t="n"/>
      <c r="I1326" s="74" t="n"/>
      <c r="J1326" s="77" t="n"/>
      <c r="K1326" s="77" t="n"/>
      <c r="L1326" s="74" t="n"/>
      <c r="M1326" s="74" t="n"/>
      <c r="O1326" s="78">
        <f>IF($A1326="","",YEAR($A1326)*100+MONTH($A1326))</f>
        <v/>
      </c>
      <c r="P1326" s="79">
        <f>IF(OR($F1326="",$D1326=""),"",IF($D1326="Receita",$F1326,IF($D1326="Transferência",0,-$F1326)))</f>
        <v/>
      </c>
    </row>
    <row r="1327">
      <c r="A1327" s="73" t="n"/>
      <c r="B1327" s="74" t="n"/>
      <c r="C1327" s="74" t="n"/>
      <c r="D1327" s="75">
        <f>IF($C1327="","",IFERROR(INDEX(CAT_TIPO,MATCH($C1327,CAT_NOME,0)),"Sem categoria"))</f>
        <v/>
      </c>
      <c r="E1327" s="75">
        <f>IF($C1327="","",IFERROR(INDEX(CAT_GRUPO,MATCH($C1327,CAT_NOME,0)),"Sem categoria"))</f>
        <v/>
      </c>
      <c r="F1327" s="76" t="n"/>
      <c r="G1327" s="74" t="n"/>
      <c r="H1327" s="74" t="n"/>
      <c r="I1327" s="74" t="n"/>
      <c r="J1327" s="77" t="n"/>
      <c r="K1327" s="77" t="n"/>
      <c r="L1327" s="74" t="n"/>
      <c r="M1327" s="74" t="n"/>
      <c r="O1327" s="78">
        <f>IF($A1327="","",YEAR($A1327)*100+MONTH($A1327))</f>
        <v/>
      </c>
      <c r="P1327" s="79">
        <f>IF(OR($F1327="",$D1327=""),"",IF($D1327="Receita",$F1327,IF($D1327="Transferência",0,-$F1327)))</f>
        <v/>
      </c>
    </row>
    <row r="1328">
      <c r="A1328" s="73" t="n"/>
      <c r="B1328" s="74" t="n"/>
      <c r="C1328" s="74" t="n"/>
      <c r="D1328" s="75">
        <f>IF($C1328="","",IFERROR(INDEX(CAT_TIPO,MATCH($C1328,CAT_NOME,0)),"Sem categoria"))</f>
        <v/>
      </c>
      <c r="E1328" s="75">
        <f>IF($C1328="","",IFERROR(INDEX(CAT_GRUPO,MATCH($C1328,CAT_NOME,0)),"Sem categoria"))</f>
        <v/>
      </c>
      <c r="F1328" s="76" t="n"/>
      <c r="G1328" s="74" t="n"/>
      <c r="H1328" s="74" t="n"/>
      <c r="I1328" s="74" t="n"/>
      <c r="J1328" s="77" t="n"/>
      <c r="K1328" s="77" t="n"/>
      <c r="L1328" s="74" t="n"/>
      <c r="M1328" s="74" t="n"/>
      <c r="O1328" s="78">
        <f>IF($A1328="","",YEAR($A1328)*100+MONTH($A1328))</f>
        <v/>
      </c>
      <c r="P1328" s="79">
        <f>IF(OR($F1328="",$D1328=""),"",IF($D1328="Receita",$F1328,IF($D1328="Transferência",0,-$F1328)))</f>
        <v/>
      </c>
    </row>
    <row r="1329">
      <c r="A1329" s="73" t="n"/>
      <c r="B1329" s="74" t="n"/>
      <c r="C1329" s="74" t="n"/>
      <c r="D1329" s="75">
        <f>IF($C1329="","",IFERROR(INDEX(CAT_TIPO,MATCH($C1329,CAT_NOME,0)),"Sem categoria"))</f>
        <v/>
      </c>
      <c r="E1329" s="75">
        <f>IF($C1329="","",IFERROR(INDEX(CAT_GRUPO,MATCH($C1329,CAT_NOME,0)),"Sem categoria"))</f>
        <v/>
      </c>
      <c r="F1329" s="76" t="n"/>
      <c r="G1329" s="74" t="n"/>
      <c r="H1329" s="74" t="n"/>
      <c r="I1329" s="74" t="n"/>
      <c r="J1329" s="77" t="n"/>
      <c r="K1329" s="77" t="n"/>
      <c r="L1329" s="74" t="n"/>
      <c r="M1329" s="74" t="n"/>
      <c r="O1329" s="78">
        <f>IF($A1329="","",YEAR($A1329)*100+MONTH($A1329))</f>
        <v/>
      </c>
      <c r="P1329" s="79">
        <f>IF(OR($F1329="",$D1329=""),"",IF($D1329="Receita",$F1329,IF($D1329="Transferência",0,-$F1329)))</f>
        <v/>
      </c>
    </row>
    <row r="1330">
      <c r="A1330" s="73" t="n"/>
      <c r="B1330" s="74" t="n"/>
      <c r="C1330" s="74" t="n"/>
      <c r="D1330" s="75">
        <f>IF($C1330="","",IFERROR(INDEX(CAT_TIPO,MATCH($C1330,CAT_NOME,0)),"Sem categoria"))</f>
        <v/>
      </c>
      <c r="E1330" s="75">
        <f>IF($C1330="","",IFERROR(INDEX(CAT_GRUPO,MATCH($C1330,CAT_NOME,0)),"Sem categoria"))</f>
        <v/>
      </c>
      <c r="F1330" s="76" t="n"/>
      <c r="G1330" s="74" t="n"/>
      <c r="H1330" s="74" t="n"/>
      <c r="I1330" s="74" t="n"/>
      <c r="J1330" s="77" t="n"/>
      <c r="K1330" s="77" t="n"/>
      <c r="L1330" s="74" t="n"/>
      <c r="M1330" s="74" t="n"/>
      <c r="O1330" s="78">
        <f>IF($A1330="","",YEAR($A1330)*100+MONTH($A1330))</f>
        <v/>
      </c>
      <c r="P1330" s="79">
        <f>IF(OR($F1330="",$D1330=""),"",IF($D1330="Receita",$F1330,IF($D1330="Transferência",0,-$F1330)))</f>
        <v/>
      </c>
    </row>
    <row r="1331">
      <c r="A1331" s="73" t="n"/>
      <c r="B1331" s="74" t="n"/>
      <c r="C1331" s="74" t="n"/>
      <c r="D1331" s="75">
        <f>IF($C1331="","",IFERROR(INDEX(CAT_TIPO,MATCH($C1331,CAT_NOME,0)),"Sem categoria"))</f>
        <v/>
      </c>
      <c r="E1331" s="75">
        <f>IF($C1331="","",IFERROR(INDEX(CAT_GRUPO,MATCH($C1331,CAT_NOME,0)),"Sem categoria"))</f>
        <v/>
      </c>
      <c r="F1331" s="76" t="n"/>
      <c r="G1331" s="74" t="n"/>
      <c r="H1331" s="74" t="n"/>
      <c r="I1331" s="74" t="n"/>
      <c r="J1331" s="77" t="n"/>
      <c r="K1331" s="77" t="n"/>
      <c r="L1331" s="74" t="n"/>
      <c r="M1331" s="74" t="n"/>
      <c r="O1331" s="78">
        <f>IF($A1331="","",YEAR($A1331)*100+MONTH($A1331))</f>
        <v/>
      </c>
      <c r="P1331" s="79">
        <f>IF(OR($F1331="",$D1331=""),"",IF($D1331="Receita",$F1331,IF($D1331="Transferência",0,-$F1331)))</f>
        <v/>
      </c>
    </row>
    <row r="1332">
      <c r="A1332" s="73" t="n"/>
      <c r="B1332" s="74" t="n"/>
      <c r="C1332" s="74" t="n"/>
      <c r="D1332" s="75">
        <f>IF($C1332="","",IFERROR(INDEX(CAT_TIPO,MATCH($C1332,CAT_NOME,0)),"Sem categoria"))</f>
        <v/>
      </c>
      <c r="E1332" s="75">
        <f>IF($C1332="","",IFERROR(INDEX(CAT_GRUPO,MATCH($C1332,CAT_NOME,0)),"Sem categoria"))</f>
        <v/>
      </c>
      <c r="F1332" s="76" t="n"/>
      <c r="G1332" s="74" t="n"/>
      <c r="H1332" s="74" t="n"/>
      <c r="I1332" s="74" t="n"/>
      <c r="J1332" s="77" t="n"/>
      <c r="K1332" s="77" t="n"/>
      <c r="L1332" s="74" t="n"/>
      <c r="M1332" s="74" t="n"/>
      <c r="O1332" s="78">
        <f>IF($A1332="","",YEAR($A1332)*100+MONTH($A1332))</f>
        <v/>
      </c>
      <c r="P1332" s="79">
        <f>IF(OR($F1332="",$D1332=""),"",IF($D1332="Receita",$F1332,IF($D1332="Transferência",0,-$F1332)))</f>
        <v/>
      </c>
    </row>
    <row r="1333">
      <c r="A1333" s="73" t="n"/>
      <c r="B1333" s="74" t="n"/>
      <c r="C1333" s="74" t="n"/>
      <c r="D1333" s="75">
        <f>IF($C1333="","",IFERROR(INDEX(CAT_TIPO,MATCH($C1333,CAT_NOME,0)),"Sem categoria"))</f>
        <v/>
      </c>
      <c r="E1333" s="75">
        <f>IF($C1333="","",IFERROR(INDEX(CAT_GRUPO,MATCH($C1333,CAT_NOME,0)),"Sem categoria"))</f>
        <v/>
      </c>
      <c r="F1333" s="76" t="n"/>
      <c r="G1333" s="74" t="n"/>
      <c r="H1333" s="74" t="n"/>
      <c r="I1333" s="74" t="n"/>
      <c r="J1333" s="77" t="n"/>
      <c r="K1333" s="77" t="n"/>
      <c r="L1333" s="74" t="n"/>
      <c r="M1333" s="74" t="n"/>
      <c r="O1333" s="78">
        <f>IF($A1333="","",YEAR($A1333)*100+MONTH($A1333))</f>
        <v/>
      </c>
      <c r="P1333" s="79">
        <f>IF(OR($F1333="",$D1333=""),"",IF($D1333="Receita",$F1333,IF($D1333="Transferência",0,-$F1333)))</f>
        <v/>
      </c>
    </row>
    <row r="1334">
      <c r="A1334" s="73" t="n"/>
      <c r="B1334" s="74" t="n"/>
      <c r="C1334" s="74" t="n"/>
      <c r="D1334" s="75">
        <f>IF($C1334="","",IFERROR(INDEX(CAT_TIPO,MATCH($C1334,CAT_NOME,0)),"Sem categoria"))</f>
        <v/>
      </c>
      <c r="E1334" s="75">
        <f>IF($C1334="","",IFERROR(INDEX(CAT_GRUPO,MATCH($C1334,CAT_NOME,0)),"Sem categoria"))</f>
        <v/>
      </c>
      <c r="F1334" s="76" t="n"/>
      <c r="G1334" s="74" t="n"/>
      <c r="H1334" s="74" t="n"/>
      <c r="I1334" s="74" t="n"/>
      <c r="J1334" s="77" t="n"/>
      <c r="K1334" s="77" t="n"/>
      <c r="L1334" s="74" t="n"/>
      <c r="M1334" s="74" t="n"/>
      <c r="O1334" s="78">
        <f>IF($A1334="","",YEAR($A1334)*100+MONTH($A1334))</f>
        <v/>
      </c>
      <c r="P1334" s="79">
        <f>IF(OR($F1334="",$D1334=""),"",IF($D1334="Receita",$F1334,IF($D1334="Transferência",0,-$F1334)))</f>
        <v/>
      </c>
    </row>
    <row r="1335">
      <c r="A1335" s="73" t="n"/>
      <c r="B1335" s="74" t="n"/>
      <c r="C1335" s="74" t="n"/>
      <c r="D1335" s="75">
        <f>IF($C1335="","",IFERROR(INDEX(CAT_TIPO,MATCH($C1335,CAT_NOME,0)),"Sem categoria"))</f>
        <v/>
      </c>
      <c r="E1335" s="75">
        <f>IF($C1335="","",IFERROR(INDEX(CAT_GRUPO,MATCH($C1335,CAT_NOME,0)),"Sem categoria"))</f>
        <v/>
      </c>
      <c r="F1335" s="76" t="n"/>
      <c r="G1335" s="74" t="n"/>
      <c r="H1335" s="74" t="n"/>
      <c r="I1335" s="74" t="n"/>
      <c r="J1335" s="77" t="n"/>
      <c r="K1335" s="77" t="n"/>
      <c r="L1335" s="74" t="n"/>
      <c r="M1335" s="74" t="n"/>
      <c r="O1335" s="78">
        <f>IF($A1335="","",YEAR($A1335)*100+MONTH($A1335))</f>
        <v/>
      </c>
      <c r="P1335" s="79">
        <f>IF(OR($F1335="",$D1335=""),"",IF($D1335="Receita",$F1335,IF($D1335="Transferência",0,-$F1335)))</f>
        <v/>
      </c>
    </row>
    <row r="1336">
      <c r="A1336" s="73" t="n"/>
      <c r="B1336" s="74" t="n"/>
      <c r="C1336" s="74" t="n"/>
      <c r="D1336" s="75">
        <f>IF($C1336="","",IFERROR(INDEX(CAT_TIPO,MATCH($C1336,CAT_NOME,0)),"Sem categoria"))</f>
        <v/>
      </c>
      <c r="E1336" s="75">
        <f>IF($C1336="","",IFERROR(INDEX(CAT_GRUPO,MATCH($C1336,CAT_NOME,0)),"Sem categoria"))</f>
        <v/>
      </c>
      <c r="F1336" s="76" t="n"/>
      <c r="G1336" s="74" t="n"/>
      <c r="H1336" s="74" t="n"/>
      <c r="I1336" s="74" t="n"/>
      <c r="J1336" s="77" t="n"/>
      <c r="K1336" s="77" t="n"/>
      <c r="L1336" s="74" t="n"/>
      <c r="M1336" s="74" t="n"/>
      <c r="O1336" s="78">
        <f>IF($A1336="","",YEAR($A1336)*100+MONTH($A1336))</f>
        <v/>
      </c>
      <c r="P1336" s="79">
        <f>IF(OR($F1336="",$D1336=""),"",IF($D1336="Receita",$F1336,IF($D1336="Transferência",0,-$F1336)))</f>
        <v/>
      </c>
    </row>
    <row r="1337">
      <c r="A1337" s="73" t="n"/>
      <c r="B1337" s="74" t="n"/>
      <c r="C1337" s="74" t="n"/>
      <c r="D1337" s="75">
        <f>IF($C1337="","",IFERROR(INDEX(CAT_TIPO,MATCH($C1337,CAT_NOME,0)),"Sem categoria"))</f>
        <v/>
      </c>
      <c r="E1337" s="75">
        <f>IF($C1337="","",IFERROR(INDEX(CAT_GRUPO,MATCH($C1337,CAT_NOME,0)),"Sem categoria"))</f>
        <v/>
      </c>
      <c r="F1337" s="76" t="n"/>
      <c r="G1337" s="74" t="n"/>
      <c r="H1337" s="74" t="n"/>
      <c r="I1337" s="74" t="n"/>
      <c r="J1337" s="77" t="n"/>
      <c r="K1337" s="77" t="n"/>
      <c r="L1337" s="74" t="n"/>
      <c r="M1337" s="74" t="n"/>
      <c r="O1337" s="78">
        <f>IF($A1337="","",YEAR($A1337)*100+MONTH($A1337))</f>
        <v/>
      </c>
      <c r="P1337" s="79">
        <f>IF(OR($F1337="",$D1337=""),"",IF($D1337="Receita",$F1337,IF($D1337="Transferência",0,-$F1337)))</f>
        <v/>
      </c>
    </row>
    <row r="1338">
      <c r="A1338" s="73" t="n"/>
      <c r="B1338" s="74" t="n"/>
      <c r="C1338" s="74" t="n"/>
      <c r="D1338" s="75">
        <f>IF($C1338="","",IFERROR(INDEX(CAT_TIPO,MATCH($C1338,CAT_NOME,0)),"Sem categoria"))</f>
        <v/>
      </c>
      <c r="E1338" s="75">
        <f>IF($C1338="","",IFERROR(INDEX(CAT_GRUPO,MATCH($C1338,CAT_NOME,0)),"Sem categoria"))</f>
        <v/>
      </c>
      <c r="F1338" s="76" t="n"/>
      <c r="G1338" s="74" t="n"/>
      <c r="H1338" s="74" t="n"/>
      <c r="I1338" s="74" t="n"/>
      <c r="J1338" s="77" t="n"/>
      <c r="K1338" s="77" t="n"/>
      <c r="L1338" s="74" t="n"/>
      <c r="M1338" s="74" t="n"/>
      <c r="O1338" s="78">
        <f>IF($A1338="","",YEAR($A1338)*100+MONTH($A1338))</f>
        <v/>
      </c>
      <c r="P1338" s="79">
        <f>IF(OR($F1338="",$D1338=""),"",IF($D1338="Receita",$F1338,IF($D1338="Transferência",0,-$F1338)))</f>
        <v/>
      </c>
    </row>
    <row r="1339">
      <c r="A1339" s="73" t="n"/>
      <c r="B1339" s="74" t="n"/>
      <c r="C1339" s="74" t="n"/>
      <c r="D1339" s="75">
        <f>IF($C1339="","",IFERROR(INDEX(CAT_TIPO,MATCH($C1339,CAT_NOME,0)),"Sem categoria"))</f>
        <v/>
      </c>
      <c r="E1339" s="75">
        <f>IF($C1339="","",IFERROR(INDEX(CAT_GRUPO,MATCH($C1339,CAT_NOME,0)),"Sem categoria"))</f>
        <v/>
      </c>
      <c r="F1339" s="76" t="n"/>
      <c r="G1339" s="74" t="n"/>
      <c r="H1339" s="74" t="n"/>
      <c r="I1339" s="74" t="n"/>
      <c r="J1339" s="77" t="n"/>
      <c r="K1339" s="77" t="n"/>
      <c r="L1339" s="74" t="n"/>
      <c r="M1339" s="74" t="n"/>
      <c r="O1339" s="78">
        <f>IF($A1339="","",YEAR($A1339)*100+MONTH($A1339))</f>
        <v/>
      </c>
      <c r="P1339" s="79">
        <f>IF(OR($F1339="",$D1339=""),"",IF($D1339="Receita",$F1339,IF($D1339="Transferência",0,-$F1339)))</f>
        <v/>
      </c>
    </row>
    <row r="1340">
      <c r="A1340" s="73" t="n"/>
      <c r="B1340" s="74" t="n"/>
      <c r="C1340" s="74" t="n"/>
      <c r="D1340" s="75">
        <f>IF($C1340="","",IFERROR(INDEX(CAT_TIPO,MATCH($C1340,CAT_NOME,0)),"Sem categoria"))</f>
        <v/>
      </c>
      <c r="E1340" s="75">
        <f>IF($C1340="","",IFERROR(INDEX(CAT_GRUPO,MATCH($C1340,CAT_NOME,0)),"Sem categoria"))</f>
        <v/>
      </c>
      <c r="F1340" s="76" t="n"/>
      <c r="G1340" s="74" t="n"/>
      <c r="H1340" s="74" t="n"/>
      <c r="I1340" s="74" t="n"/>
      <c r="J1340" s="77" t="n"/>
      <c r="K1340" s="77" t="n"/>
      <c r="L1340" s="74" t="n"/>
      <c r="M1340" s="74" t="n"/>
      <c r="O1340" s="78">
        <f>IF($A1340="","",YEAR($A1340)*100+MONTH($A1340))</f>
        <v/>
      </c>
      <c r="P1340" s="79">
        <f>IF(OR($F1340="",$D1340=""),"",IF($D1340="Receita",$F1340,IF($D1340="Transferência",0,-$F1340)))</f>
        <v/>
      </c>
    </row>
    <row r="1341">
      <c r="A1341" s="73" t="n"/>
      <c r="B1341" s="74" t="n"/>
      <c r="C1341" s="74" t="n"/>
      <c r="D1341" s="75">
        <f>IF($C1341="","",IFERROR(INDEX(CAT_TIPO,MATCH($C1341,CAT_NOME,0)),"Sem categoria"))</f>
        <v/>
      </c>
      <c r="E1341" s="75">
        <f>IF($C1341="","",IFERROR(INDEX(CAT_GRUPO,MATCH($C1341,CAT_NOME,0)),"Sem categoria"))</f>
        <v/>
      </c>
      <c r="F1341" s="76" t="n"/>
      <c r="G1341" s="74" t="n"/>
      <c r="H1341" s="74" t="n"/>
      <c r="I1341" s="74" t="n"/>
      <c r="J1341" s="77" t="n"/>
      <c r="K1341" s="77" t="n"/>
      <c r="L1341" s="74" t="n"/>
      <c r="M1341" s="74" t="n"/>
      <c r="O1341" s="78">
        <f>IF($A1341="","",YEAR($A1341)*100+MONTH($A1341))</f>
        <v/>
      </c>
      <c r="P1341" s="79">
        <f>IF(OR($F1341="",$D1341=""),"",IF($D1341="Receita",$F1341,IF($D1341="Transferência",0,-$F1341)))</f>
        <v/>
      </c>
    </row>
    <row r="1342">
      <c r="A1342" s="73" t="n"/>
      <c r="B1342" s="74" t="n"/>
      <c r="C1342" s="74" t="n"/>
      <c r="D1342" s="75">
        <f>IF($C1342="","",IFERROR(INDEX(CAT_TIPO,MATCH($C1342,CAT_NOME,0)),"Sem categoria"))</f>
        <v/>
      </c>
      <c r="E1342" s="75">
        <f>IF($C1342="","",IFERROR(INDEX(CAT_GRUPO,MATCH($C1342,CAT_NOME,0)),"Sem categoria"))</f>
        <v/>
      </c>
      <c r="F1342" s="76" t="n"/>
      <c r="G1342" s="74" t="n"/>
      <c r="H1342" s="74" t="n"/>
      <c r="I1342" s="74" t="n"/>
      <c r="J1342" s="77" t="n"/>
      <c r="K1342" s="77" t="n"/>
      <c r="L1342" s="74" t="n"/>
      <c r="M1342" s="74" t="n"/>
      <c r="O1342" s="78">
        <f>IF($A1342="","",YEAR($A1342)*100+MONTH($A1342))</f>
        <v/>
      </c>
      <c r="P1342" s="79">
        <f>IF(OR($F1342="",$D1342=""),"",IF($D1342="Receita",$F1342,IF($D1342="Transferência",0,-$F1342)))</f>
        <v/>
      </c>
    </row>
    <row r="1343">
      <c r="A1343" s="73" t="n"/>
      <c r="B1343" s="74" t="n"/>
      <c r="C1343" s="74" t="n"/>
      <c r="D1343" s="75">
        <f>IF($C1343="","",IFERROR(INDEX(CAT_TIPO,MATCH($C1343,CAT_NOME,0)),"Sem categoria"))</f>
        <v/>
      </c>
      <c r="E1343" s="75">
        <f>IF($C1343="","",IFERROR(INDEX(CAT_GRUPO,MATCH($C1343,CAT_NOME,0)),"Sem categoria"))</f>
        <v/>
      </c>
      <c r="F1343" s="76" t="n"/>
      <c r="G1343" s="74" t="n"/>
      <c r="H1343" s="74" t="n"/>
      <c r="I1343" s="74" t="n"/>
      <c r="J1343" s="77" t="n"/>
      <c r="K1343" s="77" t="n"/>
      <c r="L1343" s="74" t="n"/>
      <c r="M1343" s="74" t="n"/>
      <c r="O1343" s="78">
        <f>IF($A1343="","",YEAR($A1343)*100+MONTH($A1343))</f>
        <v/>
      </c>
      <c r="P1343" s="79">
        <f>IF(OR($F1343="",$D1343=""),"",IF($D1343="Receita",$F1343,IF($D1343="Transferência",0,-$F1343)))</f>
        <v/>
      </c>
    </row>
    <row r="1344">
      <c r="A1344" s="73" t="n"/>
      <c r="B1344" s="74" t="n"/>
      <c r="C1344" s="74" t="n"/>
      <c r="D1344" s="75">
        <f>IF($C1344="","",IFERROR(INDEX(CAT_TIPO,MATCH($C1344,CAT_NOME,0)),"Sem categoria"))</f>
        <v/>
      </c>
      <c r="E1344" s="75">
        <f>IF($C1344="","",IFERROR(INDEX(CAT_GRUPO,MATCH($C1344,CAT_NOME,0)),"Sem categoria"))</f>
        <v/>
      </c>
      <c r="F1344" s="76" t="n"/>
      <c r="G1344" s="74" t="n"/>
      <c r="H1344" s="74" t="n"/>
      <c r="I1344" s="74" t="n"/>
      <c r="J1344" s="77" t="n"/>
      <c r="K1344" s="77" t="n"/>
      <c r="L1344" s="74" t="n"/>
      <c r="M1344" s="74" t="n"/>
      <c r="O1344" s="78">
        <f>IF($A1344="","",YEAR($A1344)*100+MONTH($A1344))</f>
        <v/>
      </c>
      <c r="P1344" s="79">
        <f>IF(OR($F1344="",$D1344=""),"",IF($D1344="Receita",$F1344,IF($D1344="Transferência",0,-$F1344)))</f>
        <v/>
      </c>
    </row>
    <row r="1345">
      <c r="A1345" s="73" t="n"/>
      <c r="B1345" s="74" t="n"/>
      <c r="C1345" s="74" t="n"/>
      <c r="D1345" s="75">
        <f>IF($C1345="","",IFERROR(INDEX(CAT_TIPO,MATCH($C1345,CAT_NOME,0)),"Sem categoria"))</f>
        <v/>
      </c>
      <c r="E1345" s="75">
        <f>IF($C1345="","",IFERROR(INDEX(CAT_GRUPO,MATCH($C1345,CAT_NOME,0)),"Sem categoria"))</f>
        <v/>
      </c>
      <c r="F1345" s="76" t="n"/>
      <c r="G1345" s="74" t="n"/>
      <c r="H1345" s="74" t="n"/>
      <c r="I1345" s="74" t="n"/>
      <c r="J1345" s="77" t="n"/>
      <c r="K1345" s="77" t="n"/>
      <c r="L1345" s="74" t="n"/>
      <c r="M1345" s="74" t="n"/>
      <c r="O1345" s="78">
        <f>IF($A1345="","",YEAR($A1345)*100+MONTH($A1345))</f>
        <v/>
      </c>
      <c r="P1345" s="79">
        <f>IF(OR($F1345="",$D1345=""),"",IF($D1345="Receita",$F1345,IF($D1345="Transferência",0,-$F1345)))</f>
        <v/>
      </c>
    </row>
    <row r="1346">
      <c r="A1346" s="73" t="n"/>
      <c r="B1346" s="74" t="n"/>
      <c r="C1346" s="74" t="n"/>
      <c r="D1346" s="75">
        <f>IF($C1346="","",IFERROR(INDEX(CAT_TIPO,MATCH($C1346,CAT_NOME,0)),"Sem categoria"))</f>
        <v/>
      </c>
      <c r="E1346" s="75">
        <f>IF($C1346="","",IFERROR(INDEX(CAT_GRUPO,MATCH($C1346,CAT_NOME,0)),"Sem categoria"))</f>
        <v/>
      </c>
      <c r="F1346" s="76" t="n"/>
      <c r="G1346" s="74" t="n"/>
      <c r="H1346" s="74" t="n"/>
      <c r="I1346" s="74" t="n"/>
      <c r="J1346" s="77" t="n"/>
      <c r="K1346" s="77" t="n"/>
      <c r="L1346" s="74" t="n"/>
      <c r="M1346" s="74" t="n"/>
      <c r="O1346" s="78">
        <f>IF($A1346="","",YEAR($A1346)*100+MONTH($A1346))</f>
        <v/>
      </c>
      <c r="P1346" s="79">
        <f>IF(OR($F1346="",$D1346=""),"",IF($D1346="Receita",$F1346,IF($D1346="Transferência",0,-$F1346)))</f>
        <v/>
      </c>
    </row>
    <row r="1347">
      <c r="A1347" s="73" t="n"/>
      <c r="B1347" s="74" t="n"/>
      <c r="C1347" s="74" t="n"/>
      <c r="D1347" s="75">
        <f>IF($C1347="","",IFERROR(INDEX(CAT_TIPO,MATCH($C1347,CAT_NOME,0)),"Sem categoria"))</f>
        <v/>
      </c>
      <c r="E1347" s="75">
        <f>IF($C1347="","",IFERROR(INDEX(CAT_GRUPO,MATCH($C1347,CAT_NOME,0)),"Sem categoria"))</f>
        <v/>
      </c>
      <c r="F1347" s="76" t="n"/>
      <c r="G1347" s="74" t="n"/>
      <c r="H1347" s="74" t="n"/>
      <c r="I1347" s="74" t="n"/>
      <c r="J1347" s="77" t="n"/>
      <c r="K1347" s="77" t="n"/>
      <c r="L1347" s="74" t="n"/>
      <c r="M1347" s="74" t="n"/>
      <c r="O1347" s="78">
        <f>IF($A1347="","",YEAR($A1347)*100+MONTH($A1347))</f>
        <v/>
      </c>
      <c r="P1347" s="79">
        <f>IF(OR($F1347="",$D1347=""),"",IF($D1347="Receita",$F1347,IF($D1347="Transferência",0,-$F1347)))</f>
        <v/>
      </c>
    </row>
    <row r="1348">
      <c r="A1348" s="73" t="n"/>
      <c r="B1348" s="74" t="n"/>
      <c r="C1348" s="74" t="n"/>
      <c r="D1348" s="75">
        <f>IF($C1348="","",IFERROR(INDEX(CAT_TIPO,MATCH($C1348,CAT_NOME,0)),"Sem categoria"))</f>
        <v/>
      </c>
      <c r="E1348" s="75">
        <f>IF($C1348="","",IFERROR(INDEX(CAT_GRUPO,MATCH($C1348,CAT_NOME,0)),"Sem categoria"))</f>
        <v/>
      </c>
      <c r="F1348" s="76" t="n"/>
      <c r="G1348" s="74" t="n"/>
      <c r="H1348" s="74" t="n"/>
      <c r="I1348" s="74" t="n"/>
      <c r="J1348" s="77" t="n"/>
      <c r="K1348" s="77" t="n"/>
      <c r="L1348" s="74" t="n"/>
      <c r="M1348" s="74" t="n"/>
      <c r="O1348" s="78">
        <f>IF($A1348="","",YEAR($A1348)*100+MONTH($A1348))</f>
        <v/>
      </c>
      <c r="P1348" s="79">
        <f>IF(OR($F1348="",$D1348=""),"",IF($D1348="Receita",$F1348,IF($D1348="Transferência",0,-$F1348)))</f>
        <v/>
      </c>
    </row>
    <row r="1349">
      <c r="A1349" s="73" t="n"/>
      <c r="B1349" s="74" t="n"/>
      <c r="C1349" s="74" t="n"/>
      <c r="D1349" s="75">
        <f>IF($C1349="","",IFERROR(INDEX(CAT_TIPO,MATCH($C1349,CAT_NOME,0)),"Sem categoria"))</f>
        <v/>
      </c>
      <c r="E1349" s="75">
        <f>IF($C1349="","",IFERROR(INDEX(CAT_GRUPO,MATCH($C1349,CAT_NOME,0)),"Sem categoria"))</f>
        <v/>
      </c>
      <c r="F1349" s="76" t="n"/>
      <c r="G1349" s="74" t="n"/>
      <c r="H1349" s="74" t="n"/>
      <c r="I1349" s="74" t="n"/>
      <c r="J1349" s="77" t="n"/>
      <c r="K1349" s="77" t="n"/>
      <c r="L1349" s="74" t="n"/>
      <c r="M1349" s="74" t="n"/>
      <c r="O1349" s="78">
        <f>IF($A1349="","",YEAR($A1349)*100+MONTH($A1349))</f>
        <v/>
      </c>
      <c r="P1349" s="79">
        <f>IF(OR($F1349="",$D1349=""),"",IF($D1349="Receita",$F1349,IF($D1349="Transferência",0,-$F1349)))</f>
        <v/>
      </c>
    </row>
    <row r="1350">
      <c r="A1350" s="73" t="n"/>
      <c r="B1350" s="74" t="n"/>
      <c r="C1350" s="74" t="n"/>
      <c r="D1350" s="75">
        <f>IF($C1350="","",IFERROR(INDEX(CAT_TIPO,MATCH($C1350,CAT_NOME,0)),"Sem categoria"))</f>
        <v/>
      </c>
      <c r="E1350" s="75">
        <f>IF($C1350="","",IFERROR(INDEX(CAT_GRUPO,MATCH($C1350,CAT_NOME,0)),"Sem categoria"))</f>
        <v/>
      </c>
      <c r="F1350" s="76" t="n"/>
      <c r="G1350" s="74" t="n"/>
      <c r="H1350" s="74" t="n"/>
      <c r="I1350" s="74" t="n"/>
      <c r="J1350" s="77" t="n"/>
      <c r="K1350" s="77" t="n"/>
      <c r="L1350" s="74" t="n"/>
      <c r="M1350" s="74" t="n"/>
      <c r="O1350" s="78">
        <f>IF($A1350="","",YEAR($A1350)*100+MONTH($A1350))</f>
        <v/>
      </c>
      <c r="P1350" s="79">
        <f>IF(OR($F1350="",$D1350=""),"",IF($D1350="Receita",$F1350,IF($D1350="Transferência",0,-$F1350)))</f>
        <v/>
      </c>
    </row>
    <row r="1351">
      <c r="A1351" s="73" t="n"/>
      <c r="B1351" s="74" t="n"/>
      <c r="C1351" s="74" t="n"/>
      <c r="D1351" s="75">
        <f>IF($C1351="","",IFERROR(INDEX(CAT_TIPO,MATCH($C1351,CAT_NOME,0)),"Sem categoria"))</f>
        <v/>
      </c>
      <c r="E1351" s="75">
        <f>IF($C1351="","",IFERROR(INDEX(CAT_GRUPO,MATCH($C1351,CAT_NOME,0)),"Sem categoria"))</f>
        <v/>
      </c>
      <c r="F1351" s="76" t="n"/>
      <c r="G1351" s="74" t="n"/>
      <c r="H1351" s="74" t="n"/>
      <c r="I1351" s="74" t="n"/>
      <c r="J1351" s="77" t="n"/>
      <c r="K1351" s="77" t="n"/>
      <c r="L1351" s="74" t="n"/>
      <c r="M1351" s="74" t="n"/>
      <c r="O1351" s="78">
        <f>IF($A1351="","",YEAR($A1351)*100+MONTH($A1351))</f>
        <v/>
      </c>
      <c r="P1351" s="79">
        <f>IF(OR($F1351="",$D1351=""),"",IF($D1351="Receita",$F1351,IF($D1351="Transferência",0,-$F1351)))</f>
        <v/>
      </c>
    </row>
    <row r="1352">
      <c r="A1352" s="73" t="n"/>
      <c r="B1352" s="74" t="n"/>
      <c r="C1352" s="74" t="n"/>
      <c r="D1352" s="75">
        <f>IF($C1352="","",IFERROR(INDEX(CAT_TIPO,MATCH($C1352,CAT_NOME,0)),"Sem categoria"))</f>
        <v/>
      </c>
      <c r="E1352" s="75">
        <f>IF($C1352="","",IFERROR(INDEX(CAT_GRUPO,MATCH($C1352,CAT_NOME,0)),"Sem categoria"))</f>
        <v/>
      </c>
      <c r="F1352" s="76" t="n"/>
      <c r="G1352" s="74" t="n"/>
      <c r="H1352" s="74" t="n"/>
      <c r="I1352" s="74" t="n"/>
      <c r="J1352" s="77" t="n"/>
      <c r="K1352" s="77" t="n"/>
      <c r="L1352" s="74" t="n"/>
      <c r="M1352" s="74" t="n"/>
      <c r="O1352" s="78">
        <f>IF($A1352="","",YEAR($A1352)*100+MONTH($A1352))</f>
        <v/>
      </c>
      <c r="P1352" s="79">
        <f>IF(OR($F1352="",$D1352=""),"",IF($D1352="Receita",$F1352,IF($D1352="Transferência",0,-$F1352)))</f>
        <v/>
      </c>
    </row>
    <row r="1353">
      <c r="A1353" s="73" t="n"/>
      <c r="B1353" s="74" t="n"/>
      <c r="C1353" s="74" t="n"/>
      <c r="D1353" s="75">
        <f>IF($C1353="","",IFERROR(INDEX(CAT_TIPO,MATCH($C1353,CAT_NOME,0)),"Sem categoria"))</f>
        <v/>
      </c>
      <c r="E1353" s="75">
        <f>IF($C1353="","",IFERROR(INDEX(CAT_GRUPO,MATCH($C1353,CAT_NOME,0)),"Sem categoria"))</f>
        <v/>
      </c>
      <c r="F1353" s="76" t="n"/>
      <c r="G1353" s="74" t="n"/>
      <c r="H1353" s="74" t="n"/>
      <c r="I1353" s="74" t="n"/>
      <c r="J1353" s="77" t="n"/>
      <c r="K1353" s="77" t="n"/>
      <c r="L1353" s="74" t="n"/>
      <c r="M1353" s="74" t="n"/>
      <c r="O1353" s="78">
        <f>IF($A1353="","",YEAR($A1353)*100+MONTH($A1353))</f>
        <v/>
      </c>
      <c r="P1353" s="79">
        <f>IF(OR($F1353="",$D1353=""),"",IF($D1353="Receita",$F1353,IF($D1353="Transferência",0,-$F1353)))</f>
        <v/>
      </c>
    </row>
    <row r="1354">
      <c r="A1354" s="73" t="n"/>
      <c r="B1354" s="74" t="n"/>
      <c r="C1354" s="74" t="n"/>
      <c r="D1354" s="75">
        <f>IF($C1354="","",IFERROR(INDEX(CAT_TIPO,MATCH($C1354,CAT_NOME,0)),"Sem categoria"))</f>
        <v/>
      </c>
      <c r="E1354" s="75">
        <f>IF($C1354="","",IFERROR(INDEX(CAT_GRUPO,MATCH($C1354,CAT_NOME,0)),"Sem categoria"))</f>
        <v/>
      </c>
      <c r="F1354" s="76" t="n"/>
      <c r="G1354" s="74" t="n"/>
      <c r="H1354" s="74" t="n"/>
      <c r="I1354" s="74" t="n"/>
      <c r="J1354" s="77" t="n"/>
      <c r="K1354" s="77" t="n"/>
      <c r="L1354" s="74" t="n"/>
      <c r="M1354" s="74" t="n"/>
      <c r="O1354" s="78">
        <f>IF($A1354="","",YEAR($A1354)*100+MONTH($A1354))</f>
        <v/>
      </c>
      <c r="P1354" s="79">
        <f>IF(OR($F1354="",$D1354=""),"",IF($D1354="Receita",$F1354,IF($D1354="Transferência",0,-$F1354)))</f>
        <v/>
      </c>
    </row>
    <row r="1355">
      <c r="A1355" s="73" t="n"/>
      <c r="B1355" s="74" t="n"/>
      <c r="C1355" s="74" t="n"/>
      <c r="D1355" s="75">
        <f>IF($C1355="","",IFERROR(INDEX(CAT_TIPO,MATCH($C1355,CAT_NOME,0)),"Sem categoria"))</f>
        <v/>
      </c>
      <c r="E1355" s="75">
        <f>IF($C1355="","",IFERROR(INDEX(CAT_GRUPO,MATCH($C1355,CAT_NOME,0)),"Sem categoria"))</f>
        <v/>
      </c>
      <c r="F1355" s="76" t="n"/>
      <c r="G1355" s="74" t="n"/>
      <c r="H1355" s="74" t="n"/>
      <c r="I1355" s="74" t="n"/>
      <c r="J1355" s="77" t="n"/>
      <c r="K1355" s="77" t="n"/>
      <c r="L1355" s="74" t="n"/>
      <c r="M1355" s="74" t="n"/>
      <c r="O1355" s="78">
        <f>IF($A1355="","",YEAR($A1355)*100+MONTH($A1355))</f>
        <v/>
      </c>
      <c r="P1355" s="79">
        <f>IF(OR($F1355="",$D1355=""),"",IF($D1355="Receita",$F1355,IF($D1355="Transferência",0,-$F1355)))</f>
        <v/>
      </c>
    </row>
    <row r="1356">
      <c r="A1356" s="73" t="n"/>
      <c r="B1356" s="74" t="n"/>
      <c r="C1356" s="74" t="n"/>
      <c r="D1356" s="75">
        <f>IF($C1356="","",IFERROR(INDEX(CAT_TIPO,MATCH($C1356,CAT_NOME,0)),"Sem categoria"))</f>
        <v/>
      </c>
      <c r="E1356" s="75">
        <f>IF($C1356="","",IFERROR(INDEX(CAT_GRUPO,MATCH($C1356,CAT_NOME,0)),"Sem categoria"))</f>
        <v/>
      </c>
      <c r="F1356" s="76" t="n"/>
      <c r="G1356" s="74" t="n"/>
      <c r="H1356" s="74" t="n"/>
      <c r="I1356" s="74" t="n"/>
      <c r="J1356" s="77" t="n"/>
      <c r="K1356" s="77" t="n"/>
      <c r="L1356" s="74" t="n"/>
      <c r="M1356" s="74" t="n"/>
      <c r="O1356" s="78">
        <f>IF($A1356="","",YEAR($A1356)*100+MONTH($A1356))</f>
        <v/>
      </c>
      <c r="P1356" s="79">
        <f>IF(OR($F1356="",$D1356=""),"",IF($D1356="Receita",$F1356,IF($D1356="Transferência",0,-$F1356)))</f>
        <v/>
      </c>
    </row>
    <row r="1357">
      <c r="A1357" s="73" t="n"/>
      <c r="B1357" s="74" t="n"/>
      <c r="C1357" s="74" t="n"/>
      <c r="D1357" s="75">
        <f>IF($C1357="","",IFERROR(INDEX(CAT_TIPO,MATCH($C1357,CAT_NOME,0)),"Sem categoria"))</f>
        <v/>
      </c>
      <c r="E1357" s="75">
        <f>IF($C1357="","",IFERROR(INDEX(CAT_GRUPO,MATCH($C1357,CAT_NOME,0)),"Sem categoria"))</f>
        <v/>
      </c>
      <c r="F1357" s="76" t="n"/>
      <c r="G1357" s="74" t="n"/>
      <c r="H1357" s="74" t="n"/>
      <c r="I1357" s="74" t="n"/>
      <c r="J1357" s="77" t="n"/>
      <c r="K1357" s="77" t="n"/>
      <c r="L1357" s="74" t="n"/>
      <c r="M1357" s="74" t="n"/>
      <c r="O1357" s="78">
        <f>IF($A1357="","",YEAR($A1357)*100+MONTH($A1357))</f>
        <v/>
      </c>
      <c r="P1357" s="79">
        <f>IF(OR($F1357="",$D1357=""),"",IF($D1357="Receita",$F1357,IF($D1357="Transferência",0,-$F1357)))</f>
        <v/>
      </c>
    </row>
    <row r="1358">
      <c r="A1358" s="73" t="n"/>
      <c r="B1358" s="74" t="n"/>
      <c r="C1358" s="74" t="n"/>
      <c r="D1358" s="75">
        <f>IF($C1358="","",IFERROR(INDEX(CAT_TIPO,MATCH($C1358,CAT_NOME,0)),"Sem categoria"))</f>
        <v/>
      </c>
      <c r="E1358" s="75">
        <f>IF($C1358="","",IFERROR(INDEX(CAT_GRUPO,MATCH($C1358,CAT_NOME,0)),"Sem categoria"))</f>
        <v/>
      </c>
      <c r="F1358" s="76" t="n"/>
      <c r="G1358" s="74" t="n"/>
      <c r="H1358" s="74" t="n"/>
      <c r="I1358" s="74" t="n"/>
      <c r="J1358" s="77" t="n"/>
      <c r="K1358" s="77" t="n"/>
      <c r="L1358" s="74" t="n"/>
      <c r="M1358" s="74" t="n"/>
      <c r="O1358" s="78">
        <f>IF($A1358="","",YEAR($A1358)*100+MONTH($A1358))</f>
        <v/>
      </c>
      <c r="P1358" s="79">
        <f>IF(OR($F1358="",$D1358=""),"",IF($D1358="Receita",$F1358,IF($D1358="Transferência",0,-$F1358)))</f>
        <v/>
      </c>
    </row>
    <row r="1359">
      <c r="A1359" s="73" t="n"/>
      <c r="B1359" s="74" t="n"/>
      <c r="C1359" s="74" t="n"/>
      <c r="D1359" s="75">
        <f>IF($C1359="","",IFERROR(INDEX(CAT_TIPO,MATCH($C1359,CAT_NOME,0)),"Sem categoria"))</f>
        <v/>
      </c>
      <c r="E1359" s="75">
        <f>IF($C1359="","",IFERROR(INDEX(CAT_GRUPO,MATCH($C1359,CAT_NOME,0)),"Sem categoria"))</f>
        <v/>
      </c>
      <c r="F1359" s="76" t="n"/>
      <c r="G1359" s="74" t="n"/>
      <c r="H1359" s="74" t="n"/>
      <c r="I1359" s="74" t="n"/>
      <c r="J1359" s="77" t="n"/>
      <c r="K1359" s="77" t="n"/>
      <c r="L1359" s="74" t="n"/>
      <c r="M1359" s="74" t="n"/>
      <c r="O1359" s="78">
        <f>IF($A1359="","",YEAR($A1359)*100+MONTH($A1359))</f>
        <v/>
      </c>
      <c r="P1359" s="79">
        <f>IF(OR($F1359="",$D1359=""),"",IF($D1359="Receita",$F1359,IF($D1359="Transferência",0,-$F1359)))</f>
        <v/>
      </c>
    </row>
    <row r="1360">
      <c r="A1360" s="73" t="n"/>
      <c r="B1360" s="74" t="n"/>
      <c r="C1360" s="74" t="n"/>
      <c r="D1360" s="75">
        <f>IF($C1360="","",IFERROR(INDEX(CAT_TIPO,MATCH($C1360,CAT_NOME,0)),"Sem categoria"))</f>
        <v/>
      </c>
      <c r="E1360" s="75">
        <f>IF($C1360="","",IFERROR(INDEX(CAT_GRUPO,MATCH($C1360,CAT_NOME,0)),"Sem categoria"))</f>
        <v/>
      </c>
      <c r="F1360" s="76" t="n"/>
      <c r="G1360" s="74" t="n"/>
      <c r="H1360" s="74" t="n"/>
      <c r="I1360" s="74" t="n"/>
      <c r="J1360" s="77" t="n"/>
      <c r="K1360" s="77" t="n"/>
      <c r="L1360" s="74" t="n"/>
      <c r="M1360" s="74" t="n"/>
      <c r="O1360" s="78">
        <f>IF($A1360="","",YEAR($A1360)*100+MONTH($A1360))</f>
        <v/>
      </c>
      <c r="P1360" s="79">
        <f>IF(OR($F1360="",$D1360=""),"",IF($D1360="Receita",$F1360,IF($D1360="Transferência",0,-$F1360)))</f>
        <v/>
      </c>
    </row>
    <row r="1361">
      <c r="A1361" s="73" t="n"/>
      <c r="B1361" s="74" t="n"/>
      <c r="C1361" s="74" t="n"/>
      <c r="D1361" s="75">
        <f>IF($C1361="","",IFERROR(INDEX(CAT_TIPO,MATCH($C1361,CAT_NOME,0)),"Sem categoria"))</f>
        <v/>
      </c>
      <c r="E1361" s="75">
        <f>IF($C1361="","",IFERROR(INDEX(CAT_GRUPO,MATCH($C1361,CAT_NOME,0)),"Sem categoria"))</f>
        <v/>
      </c>
      <c r="F1361" s="76" t="n"/>
      <c r="G1361" s="74" t="n"/>
      <c r="H1361" s="74" t="n"/>
      <c r="I1361" s="74" t="n"/>
      <c r="J1361" s="77" t="n"/>
      <c r="K1361" s="77" t="n"/>
      <c r="L1361" s="74" t="n"/>
      <c r="M1361" s="74" t="n"/>
      <c r="O1361" s="78">
        <f>IF($A1361="","",YEAR($A1361)*100+MONTH($A1361))</f>
        <v/>
      </c>
      <c r="P1361" s="79">
        <f>IF(OR($F1361="",$D1361=""),"",IF($D1361="Receita",$F1361,IF($D1361="Transferência",0,-$F1361)))</f>
        <v/>
      </c>
    </row>
    <row r="1362">
      <c r="A1362" s="73" t="n"/>
      <c r="B1362" s="74" t="n"/>
      <c r="C1362" s="74" t="n"/>
      <c r="D1362" s="75">
        <f>IF($C1362="","",IFERROR(INDEX(CAT_TIPO,MATCH($C1362,CAT_NOME,0)),"Sem categoria"))</f>
        <v/>
      </c>
      <c r="E1362" s="75">
        <f>IF($C1362="","",IFERROR(INDEX(CAT_GRUPO,MATCH($C1362,CAT_NOME,0)),"Sem categoria"))</f>
        <v/>
      </c>
      <c r="F1362" s="76" t="n"/>
      <c r="G1362" s="74" t="n"/>
      <c r="H1362" s="74" t="n"/>
      <c r="I1362" s="74" t="n"/>
      <c r="J1362" s="77" t="n"/>
      <c r="K1362" s="77" t="n"/>
      <c r="L1362" s="74" t="n"/>
      <c r="M1362" s="74" t="n"/>
      <c r="O1362" s="78">
        <f>IF($A1362="","",YEAR($A1362)*100+MONTH($A1362))</f>
        <v/>
      </c>
      <c r="P1362" s="79">
        <f>IF(OR($F1362="",$D1362=""),"",IF($D1362="Receita",$F1362,IF($D1362="Transferência",0,-$F1362)))</f>
        <v/>
      </c>
    </row>
    <row r="1363">
      <c r="A1363" s="73" t="n"/>
      <c r="B1363" s="74" t="n"/>
      <c r="C1363" s="74" t="n"/>
      <c r="D1363" s="75">
        <f>IF($C1363="","",IFERROR(INDEX(CAT_TIPO,MATCH($C1363,CAT_NOME,0)),"Sem categoria"))</f>
        <v/>
      </c>
      <c r="E1363" s="75">
        <f>IF($C1363="","",IFERROR(INDEX(CAT_GRUPO,MATCH($C1363,CAT_NOME,0)),"Sem categoria"))</f>
        <v/>
      </c>
      <c r="F1363" s="76" t="n"/>
      <c r="G1363" s="74" t="n"/>
      <c r="H1363" s="74" t="n"/>
      <c r="I1363" s="74" t="n"/>
      <c r="J1363" s="77" t="n"/>
      <c r="K1363" s="77" t="n"/>
      <c r="L1363" s="74" t="n"/>
      <c r="M1363" s="74" t="n"/>
      <c r="O1363" s="78">
        <f>IF($A1363="","",YEAR($A1363)*100+MONTH($A1363))</f>
        <v/>
      </c>
      <c r="P1363" s="79">
        <f>IF(OR($F1363="",$D1363=""),"",IF($D1363="Receita",$F1363,IF($D1363="Transferência",0,-$F1363)))</f>
        <v/>
      </c>
    </row>
    <row r="1364">
      <c r="A1364" s="73" t="n"/>
      <c r="B1364" s="74" t="n"/>
      <c r="C1364" s="74" t="n"/>
      <c r="D1364" s="75">
        <f>IF($C1364="","",IFERROR(INDEX(CAT_TIPO,MATCH($C1364,CAT_NOME,0)),"Sem categoria"))</f>
        <v/>
      </c>
      <c r="E1364" s="75">
        <f>IF($C1364="","",IFERROR(INDEX(CAT_GRUPO,MATCH($C1364,CAT_NOME,0)),"Sem categoria"))</f>
        <v/>
      </c>
      <c r="F1364" s="76" t="n"/>
      <c r="G1364" s="74" t="n"/>
      <c r="H1364" s="74" t="n"/>
      <c r="I1364" s="74" t="n"/>
      <c r="J1364" s="77" t="n"/>
      <c r="K1364" s="77" t="n"/>
      <c r="L1364" s="74" t="n"/>
      <c r="M1364" s="74" t="n"/>
      <c r="O1364" s="78">
        <f>IF($A1364="","",YEAR($A1364)*100+MONTH($A1364))</f>
        <v/>
      </c>
      <c r="P1364" s="79">
        <f>IF(OR($F1364="",$D1364=""),"",IF($D1364="Receita",$F1364,IF($D1364="Transferência",0,-$F1364)))</f>
        <v/>
      </c>
    </row>
    <row r="1365">
      <c r="A1365" s="73" t="n"/>
      <c r="B1365" s="74" t="n"/>
      <c r="C1365" s="74" t="n"/>
      <c r="D1365" s="75">
        <f>IF($C1365="","",IFERROR(INDEX(CAT_TIPO,MATCH($C1365,CAT_NOME,0)),"Sem categoria"))</f>
        <v/>
      </c>
      <c r="E1365" s="75">
        <f>IF($C1365="","",IFERROR(INDEX(CAT_GRUPO,MATCH($C1365,CAT_NOME,0)),"Sem categoria"))</f>
        <v/>
      </c>
      <c r="F1365" s="76" t="n"/>
      <c r="G1365" s="74" t="n"/>
      <c r="H1365" s="74" t="n"/>
      <c r="I1365" s="74" t="n"/>
      <c r="J1365" s="77" t="n"/>
      <c r="K1365" s="77" t="n"/>
      <c r="L1365" s="74" t="n"/>
      <c r="M1365" s="74" t="n"/>
      <c r="O1365" s="78">
        <f>IF($A1365="","",YEAR($A1365)*100+MONTH($A1365))</f>
        <v/>
      </c>
      <c r="P1365" s="79">
        <f>IF(OR($F1365="",$D1365=""),"",IF($D1365="Receita",$F1365,IF($D1365="Transferência",0,-$F1365)))</f>
        <v/>
      </c>
    </row>
    <row r="1366">
      <c r="A1366" s="73" t="n"/>
      <c r="B1366" s="74" t="n"/>
      <c r="C1366" s="74" t="n"/>
      <c r="D1366" s="75">
        <f>IF($C1366="","",IFERROR(INDEX(CAT_TIPO,MATCH($C1366,CAT_NOME,0)),"Sem categoria"))</f>
        <v/>
      </c>
      <c r="E1366" s="75">
        <f>IF($C1366="","",IFERROR(INDEX(CAT_GRUPO,MATCH($C1366,CAT_NOME,0)),"Sem categoria"))</f>
        <v/>
      </c>
      <c r="F1366" s="76" t="n"/>
      <c r="G1366" s="74" t="n"/>
      <c r="H1366" s="74" t="n"/>
      <c r="I1366" s="74" t="n"/>
      <c r="J1366" s="77" t="n"/>
      <c r="K1366" s="77" t="n"/>
      <c r="L1366" s="74" t="n"/>
      <c r="M1366" s="74" t="n"/>
      <c r="O1366" s="78">
        <f>IF($A1366="","",YEAR($A1366)*100+MONTH($A1366))</f>
        <v/>
      </c>
      <c r="P1366" s="79">
        <f>IF(OR($F1366="",$D1366=""),"",IF($D1366="Receita",$F1366,IF($D1366="Transferência",0,-$F1366)))</f>
        <v/>
      </c>
    </row>
    <row r="1367">
      <c r="A1367" s="73" t="n"/>
      <c r="B1367" s="74" t="n"/>
      <c r="C1367" s="74" t="n"/>
      <c r="D1367" s="75">
        <f>IF($C1367="","",IFERROR(INDEX(CAT_TIPO,MATCH($C1367,CAT_NOME,0)),"Sem categoria"))</f>
        <v/>
      </c>
      <c r="E1367" s="75">
        <f>IF($C1367="","",IFERROR(INDEX(CAT_GRUPO,MATCH($C1367,CAT_NOME,0)),"Sem categoria"))</f>
        <v/>
      </c>
      <c r="F1367" s="76" t="n"/>
      <c r="G1367" s="74" t="n"/>
      <c r="H1367" s="74" t="n"/>
      <c r="I1367" s="74" t="n"/>
      <c r="J1367" s="77" t="n"/>
      <c r="K1367" s="77" t="n"/>
      <c r="L1367" s="74" t="n"/>
      <c r="M1367" s="74" t="n"/>
      <c r="O1367" s="78">
        <f>IF($A1367="","",YEAR($A1367)*100+MONTH($A1367))</f>
        <v/>
      </c>
      <c r="P1367" s="79">
        <f>IF(OR($F1367="",$D1367=""),"",IF($D1367="Receita",$F1367,IF($D1367="Transferência",0,-$F1367)))</f>
        <v/>
      </c>
    </row>
    <row r="1368">
      <c r="A1368" s="73" t="n"/>
      <c r="B1368" s="74" t="n"/>
      <c r="C1368" s="74" t="n"/>
      <c r="D1368" s="75">
        <f>IF($C1368="","",IFERROR(INDEX(CAT_TIPO,MATCH($C1368,CAT_NOME,0)),"Sem categoria"))</f>
        <v/>
      </c>
      <c r="E1368" s="75">
        <f>IF($C1368="","",IFERROR(INDEX(CAT_GRUPO,MATCH($C1368,CAT_NOME,0)),"Sem categoria"))</f>
        <v/>
      </c>
      <c r="F1368" s="76" t="n"/>
      <c r="G1368" s="74" t="n"/>
      <c r="H1368" s="74" t="n"/>
      <c r="I1368" s="74" t="n"/>
      <c r="J1368" s="77" t="n"/>
      <c r="K1368" s="77" t="n"/>
      <c r="L1368" s="74" t="n"/>
      <c r="M1368" s="74" t="n"/>
      <c r="O1368" s="78">
        <f>IF($A1368="","",YEAR($A1368)*100+MONTH($A1368))</f>
        <v/>
      </c>
      <c r="P1368" s="79">
        <f>IF(OR($F1368="",$D1368=""),"",IF($D1368="Receita",$F1368,IF($D1368="Transferência",0,-$F1368)))</f>
        <v/>
      </c>
    </row>
    <row r="1369">
      <c r="A1369" s="73" t="n"/>
      <c r="B1369" s="74" t="n"/>
      <c r="C1369" s="74" t="n"/>
      <c r="D1369" s="75">
        <f>IF($C1369="","",IFERROR(INDEX(CAT_TIPO,MATCH($C1369,CAT_NOME,0)),"Sem categoria"))</f>
        <v/>
      </c>
      <c r="E1369" s="75">
        <f>IF($C1369="","",IFERROR(INDEX(CAT_GRUPO,MATCH($C1369,CAT_NOME,0)),"Sem categoria"))</f>
        <v/>
      </c>
      <c r="F1369" s="76" t="n"/>
      <c r="G1369" s="74" t="n"/>
      <c r="H1369" s="74" t="n"/>
      <c r="I1369" s="74" t="n"/>
      <c r="J1369" s="77" t="n"/>
      <c r="K1369" s="77" t="n"/>
      <c r="L1369" s="74" t="n"/>
      <c r="M1369" s="74" t="n"/>
      <c r="O1369" s="78">
        <f>IF($A1369="","",YEAR($A1369)*100+MONTH($A1369))</f>
        <v/>
      </c>
      <c r="P1369" s="79">
        <f>IF(OR($F1369="",$D1369=""),"",IF($D1369="Receita",$F1369,IF($D1369="Transferência",0,-$F1369)))</f>
        <v/>
      </c>
    </row>
    <row r="1370">
      <c r="A1370" s="73" t="n"/>
      <c r="B1370" s="74" t="n"/>
      <c r="C1370" s="74" t="n"/>
      <c r="D1370" s="75">
        <f>IF($C1370="","",IFERROR(INDEX(CAT_TIPO,MATCH($C1370,CAT_NOME,0)),"Sem categoria"))</f>
        <v/>
      </c>
      <c r="E1370" s="75">
        <f>IF($C1370="","",IFERROR(INDEX(CAT_GRUPO,MATCH($C1370,CAT_NOME,0)),"Sem categoria"))</f>
        <v/>
      </c>
      <c r="F1370" s="76" t="n"/>
      <c r="G1370" s="74" t="n"/>
      <c r="H1370" s="74" t="n"/>
      <c r="I1370" s="74" t="n"/>
      <c r="J1370" s="77" t="n"/>
      <c r="K1370" s="77" t="n"/>
      <c r="L1370" s="74" t="n"/>
      <c r="M1370" s="74" t="n"/>
      <c r="O1370" s="78">
        <f>IF($A1370="","",YEAR($A1370)*100+MONTH($A1370))</f>
        <v/>
      </c>
      <c r="P1370" s="79">
        <f>IF(OR($F1370="",$D1370=""),"",IF($D1370="Receita",$F1370,IF($D1370="Transferência",0,-$F1370)))</f>
        <v/>
      </c>
    </row>
    <row r="1371">
      <c r="A1371" s="73" t="n"/>
      <c r="B1371" s="74" t="n"/>
      <c r="C1371" s="74" t="n"/>
      <c r="D1371" s="75">
        <f>IF($C1371="","",IFERROR(INDEX(CAT_TIPO,MATCH($C1371,CAT_NOME,0)),"Sem categoria"))</f>
        <v/>
      </c>
      <c r="E1371" s="75">
        <f>IF($C1371="","",IFERROR(INDEX(CAT_GRUPO,MATCH($C1371,CAT_NOME,0)),"Sem categoria"))</f>
        <v/>
      </c>
      <c r="F1371" s="76" t="n"/>
      <c r="G1371" s="74" t="n"/>
      <c r="H1371" s="74" t="n"/>
      <c r="I1371" s="74" t="n"/>
      <c r="J1371" s="77" t="n"/>
      <c r="K1371" s="77" t="n"/>
      <c r="L1371" s="74" t="n"/>
      <c r="M1371" s="74" t="n"/>
      <c r="O1371" s="78">
        <f>IF($A1371="","",YEAR($A1371)*100+MONTH($A1371))</f>
        <v/>
      </c>
      <c r="P1371" s="79">
        <f>IF(OR($F1371="",$D1371=""),"",IF($D1371="Receita",$F1371,IF($D1371="Transferência",0,-$F1371)))</f>
        <v/>
      </c>
    </row>
    <row r="1372">
      <c r="A1372" s="73" t="n"/>
      <c r="B1372" s="74" t="n"/>
      <c r="C1372" s="74" t="n"/>
      <c r="D1372" s="75">
        <f>IF($C1372="","",IFERROR(INDEX(CAT_TIPO,MATCH($C1372,CAT_NOME,0)),"Sem categoria"))</f>
        <v/>
      </c>
      <c r="E1372" s="75">
        <f>IF($C1372="","",IFERROR(INDEX(CAT_GRUPO,MATCH($C1372,CAT_NOME,0)),"Sem categoria"))</f>
        <v/>
      </c>
      <c r="F1372" s="76" t="n"/>
      <c r="G1372" s="74" t="n"/>
      <c r="H1372" s="74" t="n"/>
      <c r="I1372" s="74" t="n"/>
      <c r="J1372" s="77" t="n"/>
      <c r="K1372" s="77" t="n"/>
      <c r="L1372" s="74" t="n"/>
      <c r="M1372" s="74" t="n"/>
      <c r="O1372" s="78">
        <f>IF($A1372="","",YEAR($A1372)*100+MONTH($A1372))</f>
        <v/>
      </c>
      <c r="P1372" s="79">
        <f>IF(OR($F1372="",$D1372=""),"",IF($D1372="Receita",$F1372,IF($D1372="Transferência",0,-$F1372)))</f>
        <v/>
      </c>
    </row>
    <row r="1373">
      <c r="A1373" s="73" t="n"/>
      <c r="B1373" s="74" t="n"/>
      <c r="C1373" s="74" t="n"/>
      <c r="D1373" s="75">
        <f>IF($C1373="","",IFERROR(INDEX(CAT_TIPO,MATCH($C1373,CAT_NOME,0)),"Sem categoria"))</f>
        <v/>
      </c>
      <c r="E1373" s="75">
        <f>IF($C1373="","",IFERROR(INDEX(CAT_GRUPO,MATCH($C1373,CAT_NOME,0)),"Sem categoria"))</f>
        <v/>
      </c>
      <c r="F1373" s="76" t="n"/>
      <c r="G1373" s="74" t="n"/>
      <c r="H1373" s="74" t="n"/>
      <c r="I1373" s="74" t="n"/>
      <c r="J1373" s="77" t="n"/>
      <c r="K1373" s="77" t="n"/>
      <c r="L1373" s="74" t="n"/>
      <c r="M1373" s="74" t="n"/>
      <c r="O1373" s="78">
        <f>IF($A1373="","",YEAR($A1373)*100+MONTH($A1373))</f>
        <v/>
      </c>
      <c r="P1373" s="79">
        <f>IF(OR($F1373="",$D1373=""),"",IF($D1373="Receita",$F1373,IF($D1373="Transferência",0,-$F1373)))</f>
        <v/>
      </c>
    </row>
    <row r="1374">
      <c r="A1374" s="73" t="n"/>
      <c r="B1374" s="74" t="n"/>
      <c r="C1374" s="74" t="n"/>
      <c r="D1374" s="75">
        <f>IF($C1374="","",IFERROR(INDEX(CAT_TIPO,MATCH($C1374,CAT_NOME,0)),"Sem categoria"))</f>
        <v/>
      </c>
      <c r="E1374" s="75">
        <f>IF($C1374="","",IFERROR(INDEX(CAT_GRUPO,MATCH($C1374,CAT_NOME,0)),"Sem categoria"))</f>
        <v/>
      </c>
      <c r="F1374" s="76" t="n"/>
      <c r="G1374" s="74" t="n"/>
      <c r="H1374" s="74" t="n"/>
      <c r="I1374" s="74" t="n"/>
      <c r="J1374" s="77" t="n"/>
      <c r="K1374" s="77" t="n"/>
      <c r="L1374" s="74" t="n"/>
      <c r="M1374" s="74" t="n"/>
      <c r="O1374" s="78">
        <f>IF($A1374="","",YEAR($A1374)*100+MONTH($A1374))</f>
        <v/>
      </c>
      <c r="P1374" s="79">
        <f>IF(OR($F1374="",$D1374=""),"",IF($D1374="Receita",$F1374,IF($D1374="Transferência",0,-$F1374)))</f>
        <v/>
      </c>
    </row>
    <row r="1375">
      <c r="A1375" s="73" t="n"/>
      <c r="B1375" s="74" t="n"/>
      <c r="C1375" s="74" t="n"/>
      <c r="D1375" s="75">
        <f>IF($C1375="","",IFERROR(INDEX(CAT_TIPO,MATCH($C1375,CAT_NOME,0)),"Sem categoria"))</f>
        <v/>
      </c>
      <c r="E1375" s="75">
        <f>IF($C1375="","",IFERROR(INDEX(CAT_GRUPO,MATCH($C1375,CAT_NOME,0)),"Sem categoria"))</f>
        <v/>
      </c>
      <c r="F1375" s="76" t="n"/>
      <c r="G1375" s="74" t="n"/>
      <c r="H1375" s="74" t="n"/>
      <c r="I1375" s="74" t="n"/>
      <c r="J1375" s="77" t="n"/>
      <c r="K1375" s="77" t="n"/>
      <c r="L1375" s="74" t="n"/>
      <c r="M1375" s="74" t="n"/>
      <c r="O1375" s="78">
        <f>IF($A1375="","",YEAR($A1375)*100+MONTH($A1375))</f>
        <v/>
      </c>
      <c r="P1375" s="79">
        <f>IF(OR($F1375="",$D1375=""),"",IF($D1375="Receita",$F1375,IF($D1375="Transferência",0,-$F1375)))</f>
        <v/>
      </c>
    </row>
    <row r="1376">
      <c r="A1376" s="73" t="n"/>
      <c r="B1376" s="74" t="n"/>
      <c r="C1376" s="74" t="n"/>
      <c r="D1376" s="75">
        <f>IF($C1376="","",IFERROR(INDEX(CAT_TIPO,MATCH($C1376,CAT_NOME,0)),"Sem categoria"))</f>
        <v/>
      </c>
      <c r="E1376" s="75">
        <f>IF($C1376="","",IFERROR(INDEX(CAT_GRUPO,MATCH($C1376,CAT_NOME,0)),"Sem categoria"))</f>
        <v/>
      </c>
      <c r="F1376" s="76" t="n"/>
      <c r="G1376" s="74" t="n"/>
      <c r="H1376" s="74" t="n"/>
      <c r="I1376" s="74" t="n"/>
      <c r="J1376" s="77" t="n"/>
      <c r="K1376" s="77" t="n"/>
      <c r="L1376" s="74" t="n"/>
      <c r="M1376" s="74" t="n"/>
      <c r="O1376" s="78">
        <f>IF($A1376="","",YEAR($A1376)*100+MONTH($A1376))</f>
        <v/>
      </c>
      <c r="P1376" s="79">
        <f>IF(OR($F1376="",$D1376=""),"",IF($D1376="Receita",$F1376,IF($D1376="Transferência",0,-$F1376)))</f>
        <v/>
      </c>
    </row>
    <row r="1377">
      <c r="A1377" s="73" t="n"/>
      <c r="B1377" s="74" t="n"/>
      <c r="C1377" s="74" t="n"/>
      <c r="D1377" s="75">
        <f>IF($C1377="","",IFERROR(INDEX(CAT_TIPO,MATCH($C1377,CAT_NOME,0)),"Sem categoria"))</f>
        <v/>
      </c>
      <c r="E1377" s="75">
        <f>IF($C1377="","",IFERROR(INDEX(CAT_GRUPO,MATCH($C1377,CAT_NOME,0)),"Sem categoria"))</f>
        <v/>
      </c>
      <c r="F1377" s="76" t="n"/>
      <c r="G1377" s="74" t="n"/>
      <c r="H1377" s="74" t="n"/>
      <c r="I1377" s="74" t="n"/>
      <c r="J1377" s="77" t="n"/>
      <c r="K1377" s="77" t="n"/>
      <c r="L1377" s="74" t="n"/>
      <c r="M1377" s="74" t="n"/>
      <c r="O1377" s="78">
        <f>IF($A1377="","",YEAR($A1377)*100+MONTH($A1377))</f>
        <v/>
      </c>
      <c r="P1377" s="79">
        <f>IF(OR($F1377="",$D1377=""),"",IF($D1377="Receita",$F1377,IF($D1377="Transferência",0,-$F1377)))</f>
        <v/>
      </c>
    </row>
    <row r="1378">
      <c r="A1378" s="73" t="n"/>
      <c r="B1378" s="74" t="n"/>
      <c r="C1378" s="74" t="n"/>
      <c r="D1378" s="75">
        <f>IF($C1378="","",IFERROR(INDEX(CAT_TIPO,MATCH($C1378,CAT_NOME,0)),"Sem categoria"))</f>
        <v/>
      </c>
      <c r="E1378" s="75">
        <f>IF($C1378="","",IFERROR(INDEX(CAT_GRUPO,MATCH($C1378,CAT_NOME,0)),"Sem categoria"))</f>
        <v/>
      </c>
      <c r="F1378" s="76" t="n"/>
      <c r="G1378" s="74" t="n"/>
      <c r="H1378" s="74" t="n"/>
      <c r="I1378" s="74" t="n"/>
      <c r="J1378" s="77" t="n"/>
      <c r="K1378" s="77" t="n"/>
      <c r="L1378" s="74" t="n"/>
      <c r="M1378" s="74" t="n"/>
      <c r="O1378" s="78">
        <f>IF($A1378="","",YEAR($A1378)*100+MONTH($A1378))</f>
        <v/>
      </c>
      <c r="P1378" s="79">
        <f>IF(OR($F1378="",$D1378=""),"",IF($D1378="Receita",$F1378,IF($D1378="Transferência",0,-$F1378)))</f>
        <v/>
      </c>
    </row>
    <row r="1379">
      <c r="A1379" s="73" t="n"/>
      <c r="B1379" s="74" t="n"/>
      <c r="C1379" s="74" t="n"/>
      <c r="D1379" s="75">
        <f>IF($C1379="","",IFERROR(INDEX(CAT_TIPO,MATCH($C1379,CAT_NOME,0)),"Sem categoria"))</f>
        <v/>
      </c>
      <c r="E1379" s="75">
        <f>IF($C1379="","",IFERROR(INDEX(CAT_GRUPO,MATCH($C1379,CAT_NOME,0)),"Sem categoria"))</f>
        <v/>
      </c>
      <c r="F1379" s="76" t="n"/>
      <c r="G1379" s="74" t="n"/>
      <c r="H1379" s="74" t="n"/>
      <c r="I1379" s="74" t="n"/>
      <c r="J1379" s="77" t="n"/>
      <c r="K1379" s="77" t="n"/>
      <c r="L1379" s="74" t="n"/>
      <c r="M1379" s="74" t="n"/>
      <c r="O1379" s="78">
        <f>IF($A1379="","",YEAR($A1379)*100+MONTH($A1379))</f>
        <v/>
      </c>
      <c r="P1379" s="79">
        <f>IF(OR($F1379="",$D1379=""),"",IF($D1379="Receita",$F1379,IF($D1379="Transferência",0,-$F1379)))</f>
        <v/>
      </c>
    </row>
    <row r="1380">
      <c r="A1380" s="73" t="n"/>
      <c r="B1380" s="74" t="n"/>
      <c r="C1380" s="74" t="n"/>
      <c r="D1380" s="75">
        <f>IF($C1380="","",IFERROR(INDEX(CAT_TIPO,MATCH($C1380,CAT_NOME,0)),"Sem categoria"))</f>
        <v/>
      </c>
      <c r="E1380" s="75">
        <f>IF($C1380="","",IFERROR(INDEX(CAT_GRUPO,MATCH($C1380,CAT_NOME,0)),"Sem categoria"))</f>
        <v/>
      </c>
      <c r="F1380" s="76" t="n"/>
      <c r="G1380" s="74" t="n"/>
      <c r="H1380" s="74" t="n"/>
      <c r="I1380" s="74" t="n"/>
      <c r="J1380" s="77" t="n"/>
      <c r="K1380" s="77" t="n"/>
      <c r="L1380" s="74" t="n"/>
      <c r="M1380" s="74" t="n"/>
      <c r="O1380" s="78">
        <f>IF($A1380="","",YEAR($A1380)*100+MONTH($A1380))</f>
        <v/>
      </c>
      <c r="P1380" s="79">
        <f>IF(OR($F1380="",$D1380=""),"",IF($D1380="Receita",$F1380,IF($D1380="Transferência",0,-$F1380)))</f>
        <v/>
      </c>
    </row>
    <row r="1381">
      <c r="A1381" s="73" t="n"/>
      <c r="B1381" s="74" t="n"/>
      <c r="C1381" s="74" t="n"/>
      <c r="D1381" s="75">
        <f>IF($C1381="","",IFERROR(INDEX(CAT_TIPO,MATCH($C1381,CAT_NOME,0)),"Sem categoria"))</f>
        <v/>
      </c>
      <c r="E1381" s="75">
        <f>IF($C1381="","",IFERROR(INDEX(CAT_GRUPO,MATCH($C1381,CAT_NOME,0)),"Sem categoria"))</f>
        <v/>
      </c>
      <c r="F1381" s="76" t="n"/>
      <c r="G1381" s="74" t="n"/>
      <c r="H1381" s="74" t="n"/>
      <c r="I1381" s="74" t="n"/>
      <c r="J1381" s="77" t="n"/>
      <c r="K1381" s="77" t="n"/>
      <c r="L1381" s="74" t="n"/>
      <c r="M1381" s="74" t="n"/>
      <c r="O1381" s="78">
        <f>IF($A1381="","",YEAR($A1381)*100+MONTH($A1381))</f>
        <v/>
      </c>
      <c r="P1381" s="79">
        <f>IF(OR($F1381="",$D1381=""),"",IF($D1381="Receita",$F1381,IF($D1381="Transferência",0,-$F1381)))</f>
        <v/>
      </c>
    </row>
    <row r="1382">
      <c r="A1382" s="73" t="n"/>
      <c r="B1382" s="74" t="n"/>
      <c r="C1382" s="74" t="n"/>
      <c r="D1382" s="75">
        <f>IF($C1382="","",IFERROR(INDEX(CAT_TIPO,MATCH($C1382,CAT_NOME,0)),"Sem categoria"))</f>
        <v/>
      </c>
      <c r="E1382" s="75">
        <f>IF($C1382="","",IFERROR(INDEX(CAT_GRUPO,MATCH($C1382,CAT_NOME,0)),"Sem categoria"))</f>
        <v/>
      </c>
      <c r="F1382" s="76" t="n"/>
      <c r="G1382" s="74" t="n"/>
      <c r="H1382" s="74" t="n"/>
      <c r="I1382" s="74" t="n"/>
      <c r="J1382" s="77" t="n"/>
      <c r="K1382" s="77" t="n"/>
      <c r="L1382" s="74" t="n"/>
      <c r="M1382" s="74" t="n"/>
      <c r="O1382" s="78">
        <f>IF($A1382="","",YEAR($A1382)*100+MONTH($A1382))</f>
        <v/>
      </c>
      <c r="P1382" s="79">
        <f>IF(OR($F1382="",$D1382=""),"",IF($D1382="Receita",$F1382,IF($D1382="Transferência",0,-$F1382)))</f>
        <v/>
      </c>
    </row>
    <row r="1383">
      <c r="A1383" s="73" t="n"/>
      <c r="B1383" s="74" t="n"/>
      <c r="C1383" s="74" t="n"/>
      <c r="D1383" s="75">
        <f>IF($C1383="","",IFERROR(INDEX(CAT_TIPO,MATCH($C1383,CAT_NOME,0)),"Sem categoria"))</f>
        <v/>
      </c>
      <c r="E1383" s="75">
        <f>IF($C1383="","",IFERROR(INDEX(CAT_GRUPO,MATCH($C1383,CAT_NOME,0)),"Sem categoria"))</f>
        <v/>
      </c>
      <c r="F1383" s="76" t="n"/>
      <c r="G1383" s="74" t="n"/>
      <c r="H1383" s="74" t="n"/>
      <c r="I1383" s="74" t="n"/>
      <c r="J1383" s="77" t="n"/>
      <c r="K1383" s="77" t="n"/>
      <c r="L1383" s="74" t="n"/>
      <c r="M1383" s="74" t="n"/>
      <c r="O1383" s="78">
        <f>IF($A1383="","",YEAR($A1383)*100+MONTH($A1383))</f>
        <v/>
      </c>
      <c r="P1383" s="79">
        <f>IF(OR($F1383="",$D1383=""),"",IF($D1383="Receita",$F1383,IF($D1383="Transferência",0,-$F1383)))</f>
        <v/>
      </c>
    </row>
    <row r="1384">
      <c r="A1384" s="73" t="n"/>
      <c r="B1384" s="74" t="n"/>
      <c r="C1384" s="74" t="n"/>
      <c r="D1384" s="75">
        <f>IF($C1384="","",IFERROR(INDEX(CAT_TIPO,MATCH($C1384,CAT_NOME,0)),"Sem categoria"))</f>
        <v/>
      </c>
      <c r="E1384" s="75">
        <f>IF($C1384="","",IFERROR(INDEX(CAT_GRUPO,MATCH($C1384,CAT_NOME,0)),"Sem categoria"))</f>
        <v/>
      </c>
      <c r="F1384" s="76" t="n"/>
      <c r="G1384" s="74" t="n"/>
      <c r="H1384" s="74" t="n"/>
      <c r="I1384" s="74" t="n"/>
      <c r="J1384" s="77" t="n"/>
      <c r="K1384" s="77" t="n"/>
      <c r="L1384" s="74" t="n"/>
      <c r="M1384" s="74" t="n"/>
      <c r="O1384" s="78">
        <f>IF($A1384="","",YEAR($A1384)*100+MONTH($A1384))</f>
        <v/>
      </c>
      <c r="P1384" s="79">
        <f>IF(OR($F1384="",$D1384=""),"",IF($D1384="Receita",$F1384,IF($D1384="Transferência",0,-$F1384)))</f>
        <v/>
      </c>
    </row>
    <row r="1385">
      <c r="A1385" s="73" t="n"/>
      <c r="B1385" s="74" t="n"/>
      <c r="C1385" s="74" t="n"/>
      <c r="D1385" s="75">
        <f>IF($C1385="","",IFERROR(INDEX(CAT_TIPO,MATCH($C1385,CAT_NOME,0)),"Sem categoria"))</f>
        <v/>
      </c>
      <c r="E1385" s="75">
        <f>IF($C1385="","",IFERROR(INDEX(CAT_GRUPO,MATCH($C1385,CAT_NOME,0)),"Sem categoria"))</f>
        <v/>
      </c>
      <c r="F1385" s="76" t="n"/>
      <c r="G1385" s="74" t="n"/>
      <c r="H1385" s="74" t="n"/>
      <c r="I1385" s="74" t="n"/>
      <c r="J1385" s="77" t="n"/>
      <c r="K1385" s="77" t="n"/>
      <c r="L1385" s="74" t="n"/>
      <c r="M1385" s="74" t="n"/>
      <c r="O1385" s="78">
        <f>IF($A1385="","",YEAR($A1385)*100+MONTH($A1385))</f>
        <v/>
      </c>
      <c r="P1385" s="79">
        <f>IF(OR($F1385="",$D1385=""),"",IF($D1385="Receita",$F1385,IF($D1385="Transferência",0,-$F1385)))</f>
        <v/>
      </c>
    </row>
    <row r="1386">
      <c r="A1386" s="73" t="n"/>
      <c r="B1386" s="74" t="n"/>
      <c r="C1386" s="74" t="n"/>
      <c r="D1386" s="75">
        <f>IF($C1386="","",IFERROR(INDEX(CAT_TIPO,MATCH($C1386,CAT_NOME,0)),"Sem categoria"))</f>
        <v/>
      </c>
      <c r="E1386" s="75">
        <f>IF($C1386="","",IFERROR(INDEX(CAT_GRUPO,MATCH($C1386,CAT_NOME,0)),"Sem categoria"))</f>
        <v/>
      </c>
      <c r="F1386" s="76" t="n"/>
      <c r="G1386" s="74" t="n"/>
      <c r="H1386" s="74" t="n"/>
      <c r="I1386" s="74" t="n"/>
      <c r="J1386" s="77" t="n"/>
      <c r="K1386" s="77" t="n"/>
      <c r="L1386" s="74" t="n"/>
      <c r="M1386" s="74" t="n"/>
      <c r="O1386" s="78">
        <f>IF($A1386="","",YEAR($A1386)*100+MONTH($A1386))</f>
        <v/>
      </c>
      <c r="P1386" s="79">
        <f>IF(OR($F1386="",$D1386=""),"",IF($D1386="Receita",$F1386,IF($D1386="Transferência",0,-$F1386)))</f>
        <v/>
      </c>
    </row>
    <row r="1387">
      <c r="A1387" s="73" t="n"/>
      <c r="B1387" s="74" t="n"/>
      <c r="C1387" s="74" t="n"/>
      <c r="D1387" s="75">
        <f>IF($C1387="","",IFERROR(INDEX(CAT_TIPO,MATCH($C1387,CAT_NOME,0)),"Sem categoria"))</f>
        <v/>
      </c>
      <c r="E1387" s="75">
        <f>IF($C1387="","",IFERROR(INDEX(CAT_GRUPO,MATCH($C1387,CAT_NOME,0)),"Sem categoria"))</f>
        <v/>
      </c>
      <c r="F1387" s="76" t="n"/>
      <c r="G1387" s="74" t="n"/>
      <c r="H1387" s="74" t="n"/>
      <c r="I1387" s="74" t="n"/>
      <c r="J1387" s="77" t="n"/>
      <c r="K1387" s="77" t="n"/>
      <c r="L1387" s="74" t="n"/>
      <c r="M1387" s="74" t="n"/>
      <c r="O1387" s="78">
        <f>IF($A1387="","",YEAR($A1387)*100+MONTH($A1387))</f>
        <v/>
      </c>
      <c r="P1387" s="79">
        <f>IF(OR($F1387="",$D1387=""),"",IF($D1387="Receita",$F1387,IF($D1387="Transferência",0,-$F1387)))</f>
        <v/>
      </c>
    </row>
    <row r="1388">
      <c r="A1388" s="73" t="n"/>
      <c r="B1388" s="74" t="n"/>
      <c r="C1388" s="74" t="n"/>
      <c r="D1388" s="75">
        <f>IF($C1388="","",IFERROR(INDEX(CAT_TIPO,MATCH($C1388,CAT_NOME,0)),"Sem categoria"))</f>
        <v/>
      </c>
      <c r="E1388" s="75">
        <f>IF($C1388="","",IFERROR(INDEX(CAT_GRUPO,MATCH($C1388,CAT_NOME,0)),"Sem categoria"))</f>
        <v/>
      </c>
      <c r="F1388" s="76" t="n"/>
      <c r="G1388" s="74" t="n"/>
      <c r="H1388" s="74" t="n"/>
      <c r="I1388" s="74" t="n"/>
      <c r="J1388" s="77" t="n"/>
      <c r="K1388" s="77" t="n"/>
      <c r="L1388" s="74" t="n"/>
      <c r="M1388" s="74" t="n"/>
      <c r="O1388" s="78">
        <f>IF($A1388="","",YEAR($A1388)*100+MONTH($A1388))</f>
        <v/>
      </c>
      <c r="P1388" s="79">
        <f>IF(OR($F1388="",$D1388=""),"",IF($D1388="Receita",$F1388,IF($D1388="Transferência",0,-$F1388)))</f>
        <v/>
      </c>
    </row>
    <row r="1389">
      <c r="A1389" s="73" t="n"/>
      <c r="B1389" s="74" t="n"/>
      <c r="C1389" s="74" t="n"/>
      <c r="D1389" s="75">
        <f>IF($C1389="","",IFERROR(INDEX(CAT_TIPO,MATCH($C1389,CAT_NOME,0)),"Sem categoria"))</f>
        <v/>
      </c>
      <c r="E1389" s="75">
        <f>IF($C1389="","",IFERROR(INDEX(CAT_GRUPO,MATCH($C1389,CAT_NOME,0)),"Sem categoria"))</f>
        <v/>
      </c>
      <c r="F1389" s="76" t="n"/>
      <c r="G1389" s="74" t="n"/>
      <c r="H1389" s="74" t="n"/>
      <c r="I1389" s="74" t="n"/>
      <c r="J1389" s="77" t="n"/>
      <c r="K1389" s="77" t="n"/>
      <c r="L1389" s="74" t="n"/>
      <c r="M1389" s="74" t="n"/>
      <c r="O1389" s="78">
        <f>IF($A1389="","",YEAR($A1389)*100+MONTH($A1389))</f>
        <v/>
      </c>
      <c r="P1389" s="79">
        <f>IF(OR($F1389="",$D1389=""),"",IF($D1389="Receita",$F1389,IF($D1389="Transferência",0,-$F1389)))</f>
        <v/>
      </c>
    </row>
    <row r="1390">
      <c r="A1390" s="73" t="n"/>
      <c r="B1390" s="74" t="n"/>
      <c r="C1390" s="74" t="n"/>
      <c r="D1390" s="75">
        <f>IF($C1390="","",IFERROR(INDEX(CAT_TIPO,MATCH($C1390,CAT_NOME,0)),"Sem categoria"))</f>
        <v/>
      </c>
      <c r="E1390" s="75">
        <f>IF($C1390="","",IFERROR(INDEX(CAT_GRUPO,MATCH($C1390,CAT_NOME,0)),"Sem categoria"))</f>
        <v/>
      </c>
      <c r="F1390" s="76" t="n"/>
      <c r="G1390" s="74" t="n"/>
      <c r="H1390" s="74" t="n"/>
      <c r="I1390" s="74" t="n"/>
      <c r="J1390" s="77" t="n"/>
      <c r="K1390" s="77" t="n"/>
      <c r="L1390" s="74" t="n"/>
      <c r="M1390" s="74" t="n"/>
      <c r="O1390" s="78">
        <f>IF($A1390="","",YEAR($A1390)*100+MONTH($A1390))</f>
        <v/>
      </c>
      <c r="P1390" s="79">
        <f>IF(OR($F1390="",$D1390=""),"",IF($D1390="Receita",$F1390,IF($D1390="Transferência",0,-$F1390)))</f>
        <v/>
      </c>
    </row>
    <row r="1391">
      <c r="A1391" s="73" t="n"/>
      <c r="B1391" s="74" t="n"/>
      <c r="C1391" s="74" t="n"/>
      <c r="D1391" s="75">
        <f>IF($C1391="","",IFERROR(INDEX(CAT_TIPO,MATCH($C1391,CAT_NOME,0)),"Sem categoria"))</f>
        <v/>
      </c>
      <c r="E1391" s="75">
        <f>IF($C1391="","",IFERROR(INDEX(CAT_GRUPO,MATCH($C1391,CAT_NOME,0)),"Sem categoria"))</f>
        <v/>
      </c>
      <c r="F1391" s="76" t="n"/>
      <c r="G1391" s="74" t="n"/>
      <c r="H1391" s="74" t="n"/>
      <c r="I1391" s="74" t="n"/>
      <c r="J1391" s="77" t="n"/>
      <c r="K1391" s="77" t="n"/>
      <c r="L1391" s="74" t="n"/>
      <c r="M1391" s="74" t="n"/>
      <c r="O1391" s="78">
        <f>IF($A1391="","",YEAR($A1391)*100+MONTH($A1391))</f>
        <v/>
      </c>
      <c r="P1391" s="79">
        <f>IF(OR($F1391="",$D1391=""),"",IF($D1391="Receita",$F1391,IF($D1391="Transferência",0,-$F1391)))</f>
        <v/>
      </c>
    </row>
    <row r="1392">
      <c r="A1392" s="73" t="n"/>
      <c r="B1392" s="74" t="n"/>
      <c r="C1392" s="74" t="n"/>
      <c r="D1392" s="75">
        <f>IF($C1392="","",IFERROR(INDEX(CAT_TIPO,MATCH($C1392,CAT_NOME,0)),"Sem categoria"))</f>
        <v/>
      </c>
      <c r="E1392" s="75">
        <f>IF($C1392="","",IFERROR(INDEX(CAT_GRUPO,MATCH($C1392,CAT_NOME,0)),"Sem categoria"))</f>
        <v/>
      </c>
      <c r="F1392" s="76" t="n"/>
      <c r="G1392" s="74" t="n"/>
      <c r="H1392" s="74" t="n"/>
      <c r="I1392" s="74" t="n"/>
      <c r="J1392" s="77" t="n"/>
      <c r="K1392" s="77" t="n"/>
      <c r="L1392" s="74" t="n"/>
      <c r="M1392" s="74" t="n"/>
      <c r="O1392" s="78">
        <f>IF($A1392="","",YEAR($A1392)*100+MONTH($A1392))</f>
        <v/>
      </c>
      <c r="P1392" s="79">
        <f>IF(OR($F1392="",$D1392=""),"",IF($D1392="Receita",$F1392,IF($D1392="Transferência",0,-$F1392)))</f>
        <v/>
      </c>
    </row>
    <row r="1393">
      <c r="A1393" s="73" t="n"/>
      <c r="B1393" s="74" t="n"/>
      <c r="C1393" s="74" t="n"/>
      <c r="D1393" s="75">
        <f>IF($C1393="","",IFERROR(INDEX(CAT_TIPO,MATCH($C1393,CAT_NOME,0)),"Sem categoria"))</f>
        <v/>
      </c>
      <c r="E1393" s="75">
        <f>IF($C1393="","",IFERROR(INDEX(CAT_GRUPO,MATCH($C1393,CAT_NOME,0)),"Sem categoria"))</f>
        <v/>
      </c>
      <c r="F1393" s="76" t="n"/>
      <c r="G1393" s="74" t="n"/>
      <c r="H1393" s="74" t="n"/>
      <c r="I1393" s="74" t="n"/>
      <c r="J1393" s="77" t="n"/>
      <c r="K1393" s="77" t="n"/>
      <c r="L1393" s="74" t="n"/>
      <c r="M1393" s="74" t="n"/>
      <c r="O1393" s="78">
        <f>IF($A1393="","",YEAR($A1393)*100+MONTH($A1393))</f>
        <v/>
      </c>
      <c r="P1393" s="79">
        <f>IF(OR($F1393="",$D1393=""),"",IF($D1393="Receita",$F1393,IF($D1393="Transferência",0,-$F1393)))</f>
        <v/>
      </c>
    </row>
    <row r="1394">
      <c r="A1394" s="73" t="n"/>
      <c r="B1394" s="74" t="n"/>
      <c r="C1394" s="74" t="n"/>
      <c r="D1394" s="75">
        <f>IF($C1394="","",IFERROR(INDEX(CAT_TIPO,MATCH($C1394,CAT_NOME,0)),"Sem categoria"))</f>
        <v/>
      </c>
      <c r="E1394" s="75">
        <f>IF($C1394="","",IFERROR(INDEX(CAT_GRUPO,MATCH($C1394,CAT_NOME,0)),"Sem categoria"))</f>
        <v/>
      </c>
      <c r="F1394" s="76" t="n"/>
      <c r="G1394" s="74" t="n"/>
      <c r="H1394" s="74" t="n"/>
      <c r="I1394" s="74" t="n"/>
      <c r="J1394" s="77" t="n"/>
      <c r="K1394" s="77" t="n"/>
      <c r="L1394" s="74" t="n"/>
      <c r="M1394" s="74" t="n"/>
      <c r="O1394" s="78">
        <f>IF($A1394="","",YEAR($A1394)*100+MONTH($A1394))</f>
        <v/>
      </c>
      <c r="P1394" s="79">
        <f>IF(OR($F1394="",$D1394=""),"",IF($D1394="Receita",$F1394,IF($D1394="Transferência",0,-$F1394)))</f>
        <v/>
      </c>
    </row>
    <row r="1395">
      <c r="A1395" s="73" t="n"/>
      <c r="B1395" s="74" t="n"/>
      <c r="C1395" s="74" t="n"/>
      <c r="D1395" s="75">
        <f>IF($C1395="","",IFERROR(INDEX(CAT_TIPO,MATCH($C1395,CAT_NOME,0)),"Sem categoria"))</f>
        <v/>
      </c>
      <c r="E1395" s="75">
        <f>IF($C1395="","",IFERROR(INDEX(CAT_GRUPO,MATCH($C1395,CAT_NOME,0)),"Sem categoria"))</f>
        <v/>
      </c>
      <c r="F1395" s="76" t="n"/>
      <c r="G1395" s="74" t="n"/>
      <c r="H1395" s="74" t="n"/>
      <c r="I1395" s="74" t="n"/>
      <c r="J1395" s="77" t="n"/>
      <c r="K1395" s="77" t="n"/>
      <c r="L1395" s="74" t="n"/>
      <c r="M1395" s="74" t="n"/>
      <c r="O1395" s="78">
        <f>IF($A1395="","",YEAR($A1395)*100+MONTH($A1395))</f>
        <v/>
      </c>
      <c r="P1395" s="79">
        <f>IF(OR($F1395="",$D1395=""),"",IF($D1395="Receita",$F1395,IF($D1395="Transferência",0,-$F1395)))</f>
        <v/>
      </c>
    </row>
    <row r="1396">
      <c r="A1396" s="73" t="n"/>
      <c r="B1396" s="74" t="n"/>
      <c r="C1396" s="74" t="n"/>
      <c r="D1396" s="75">
        <f>IF($C1396="","",IFERROR(INDEX(CAT_TIPO,MATCH($C1396,CAT_NOME,0)),"Sem categoria"))</f>
        <v/>
      </c>
      <c r="E1396" s="75">
        <f>IF($C1396="","",IFERROR(INDEX(CAT_GRUPO,MATCH($C1396,CAT_NOME,0)),"Sem categoria"))</f>
        <v/>
      </c>
      <c r="F1396" s="76" t="n"/>
      <c r="G1396" s="74" t="n"/>
      <c r="H1396" s="74" t="n"/>
      <c r="I1396" s="74" t="n"/>
      <c r="J1396" s="77" t="n"/>
      <c r="K1396" s="77" t="n"/>
      <c r="L1396" s="74" t="n"/>
      <c r="M1396" s="74" t="n"/>
      <c r="O1396" s="78">
        <f>IF($A1396="","",YEAR($A1396)*100+MONTH($A1396))</f>
        <v/>
      </c>
      <c r="P1396" s="79">
        <f>IF(OR($F1396="",$D1396=""),"",IF($D1396="Receita",$F1396,IF($D1396="Transferência",0,-$F1396)))</f>
        <v/>
      </c>
    </row>
    <row r="1397">
      <c r="A1397" s="73" t="n"/>
      <c r="B1397" s="74" t="n"/>
      <c r="C1397" s="74" t="n"/>
      <c r="D1397" s="75">
        <f>IF($C1397="","",IFERROR(INDEX(CAT_TIPO,MATCH($C1397,CAT_NOME,0)),"Sem categoria"))</f>
        <v/>
      </c>
      <c r="E1397" s="75">
        <f>IF($C1397="","",IFERROR(INDEX(CAT_GRUPO,MATCH($C1397,CAT_NOME,0)),"Sem categoria"))</f>
        <v/>
      </c>
      <c r="F1397" s="76" t="n"/>
      <c r="G1397" s="74" t="n"/>
      <c r="H1397" s="74" t="n"/>
      <c r="I1397" s="74" t="n"/>
      <c r="J1397" s="77" t="n"/>
      <c r="K1397" s="77" t="n"/>
      <c r="L1397" s="74" t="n"/>
      <c r="M1397" s="74" t="n"/>
      <c r="O1397" s="78">
        <f>IF($A1397="","",YEAR($A1397)*100+MONTH($A1397))</f>
        <v/>
      </c>
      <c r="P1397" s="79">
        <f>IF(OR($F1397="",$D1397=""),"",IF($D1397="Receita",$F1397,IF($D1397="Transferência",0,-$F1397)))</f>
        <v/>
      </c>
    </row>
    <row r="1398">
      <c r="A1398" s="73" t="n"/>
      <c r="B1398" s="74" t="n"/>
      <c r="C1398" s="74" t="n"/>
      <c r="D1398" s="75">
        <f>IF($C1398="","",IFERROR(INDEX(CAT_TIPO,MATCH($C1398,CAT_NOME,0)),"Sem categoria"))</f>
        <v/>
      </c>
      <c r="E1398" s="75">
        <f>IF($C1398="","",IFERROR(INDEX(CAT_GRUPO,MATCH($C1398,CAT_NOME,0)),"Sem categoria"))</f>
        <v/>
      </c>
      <c r="F1398" s="76" t="n"/>
      <c r="G1398" s="74" t="n"/>
      <c r="H1398" s="74" t="n"/>
      <c r="I1398" s="74" t="n"/>
      <c r="J1398" s="77" t="n"/>
      <c r="K1398" s="77" t="n"/>
      <c r="L1398" s="74" t="n"/>
      <c r="M1398" s="74" t="n"/>
      <c r="O1398" s="78">
        <f>IF($A1398="","",YEAR($A1398)*100+MONTH($A1398))</f>
        <v/>
      </c>
      <c r="P1398" s="79">
        <f>IF(OR($F1398="",$D1398=""),"",IF($D1398="Receita",$F1398,IF($D1398="Transferência",0,-$F1398)))</f>
        <v/>
      </c>
    </row>
    <row r="1399">
      <c r="A1399" s="73" t="n"/>
      <c r="B1399" s="74" t="n"/>
      <c r="C1399" s="74" t="n"/>
      <c r="D1399" s="75">
        <f>IF($C1399="","",IFERROR(INDEX(CAT_TIPO,MATCH($C1399,CAT_NOME,0)),"Sem categoria"))</f>
        <v/>
      </c>
      <c r="E1399" s="75">
        <f>IF($C1399="","",IFERROR(INDEX(CAT_GRUPO,MATCH($C1399,CAT_NOME,0)),"Sem categoria"))</f>
        <v/>
      </c>
      <c r="F1399" s="76" t="n"/>
      <c r="G1399" s="74" t="n"/>
      <c r="H1399" s="74" t="n"/>
      <c r="I1399" s="74" t="n"/>
      <c r="J1399" s="77" t="n"/>
      <c r="K1399" s="77" t="n"/>
      <c r="L1399" s="74" t="n"/>
      <c r="M1399" s="74" t="n"/>
      <c r="O1399" s="78">
        <f>IF($A1399="","",YEAR($A1399)*100+MONTH($A1399))</f>
        <v/>
      </c>
      <c r="P1399" s="79">
        <f>IF(OR($F1399="",$D1399=""),"",IF($D1399="Receita",$F1399,IF($D1399="Transferência",0,-$F1399)))</f>
        <v/>
      </c>
    </row>
    <row r="1400">
      <c r="A1400" s="73" t="n"/>
      <c r="B1400" s="74" t="n"/>
      <c r="C1400" s="74" t="n"/>
      <c r="D1400" s="75">
        <f>IF($C1400="","",IFERROR(INDEX(CAT_TIPO,MATCH($C1400,CAT_NOME,0)),"Sem categoria"))</f>
        <v/>
      </c>
      <c r="E1400" s="75">
        <f>IF($C1400="","",IFERROR(INDEX(CAT_GRUPO,MATCH($C1400,CAT_NOME,0)),"Sem categoria"))</f>
        <v/>
      </c>
      <c r="F1400" s="76" t="n"/>
      <c r="G1400" s="74" t="n"/>
      <c r="H1400" s="74" t="n"/>
      <c r="I1400" s="74" t="n"/>
      <c r="J1400" s="77" t="n"/>
      <c r="K1400" s="77" t="n"/>
      <c r="L1400" s="74" t="n"/>
      <c r="M1400" s="74" t="n"/>
      <c r="O1400" s="78">
        <f>IF($A1400="","",YEAR($A1400)*100+MONTH($A1400))</f>
        <v/>
      </c>
      <c r="P1400" s="79">
        <f>IF(OR($F1400="",$D1400=""),"",IF($D1400="Receita",$F1400,IF($D1400="Transferência",0,-$F1400)))</f>
        <v/>
      </c>
    </row>
    <row r="1401">
      <c r="A1401" s="73" t="n"/>
      <c r="B1401" s="74" t="n"/>
      <c r="C1401" s="74" t="n"/>
      <c r="D1401" s="75">
        <f>IF($C1401="","",IFERROR(INDEX(CAT_TIPO,MATCH($C1401,CAT_NOME,0)),"Sem categoria"))</f>
        <v/>
      </c>
      <c r="E1401" s="75">
        <f>IF($C1401="","",IFERROR(INDEX(CAT_GRUPO,MATCH($C1401,CAT_NOME,0)),"Sem categoria"))</f>
        <v/>
      </c>
      <c r="F1401" s="76" t="n"/>
      <c r="G1401" s="74" t="n"/>
      <c r="H1401" s="74" t="n"/>
      <c r="I1401" s="74" t="n"/>
      <c r="J1401" s="77" t="n"/>
      <c r="K1401" s="77" t="n"/>
      <c r="L1401" s="74" t="n"/>
      <c r="M1401" s="74" t="n"/>
      <c r="O1401" s="78">
        <f>IF($A1401="","",YEAR($A1401)*100+MONTH($A1401))</f>
        <v/>
      </c>
      <c r="P1401" s="79">
        <f>IF(OR($F1401="",$D1401=""),"",IF($D1401="Receita",$F1401,IF($D1401="Transferência",0,-$F1401)))</f>
        <v/>
      </c>
    </row>
    <row r="1402">
      <c r="A1402" s="73" t="n"/>
      <c r="B1402" s="74" t="n"/>
      <c r="C1402" s="74" t="n"/>
      <c r="D1402" s="75">
        <f>IF($C1402="","",IFERROR(INDEX(CAT_TIPO,MATCH($C1402,CAT_NOME,0)),"Sem categoria"))</f>
        <v/>
      </c>
      <c r="E1402" s="75">
        <f>IF($C1402="","",IFERROR(INDEX(CAT_GRUPO,MATCH($C1402,CAT_NOME,0)),"Sem categoria"))</f>
        <v/>
      </c>
      <c r="F1402" s="76" t="n"/>
      <c r="G1402" s="74" t="n"/>
      <c r="H1402" s="74" t="n"/>
      <c r="I1402" s="74" t="n"/>
      <c r="J1402" s="77" t="n"/>
      <c r="K1402" s="77" t="n"/>
      <c r="L1402" s="74" t="n"/>
      <c r="M1402" s="74" t="n"/>
      <c r="O1402" s="78">
        <f>IF($A1402="","",YEAR($A1402)*100+MONTH($A1402))</f>
        <v/>
      </c>
      <c r="P1402" s="79">
        <f>IF(OR($F1402="",$D1402=""),"",IF($D1402="Receita",$F1402,IF($D1402="Transferência",0,-$F1402)))</f>
        <v/>
      </c>
    </row>
    <row r="1403">
      <c r="A1403" s="73" t="n"/>
      <c r="B1403" s="74" t="n"/>
      <c r="C1403" s="74" t="n"/>
      <c r="D1403" s="75">
        <f>IF($C1403="","",IFERROR(INDEX(CAT_TIPO,MATCH($C1403,CAT_NOME,0)),"Sem categoria"))</f>
        <v/>
      </c>
      <c r="E1403" s="75">
        <f>IF($C1403="","",IFERROR(INDEX(CAT_GRUPO,MATCH($C1403,CAT_NOME,0)),"Sem categoria"))</f>
        <v/>
      </c>
      <c r="F1403" s="76" t="n"/>
      <c r="G1403" s="74" t="n"/>
      <c r="H1403" s="74" t="n"/>
      <c r="I1403" s="74" t="n"/>
      <c r="J1403" s="77" t="n"/>
      <c r="K1403" s="77" t="n"/>
      <c r="L1403" s="74" t="n"/>
      <c r="M1403" s="74" t="n"/>
      <c r="O1403" s="78">
        <f>IF($A1403="","",YEAR($A1403)*100+MONTH($A1403))</f>
        <v/>
      </c>
      <c r="P1403" s="79">
        <f>IF(OR($F1403="",$D1403=""),"",IF($D1403="Receita",$F1403,IF($D1403="Transferência",0,-$F1403)))</f>
        <v/>
      </c>
    </row>
    <row r="1404">
      <c r="A1404" s="73" t="n"/>
      <c r="B1404" s="74" t="n"/>
      <c r="C1404" s="74" t="n"/>
      <c r="D1404" s="75">
        <f>IF($C1404="","",IFERROR(INDEX(CAT_TIPO,MATCH($C1404,CAT_NOME,0)),"Sem categoria"))</f>
        <v/>
      </c>
      <c r="E1404" s="75">
        <f>IF($C1404="","",IFERROR(INDEX(CAT_GRUPO,MATCH($C1404,CAT_NOME,0)),"Sem categoria"))</f>
        <v/>
      </c>
      <c r="F1404" s="76" t="n"/>
      <c r="G1404" s="74" t="n"/>
      <c r="H1404" s="74" t="n"/>
      <c r="I1404" s="74" t="n"/>
      <c r="J1404" s="77" t="n"/>
      <c r="K1404" s="77" t="n"/>
      <c r="L1404" s="74" t="n"/>
      <c r="M1404" s="74" t="n"/>
      <c r="O1404" s="78">
        <f>IF($A1404="","",YEAR($A1404)*100+MONTH($A1404))</f>
        <v/>
      </c>
      <c r="P1404" s="79">
        <f>IF(OR($F1404="",$D1404=""),"",IF($D1404="Receita",$F1404,IF($D1404="Transferência",0,-$F1404)))</f>
        <v/>
      </c>
    </row>
    <row r="1405">
      <c r="A1405" s="73" t="n"/>
      <c r="B1405" s="74" t="n"/>
      <c r="C1405" s="74" t="n"/>
      <c r="D1405" s="75">
        <f>IF($C1405="","",IFERROR(INDEX(CAT_TIPO,MATCH($C1405,CAT_NOME,0)),"Sem categoria"))</f>
        <v/>
      </c>
      <c r="E1405" s="75">
        <f>IF($C1405="","",IFERROR(INDEX(CAT_GRUPO,MATCH($C1405,CAT_NOME,0)),"Sem categoria"))</f>
        <v/>
      </c>
      <c r="F1405" s="76" t="n"/>
      <c r="G1405" s="74" t="n"/>
      <c r="H1405" s="74" t="n"/>
      <c r="I1405" s="74" t="n"/>
      <c r="J1405" s="77" t="n"/>
      <c r="K1405" s="77" t="n"/>
      <c r="L1405" s="74" t="n"/>
      <c r="M1405" s="74" t="n"/>
      <c r="O1405" s="78">
        <f>IF($A1405="","",YEAR($A1405)*100+MONTH($A1405))</f>
        <v/>
      </c>
      <c r="P1405" s="79">
        <f>IF(OR($F1405="",$D1405=""),"",IF($D1405="Receita",$F1405,IF($D1405="Transferência",0,-$F1405)))</f>
        <v/>
      </c>
    </row>
    <row r="1406">
      <c r="A1406" s="73" t="n"/>
      <c r="B1406" s="74" t="n"/>
      <c r="C1406" s="74" t="n"/>
      <c r="D1406" s="75">
        <f>IF($C1406="","",IFERROR(INDEX(CAT_TIPO,MATCH($C1406,CAT_NOME,0)),"Sem categoria"))</f>
        <v/>
      </c>
      <c r="E1406" s="75">
        <f>IF($C1406="","",IFERROR(INDEX(CAT_GRUPO,MATCH($C1406,CAT_NOME,0)),"Sem categoria"))</f>
        <v/>
      </c>
      <c r="F1406" s="76" t="n"/>
      <c r="G1406" s="74" t="n"/>
      <c r="H1406" s="74" t="n"/>
      <c r="I1406" s="74" t="n"/>
      <c r="J1406" s="77" t="n"/>
      <c r="K1406" s="77" t="n"/>
      <c r="L1406" s="74" t="n"/>
      <c r="M1406" s="74" t="n"/>
      <c r="O1406" s="78">
        <f>IF($A1406="","",YEAR($A1406)*100+MONTH($A1406))</f>
        <v/>
      </c>
      <c r="P1406" s="79">
        <f>IF(OR($F1406="",$D1406=""),"",IF($D1406="Receita",$F1406,IF($D1406="Transferência",0,-$F1406)))</f>
        <v/>
      </c>
    </row>
    <row r="1407">
      <c r="A1407" s="73" t="n"/>
      <c r="B1407" s="74" t="n"/>
      <c r="C1407" s="74" t="n"/>
      <c r="D1407" s="75">
        <f>IF($C1407="","",IFERROR(INDEX(CAT_TIPO,MATCH($C1407,CAT_NOME,0)),"Sem categoria"))</f>
        <v/>
      </c>
      <c r="E1407" s="75">
        <f>IF($C1407="","",IFERROR(INDEX(CAT_GRUPO,MATCH($C1407,CAT_NOME,0)),"Sem categoria"))</f>
        <v/>
      </c>
      <c r="F1407" s="76" t="n"/>
      <c r="G1407" s="74" t="n"/>
      <c r="H1407" s="74" t="n"/>
      <c r="I1407" s="74" t="n"/>
      <c r="J1407" s="77" t="n"/>
      <c r="K1407" s="77" t="n"/>
      <c r="L1407" s="74" t="n"/>
      <c r="M1407" s="74" t="n"/>
      <c r="O1407" s="78">
        <f>IF($A1407="","",YEAR($A1407)*100+MONTH($A1407))</f>
        <v/>
      </c>
      <c r="P1407" s="79">
        <f>IF(OR($F1407="",$D1407=""),"",IF($D1407="Receita",$F1407,IF($D1407="Transferência",0,-$F1407)))</f>
        <v/>
      </c>
    </row>
    <row r="1408">
      <c r="A1408" s="73" t="n"/>
      <c r="B1408" s="74" t="n"/>
      <c r="C1408" s="74" t="n"/>
      <c r="D1408" s="75">
        <f>IF($C1408="","",IFERROR(INDEX(CAT_TIPO,MATCH($C1408,CAT_NOME,0)),"Sem categoria"))</f>
        <v/>
      </c>
      <c r="E1408" s="75">
        <f>IF($C1408="","",IFERROR(INDEX(CAT_GRUPO,MATCH($C1408,CAT_NOME,0)),"Sem categoria"))</f>
        <v/>
      </c>
      <c r="F1408" s="76" t="n"/>
      <c r="G1408" s="74" t="n"/>
      <c r="H1408" s="74" t="n"/>
      <c r="I1408" s="74" t="n"/>
      <c r="J1408" s="77" t="n"/>
      <c r="K1408" s="77" t="n"/>
      <c r="L1408" s="74" t="n"/>
      <c r="M1408" s="74" t="n"/>
      <c r="O1408" s="78">
        <f>IF($A1408="","",YEAR($A1408)*100+MONTH($A1408))</f>
        <v/>
      </c>
      <c r="P1408" s="79">
        <f>IF(OR($F1408="",$D1408=""),"",IF($D1408="Receita",$F1408,IF($D1408="Transferência",0,-$F1408)))</f>
        <v/>
      </c>
    </row>
    <row r="1409">
      <c r="A1409" s="73" t="n"/>
      <c r="B1409" s="74" t="n"/>
      <c r="C1409" s="74" t="n"/>
      <c r="D1409" s="75">
        <f>IF($C1409="","",IFERROR(INDEX(CAT_TIPO,MATCH($C1409,CAT_NOME,0)),"Sem categoria"))</f>
        <v/>
      </c>
      <c r="E1409" s="75">
        <f>IF($C1409="","",IFERROR(INDEX(CAT_GRUPO,MATCH($C1409,CAT_NOME,0)),"Sem categoria"))</f>
        <v/>
      </c>
      <c r="F1409" s="76" t="n"/>
      <c r="G1409" s="74" t="n"/>
      <c r="H1409" s="74" t="n"/>
      <c r="I1409" s="74" t="n"/>
      <c r="J1409" s="77" t="n"/>
      <c r="K1409" s="77" t="n"/>
      <c r="L1409" s="74" t="n"/>
      <c r="M1409" s="74" t="n"/>
      <c r="O1409" s="78">
        <f>IF($A1409="","",YEAR($A1409)*100+MONTH($A1409))</f>
        <v/>
      </c>
      <c r="P1409" s="79">
        <f>IF(OR($F1409="",$D1409=""),"",IF($D1409="Receita",$F1409,IF($D1409="Transferência",0,-$F1409)))</f>
        <v/>
      </c>
    </row>
    <row r="1410">
      <c r="A1410" s="73" t="n"/>
      <c r="B1410" s="74" t="n"/>
      <c r="C1410" s="74" t="n"/>
      <c r="D1410" s="75">
        <f>IF($C1410="","",IFERROR(INDEX(CAT_TIPO,MATCH($C1410,CAT_NOME,0)),"Sem categoria"))</f>
        <v/>
      </c>
      <c r="E1410" s="75">
        <f>IF($C1410="","",IFERROR(INDEX(CAT_GRUPO,MATCH($C1410,CAT_NOME,0)),"Sem categoria"))</f>
        <v/>
      </c>
      <c r="F1410" s="76" t="n"/>
      <c r="G1410" s="74" t="n"/>
      <c r="H1410" s="74" t="n"/>
      <c r="I1410" s="74" t="n"/>
      <c r="J1410" s="77" t="n"/>
      <c r="K1410" s="77" t="n"/>
      <c r="L1410" s="74" t="n"/>
      <c r="M1410" s="74" t="n"/>
      <c r="O1410" s="78">
        <f>IF($A1410="","",YEAR($A1410)*100+MONTH($A1410))</f>
        <v/>
      </c>
      <c r="P1410" s="79">
        <f>IF(OR($F1410="",$D1410=""),"",IF($D1410="Receita",$F1410,IF($D1410="Transferência",0,-$F1410)))</f>
        <v/>
      </c>
    </row>
    <row r="1411">
      <c r="A1411" s="73" t="n"/>
      <c r="B1411" s="74" t="n"/>
      <c r="C1411" s="74" t="n"/>
      <c r="D1411" s="75">
        <f>IF($C1411="","",IFERROR(INDEX(CAT_TIPO,MATCH($C1411,CAT_NOME,0)),"Sem categoria"))</f>
        <v/>
      </c>
      <c r="E1411" s="75">
        <f>IF($C1411="","",IFERROR(INDEX(CAT_GRUPO,MATCH($C1411,CAT_NOME,0)),"Sem categoria"))</f>
        <v/>
      </c>
      <c r="F1411" s="76" t="n"/>
      <c r="G1411" s="74" t="n"/>
      <c r="H1411" s="74" t="n"/>
      <c r="I1411" s="74" t="n"/>
      <c r="J1411" s="77" t="n"/>
      <c r="K1411" s="77" t="n"/>
      <c r="L1411" s="74" t="n"/>
      <c r="M1411" s="74" t="n"/>
      <c r="O1411" s="78">
        <f>IF($A1411="","",YEAR($A1411)*100+MONTH($A1411))</f>
        <v/>
      </c>
      <c r="P1411" s="79">
        <f>IF(OR($F1411="",$D1411=""),"",IF($D1411="Receita",$F1411,IF($D1411="Transferência",0,-$F1411)))</f>
        <v/>
      </c>
    </row>
    <row r="1412">
      <c r="A1412" s="73" t="n"/>
      <c r="B1412" s="74" t="n"/>
      <c r="C1412" s="74" t="n"/>
      <c r="D1412" s="75">
        <f>IF($C1412="","",IFERROR(INDEX(CAT_TIPO,MATCH($C1412,CAT_NOME,0)),"Sem categoria"))</f>
        <v/>
      </c>
      <c r="E1412" s="75">
        <f>IF($C1412="","",IFERROR(INDEX(CAT_GRUPO,MATCH($C1412,CAT_NOME,0)),"Sem categoria"))</f>
        <v/>
      </c>
      <c r="F1412" s="76" t="n"/>
      <c r="G1412" s="74" t="n"/>
      <c r="H1412" s="74" t="n"/>
      <c r="I1412" s="74" t="n"/>
      <c r="J1412" s="77" t="n"/>
      <c r="K1412" s="77" t="n"/>
      <c r="L1412" s="74" t="n"/>
      <c r="M1412" s="74" t="n"/>
      <c r="O1412" s="78">
        <f>IF($A1412="","",YEAR($A1412)*100+MONTH($A1412))</f>
        <v/>
      </c>
      <c r="P1412" s="79">
        <f>IF(OR($F1412="",$D1412=""),"",IF($D1412="Receita",$F1412,IF($D1412="Transferência",0,-$F1412)))</f>
        <v/>
      </c>
    </row>
    <row r="1413">
      <c r="A1413" s="73" t="n"/>
      <c r="B1413" s="74" t="n"/>
      <c r="C1413" s="74" t="n"/>
      <c r="D1413" s="75">
        <f>IF($C1413="","",IFERROR(INDEX(CAT_TIPO,MATCH($C1413,CAT_NOME,0)),"Sem categoria"))</f>
        <v/>
      </c>
      <c r="E1413" s="75">
        <f>IF($C1413="","",IFERROR(INDEX(CAT_GRUPO,MATCH($C1413,CAT_NOME,0)),"Sem categoria"))</f>
        <v/>
      </c>
      <c r="F1413" s="76" t="n"/>
      <c r="G1413" s="74" t="n"/>
      <c r="H1413" s="74" t="n"/>
      <c r="I1413" s="74" t="n"/>
      <c r="J1413" s="77" t="n"/>
      <c r="K1413" s="77" t="n"/>
      <c r="L1413" s="74" t="n"/>
      <c r="M1413" s="74" t="n"/>
      <c r="O1413" s="78">
        <f>IF($A1413="","",YEAR($A1413)*100+MONTH($A1413))</f>
        <v/>
      </c>
      <c r="P1413" s="79">
        <f>IF(OR($F1413="",$D1413=""),"",IF($D1413="Receita",$F1413,IF($D1413="Transferência",0,-$F1413)))</f>
        <v/>
      </c>
    </row>
    <row r="1414">
      <c r="A1414" s="73" t="n"/>
      <c r="B1414" s="74" t="n"/>
      <c r="C1414" s="74" t="n"/>
      <c r="D1414" s="75">
        <f>IF($C1414="","",IFERROR(INDEX(CAT_TIPO,MATCH($C1414,CAT_NOME,0)),"Sem categoria"))</f>
        <v/>
      </c>
      <c r="E1414" s="75">
        <f>IF($C1414="","",IFERROR(INDEX(CAT_GRUPO,MATCH($C1414,CAT_NOME,0)),"Sem categoria"))</f>
        <v/>
      </c>
      <c r="F1414" s="76" t="n"/>
      <c r="G1414" s="74" t="n"/>
      <c r="H1414" s="74" t="n"/>
      <c r="I1414" s="74" t="n"/>
      <c r="J1414" s="77" t="n"/>
      <c r="K1414" s="77" t="n"/>
      <c r="L1414" s="74" t="n"/>
      <c r="M1414" s="74" t="n"/>
      <c r="O1414" s="78">
        <f>IF($A1414="","",YEAR($A1414)*100+MONTH($A1414))</f>
        <v/>
      </c>
      <c r="P1414" s="79">
        <f>IF(OR($F1414="",$D1414=""),"",IF($D1414="Receita",$F1414,IF($D1414="Transferência",0,-$F1414)))</f>
        <v/>
      </c>
    </row>
    <row r="1415">
      <c r="A1415" s="73" t="n"/>
      <c r="B1415" s="74" t="n"/>
      <c r="C1415" s="74" t="n"/>
      <c r="D1415" s="75">
        <f>IF($C1415="","",IFERROR(INDEX(CAT_TIPO,MATCH($C1415,CAT_NOME,0)),"Sem categoria"))</f>
        <v/>
      </c>
      <c r="E1415" s="75">
        <f>IF($C1415="","",IFERROR(INDEX(CAT_GRUPO,MATCH($C1415,CAT_NOME,0)),"Sem categoria"))</f>
        <v/>
      </c>
      <c r="F1415" s="76" t="n"/>
      <c r="G1415" s="74" t="n"/>
      <c r="H1415" s="74" t="n"/>
      <c r="I1415" s="74" t="n"/>
      <c r="J1415" s="77" t="n"/>
      <c r="K1415" s="77" t="n"/>
      <c r="L1415" s="74" t="n"/>
      <c r="M1415" s="74" t="n"/>
      <c r="O1415" s="78">
        <f>IF($A1415="","",YEAR($A1415)*100+MONTH($A1415))</f>
        <v/>
      </c>
      <c r="P1415" s="79">
        <f>IF(OR($F1415="",$D1415=""),"",IF($D1415="Receita",$F1415,IF($D1415="Transferência",0,-$F1415)))</f>
        <v/>
      </c>
    </row>
    <row r="1416">
      <c r="A1416" s="73" t="n"/>
      <c r="B1416" s="74" t="n"/>
      <c r="C1416" s="74" t="n"/>
      <c r="D1416" s="75">
        <f>IF($C1416="","",IFERROR(INDEX(CAT_TIPO,MATCH($C1416,CAT_NOME,0)),"Sem categoria"))</f>
        <v/>
      </c>
      <c r="E1416" s="75">
        <f>IF($C1416="","",IFERROR(INDEX(CAT_GRUPO,MATCH($C1416,CAT_NOME,0)),"Sem categoria"))</f>
        <v/>
      </c>
      <c r="F1416" s="76" t="n"/>
      <c r="G1416" s="74" t="n"/>
      <c r="H1416" s="74" t="n"/>
      <c r="I1416" s="74" t="n"/>
      <c r="J1416" s="77" t="n"/>
      <c r="K1416" s="77" t="n"/>
      <c r="L1416" s="74" t="n"/>
      <c r="M1416" s="74" t="n"/>
      <c r="O1416" s="78">
        <f>IF($A1416="","",YEAR($A1416)*100+MONTH($A1416))</f>
        <v/>
      </c>
      <c r="P1416" s="79">
        <f>IF(OR($F1416="",$D1416=""),"",IF($D1416="Receita",$F1416,IF($D1416="Transferência",0,-$F1416)))</f>
        <v/>
      </c>
    </row>
    <row r="1417">
      <c r="A1417" s="73" t="n"/>
      <c r="B1417" s="74" t="n"/>
      <c r="C1417" s="74" t="n"/>
      <c r="D1417" s="75">
        <f>IF($C1417="","",IFERROR(INDEX(CAT_TIPO,MATCH($C1417,CAT_NOME,0)),"Sem categoria"))</f>
        <v/>
      </c>
      <c r="E1417" s="75">
        <f>IF($C1417="","",IFERROR(INDEX(CAT_GRUPO,MATCH($C1417,CAT_NOME,0)),"Sem categoria"))</f>
        <v/>
      </c>
      <c r="F1417" s="76" t="n"/>
      <c r="G1417" s="74" t="n"/>
      <c r="H1417" s="74" t="n"/>
      <c r="I1417" s="74" t="n"/>
      <c r="J1417" s="77" t="n"/>
      <c r="K1417" s="77" t="n"/>
      <c r="L1417" s="74" t="n"/>
      <c r="M1417" s="74" t="n"/>
      <c r="O1417" s="78">
        <f>IF($A1417="","",YEAR($A1417)*100+MONTH($A1417))</f>
        <v/>
      </c>
      <c r="P1417" s="79">
        <f>IF(OR($F1417="",$D1417=""),"",IF($D1417="Receita",$F1417,IF($D1417="Transferência",0,-$F1417)))</f>
        <v/>
      </c>
    </row>
    <row r="1418">
      <c r="A1418" s="73" t="n"/>
      <c r="B1418" s="74" t="n"/>
      <c r="C1418" s="74" t="n"/>
      <c r="D1418" s="75">
        <f>IF($C1418="","",IFERROR(INDEX(CAT_TIPO,MATCH($C1418,CAT_NOME,0)),"Sem categoria"))</f>
        <v/>
      </c>
      <c r="E1418" s="75">
        <f>IF($C1418="","",IFERROR(INDEX(CAT_GRUPO,MATCH($C1418,CAT_NOME,0)),"Sem categoria"))</f>
        <v/>
      </c>
      <c r="F1418" s="76" t="n"/>
      <c r="G1418" s="74" t="n"/>
      <c r="H1418" s="74" t="n"/>
      <c r="I1418" s="74" t="n"/>
      <c r="J1418" s="77" t="n"/>
      <c r="K1418" s="77" t="n"/>
      <c r="L1418" s="74" t="n"/>
      <c r="M1418" s="74" t="n"/>
      <c r="O1418" s="78">
        <f>IF($A1418="","",YEAR($A1418)*100+MONTH($A1418))</f>
        <v/>
      </c>
      <c r="P1418" s="79">
        <f>IF(OR($F1418="",$D1418=""),"",IF($D1418="Receita",$F1418,IF($D1418="Transferência",0,-$F1418)))</f>
        <v/>
      </c>
    </row>
    <row r="1419">
      <c r="A1419" s="73" t="n"/>
      <c r="B1419" s="74" t="n"/>
      <c r="C1419" s="74" t="n"/>
      <c r="D1419" s="75">
        <f>IF($C1419="","",IFERROR(INDEX(CAT_TIPO,MATCH($C1419,CAT_NOME,0)),"Sem categoria"))</f>
        <v/>
      </c>
      <c r="E1419" s="75">
        <f>IF($C1419="","",IFERROR(INDEX(CAT_GRUPO,MATCH($C1419,CAT_NOME,0)),"Sem categoria"))</f>
        <v/>
      </c>
      <c r="F1419" s="76" t="n"/>
      <c r="G1419" s="74" t="n"/>
      <c r="H1419" s="74" t="n"/>
      <c r="I1419" s="74" t="n"/>
      <c r="J1419" s="77" t="n"/>
      <c r="K1419" s="77" t="n"/>
      <c r="L1419" s="74" t="n"/>
      <c r="M1419" s="74" t="n"/>
      <c r="O1419" s="78">
        <f>IF($A1419="","",YEAR($A1419)*100+MONTH($A1419))</f>
        <v/>
      </c>
      <c r="P1419" s="79">
        <f>IF(OR($F1419="",$D1419=""),"",IF($D1419="Receita",$F1419,IF($D1419="Transferência",0,-$F1419)))</f>
        <v/>
      </c>
    </row>
    <row r="1420">
      <c r="A1420" s="73" t="n"/>
      <c r="B1420" s="74" t="n"/>
      <c r="C1420" s="74" t="n"/>
      <c r="D1420" s="75">
        <f>IF($C1420="","",IFERROR(INDEX(CAT_TIPO,MATCH($C1420,CAT_NOME,0)),"Sem categoria"))</f>
        <v/>
      </c>
      <c r="E1420" s="75">
        <f>IF($C1420="","",IFERROR(INDEX(CAT_GRUPO,MATCH($C1420,CAT_NOME,0)),"Sem categoria"))</f>
        <v/>
      </c>
      <c r="F1420" s="76" t="n"/>
      <c r="G1420" s="74" t="n"/>
      <c r="H1420" s="74" t="n"/>
      <c r="I1420" s="74" t="n"/>
      <c r="J1420" s="77" t="n"/>
      <c r="K1420" s="77" t="n"/>
      <c r="L1420" s="74" t="n"/>
      <c r="M1420" s="74" t="n"/>
      <c r="O1420" s="78">
        <f>IF($A1420="","",YEAR($A1420)*100+MONTH($A1420))</f>
        <v/>
      </c>
      <c r="P1420" s="79">
        <f>IF(OR($F1420="",$D1420=""),"",IF($D1420="Receita",$F1420,IF($D1420="Transferência",0,-$F1420)))</f>
        <v/>
      </c>
    </row>
    <row r="1421">
      <c r="A1421" s="73" t="n"/>
      <c r="B1421" s="74" t="n"/>
      <c r="C1421" s="74" t="n"/>
      <c r="D1421" s="75">
        <f>IF($C1421="","",IFERROR(INDEX(CAT_TIPO,MATCH($C1421,CAT_NOME,0)),"Sem categoria"))</f>
        <v/>
      </c>
      <c r="E1421" s="75">
        <f>IF($C1421="","",IFERROR(INDEX(CAT_GRUPO,MATCH($C1421,CAT_NOME,0)),"Sem categoria"))</f>
        <v/>
      </c>
      <c r="F1421" s="76" t="n"/>
      <c r="G1421" s="74" t="n"/>
      <c r="H1421" s="74" t="n"/>
      <c r="I1421" s="74" t="n"/>
      <c r="J1421" s="77" t="n"/>
      <c r="K1421" s="77" t="n"/>
      <c r="L1421" s="74" t="n"/>
      <c r="M1421" s="74" t="n"/>
      <c r="O1421" s="78">
        <f>IF($A1421="","",YEAR($A1421)*100+MONTH($A1421))</f>
        <v/>
      </c>
      <c r="P1421" s="79">
        <f>IF(OR($F1421="",$D1421=""),"",IF($D1421="Receita",$F1421,IF($D1421="Transferência",0,-$F1421)))</f>
        <v/>
      </c>
    </row>
    <row r="1422">
      <c r="A1422" s="73" t="n"/>
      <c r="B1422" s="74" t="n"/>
      <c r="C1422" s="74" t="n"/>
      <c r="D1422" s="75">
        <f>IF($C1422="","",IFERROR(INDEX(CAT_TIPO,MATCH($C1422,CAT_NOME,0)),"Sem categoria"))</f>
        <v/>
      </c>
      <c r="E1422" s="75">
        <f>IF($C1422="","",IFERROR(INDEX(CAT_GRUPO,MATCH($C1422,CAT_NOME,0)),"Sem categoria"))</f>
        <v/>
      </c>
      <c r="F1422" s="76" t="n"/>
      <c r="G1422" s="74" t="n"/>
      <c r="H1422" s="74" t="n"/>
      <c r="I1422" s="74" t="n"/>
      <c r="J1422" s="77" t="n"/>
      <c r="K1422" s="77" t="n"/>
      <c r="L1422" s="74" t="n"/>
      <c r="M1422" s="74" t="n"/>
      <c r="O1422" s="78">
        <f>IF($A1422="","",YEAR($A1422)*100+MONTH($A1422))</f>
        <v/>
      </c>
      <c r="P1422" s="79">
        <f>IF(OR($F1422="",$D1422=""),"",IF($D1422="Receita",$F1422,IF($D1422="Transferência",0,-$F1422)))</f>
        <v/>
      </c>
    </row>
    <row r="1423">
      <c r="A1423" s="73" t="n"/>
      <c r="B1423" s="74" t="n"/>
      <c r="C1423" s="74" t="n"/>
      <c r="D1423" s="75">
        <f>IF($C1423="","",IFERROR(INDEX(CAT_TIPO,MATCH($C1423,CAT_NOME,0)),"Sem categoria"))</f>
        <v/>
      </c>
      <c r="E1423" s="75">
        <f>IF($C1423="","",IFERROR(INDEX(CAT_GRUPO,MATCH($C1423,CAT_NOME,0)),"Sem categoria"))</f>
        <v/>
      </c>
      <c r="F1423" s="76" t="n"/>
      <c r="G1423" s="74" t="n"/>
      <c r="H1423" s="74" t="n"/>
      <c r="I1423" s="74" t="n"/>
      <c r="J1423" s="77" t="n"/>
      <c r="K1423" s="77" t="n"/>
      <c r="L1423" s="74" t="n"/>
      <c r="M1423" s="74" t="n"/>
      <c r="O1423" s="78">
        <f>IF($A1423="","",YEAR($A1423)*100+MONTH($A1423))</f>
        <v/>
      </c>
      <c r="P1423" s="79">
        <f>IF(OR($F1423="",$D1423=""),"",IF($D1423="Receita",$F1423,IF($D1423="Transferência",0,-$F1423)))</f>
        <v/>
      </c>
    </row>
    <row r="1424">
      <c r="A1424" s="73" t="n"/>
      <c r="B1424" s="74" t="n"/>
      <c r="C1424" s="74" t="n"/>
      <c r="D1424" s="75">
        <f>IF($C1424="","",IFERROR(INDEX(CAT_TIPO,MATCH($C1424,CAT_NOME,0)),"Sem categoria"))</f>
        <v/>
      </c>
      <c r="E1424" s="75">
        <f>IF($C1424="","",IFERROR(INDEX(CAT_GRUPO,MATCH($C1424,CAT_NOME,0)),"Sem categoria"))</f>
        <v/>
      </c>
      <c r="F1424" s="76" t="n"/>
      <c r="G1424" s="74" t="n"/>
      <c r="H1424" s="74" t="n"/>
      <c r="I1424" s="74" t="n"/>
      <c r="J1424" s="77" t="n"/>
      <c r="K1424" s="77" t="n"/>
      <c r="L1424" s="74" t="n"/>
      <c r="M1424" s="74" t="n"/>
      <c r="O1424" s="78">
        <f>IF($A1424="","",YEAR($A1424)*100+MONTH($A1424))</f>
        <v/>
      </c>
      <c r="P1424" s="79">
        <f>IF(OR($F1424="",$D1424=""),"",IF($D1424="Receita",$F1424,IF($D1424="Transferência",0,-$F1424)))</f>
        <v/>
      </c>
    </row>
    <row r="1425">
      <c r="A1425" s="73" t="n"/>
      <c r="B1425" s="74" t="n"/>
      <c r="C1425" s="74" t="n"/>
      <c r="D1425" s="75">
        <f>IF($C1425="","",IFERROR(INDEX(CAT_TIPO,MATCH($C1425,CAT_NOME,0)),"Sem categoria"))</f>
        <v/>
      </c>
      <c r="E1425" s="75">
        <f>IF($C1425="","",IFERROR(INDEX(CAT_GRUPO,MATCH($C1425,CAT_NOME,0)),"Sem categoria"))</f>
        <v/>
      </c>
      <c r="F1425" s="76" t="n"/>
      <c r="G1425" s="74" t="n"/>
      <c r="H1425" s="74" t="n"/>
      <c r="I1425" s="74" t="n"/>
      <c r="J1425" s="77" t="n"/>
      <c r="K1425" s="77" t="n"/>
      <c r="L1425" s="74" t="n"/>
      <c r="M1425" s="74" t="n"/>
      <c r="O1425" s="78">
        <f>IF($A1425="","",YEAR($A1425)*100+MONTH($A1425))</f>
        <v/>
      </c>
      <c r="P1425" s="79">
        <f>IF(OR($F1425="",$D1425=""),"",IF($D1425="Receita",$F1425,IF($D1425="Transferência",0,-$F1425)))</f>
        <v/>
      </c>
    </row>
    <row r="1426">
      <c r="A1426" s="73" t="n"/>
      <c r="B1426" s="74" t="n"/>
      <c r="C1426" s="74" t="n"/>
      <c r="D1426" s="75">
        <f>IF($C1426="","",IFERROR(INDEX(CAT_TIPO,MATCH($C1426,CAT_NOME,0)),"Sem categoria"))</f>
        <v/>
      </c>
      <c r="E1426" s="75">
        <f>IF($C1426="","",IFERROR(INDEX(CAT_GRUPO,MATCH($C1426,CAT_NOME,0)),"Sem categoria"))</f>
        <v/>
      </c>
      <c r="F1426" s="76" t="n"/>
      <c r="G1426" s="74" t="n"/>
      <c r="H1426" s="74" t="n"/>
      <c r="I1426" s="74" t="n"/>
      <c r="J1426" s="77" t="n"/>
      <c r="K1426" s="77" t="n"/>
      <c r="L1426" s="74" t="n"/>
      <c r="M1426" s="74" t="n"/>
      <c r="O1426" s="78">
        <f>IF($A1426="","",YEAR($A1426)*100+MONTH($A1426))</f>
        <v/>
      </c>
      <c r="P1426" s="79">
        <f>IF(OR($F1426="",$D1426=""),"",IF($D1426="Receita",$F1426,IF($D1426="Transferência",0,-$F1426)))</f>
        <v/>
      </c>
    </row>
    <row r="1427">
      <c r="A1427" s="73" t="n"/>
      <c r="B1427" s="74" t="n"/>
      <c r="C1427" s="74" t="n"/>
      <c r="D1427" s="75">
        <f>IF($C1427="","",IFERROR(INDEX(CAT_TIPO,MATCH($C1427,CAT_NOME,0)),"Sem categoria"))</f>
        <v/>
      </c>
      <c r="E1427" s="75">
        <f>IF($C1427="","",IFERROR(INDEX(CAT_GRUPO,MATCH($C1427,CAT_NOME,0)),"Sem categoria"))</f>
        <v/>
      </c>
      <c r="F1427" s="76" t="n"/>
      <c r="G1427" s="74" t="n"/>
      <c r="H1427" s="74" t="n"/>
      <c r="I1427" s="74" t="n"/>
      <c r="J1427" s="77" t="n"/>
      <c r="K1427" s="77" t="n"/>
      <c r="L1427" s="74" t="n"/>
      <c r="M1427" s="74" t="n"/>
      <c r="O1427" s="78">
        <f>IF($A1427="","",YEAR($A1427)*100+MONTH($A1427))</f>
        <v/>
      </c>
      <c r="P1427" s="79">
        <f>IF(OR($F1427="",$D1427=""),"",IF($D1427="Receita",$F1427,IF($D1427="Transferência",0,-$F1427)))</f>
        <v/>
      </c>
    </row>
    <row r="1428">
      <c r="A1428" s="73" t="n"/>
      <c r="B1428" s="74" t="n"/>
      <c r="C1428" s="74" t="n"/>
      <c r="D1428" s="75">
        <f>IF($C1428="","",IFERROR(INDEX(CAT_TIPO,MATCH($C1428,CAT_NOME,0)),"Sem categoria"))</f>
        <v/>
      </c>
      <c r="E1428" s="75">
        <f>IF($C1428="","",IFERROR(INDEX(CAT_GRUPO,MATCH($C1428,CAT_NOME,0)),"Sem categoria"))</f>
        <v/>
      </c>
      <c r="F1428" s="76" t="n"/>
      <c r="G1428" s="74" t="n"/>
      <c r="H1428" s="74" t="n"/>
      <c r="I1428" s="74" t="n"/>
      <c r="J1428" s="77" t="n"/>
      <c r="K1428" s="77" t="n"/>
      <c r="L1428" s="74" t="n"/>
      <c r="M1428" s="74" t="n"/>
      <c r="O1428" s="78">
        <f>IF($A1428="","",YEAR($A1428)*100+MONTH($A1428))</f>
        <v/>
      </c>
      <c r="P1428" s="79">
        <f>IF(OR($F1428="",$D1428=""),"",IF($D1428="Receita",$F1428,IF($D1428="Transferência",0,-$F1428)))</f>
        <v/>
      </c>
    </row>
    <row r="1429">
      <c r="A1429" s="73" t="n"/>
      <c r="B1429" s="74" t="n"/>
      <c r="C1429" s="74" t="n"/>
      <c r="D1429" s="75">
        <f>IF($C1429="","",IFERROR(INDEX(CAT_TIPO,MATCH($C1429,CAT_NOME,0)),"Sem categoria"))</f>
        <v/>
      </c>
      <c r="E1429" s="75">
        <f>IF($C1429="","",IFERROR(INDEX(CAT_GRUPO,MATCH($C1429,CAT_NOME,0)),"Sem categoria"))</f>
        <v/>
      </c>
      <c r="F1429" s="76" t="n"/>
      <c r="G1429" s="74" t="n"/>
      <c r="H1429" s="74" t="n"/>
      <c r="I1429" s="74" t="n"/>
      <c r="J1429" s="77" t="n"/>
      <c r="K1429" s="77" t="n"/>
      <c r="L1429" s="74" t="n"/>
      <c r="M1429" s="74" t="n"/>
      <c r="O1429" s="78">
        <f>IF($A1429="","",YEAR($A1429)*100+MONTH($A1429))</f>
        <v/>
      </c>
      <c r="P1429" s="79">
        <f>IF(OR($F1429="",$D1429=""),"",IF($D1429="Receita",$F1429,IF($D1429="Transferência",0,-$F1429)))</f>
        <v/>
      </c>
    </row>
    <row r="1430">
      <c r="A1430" s="73" t="n"/>
      <c r="B1430" s="74" t="n"/>
      <c r="C1430" s="74" t="n"/>
      <c r="D1430" s="75">
        <f>IF($C1430="","",IFERROR(INDEX(CAT_TIPO,MATCH($C1430,CAT_NOME,0)),"Sem categoria"))</f>
        <v/>
      </c>
      <c r="E1430" s="75">
        <f>IF($C1430="","",IFERROR(INDEX(CAT_GRUPO,MATCH($C1430,CAT_NOME,0)),"Sem categoria"))</f>
        <v/>
      </c>
      <c r="F1430" s="76" t="n"/>
      <c r="G1430" s="74" t="n"/>
      <c r="H1430" s="74" t="n"/>
      <c r="I1430" s="74" t="n"/>
      <c r="J1430" s="77" t="n"/>
      <c r="K1430" s="77" t="n"/>
      <c r="L1430" s="74" t="n"/>
      <c r="M1430" s="74" t="n"/>
      <c r="O1430" s="78">
        <f>IF($A1430="","",YEAR($A1430)*100+MONTH($A1430))</f>
        <v/>
      </c>
      <c r="P1430" s="79">
        <f>IF(OR($F1430="",$D1430=""),"",IF($D1430="Receita",$F1430,IF($D1430="Transferência",0,-$F1430)))</f>
        <v/>
      </c>
    </row>
    <row r="1431">
      <c r="A1431" s="73" t="n"/>
      <c r="B1431" s="74" t="n"/>
      <c r="C1431" s="74" t="n"/>
      <c r="D1431" s="75">
        <f>IF($C1431="","",IFERROR(INDEX(CAT_TIPO,MATCH($C1431,CAT_NOME,0)),"Sem categoria"))</f>
        <v/>
      </c>
      <c r="E1431" s="75">
        <f>IF($C1431="","",IFERROR(INDEX(CAT_GRUPO,MATCH($C1431,CAT_NOME,0)),"Sem categoria"))</f>
        <v/>
      </c>
      <c r="F1431" s="76" t="n"/>
      <c r="G1431" s="74" t="n"/>
      <c r="H1431" s="74" t="n"/>
      <c r="I1431" s="74" t="n"/>
      <c r="J1431" s="77" t="n"/>
      <c r="K1431" s="77" t="n"/>
      <c r="L1431" s="74" t="n"/>
      <c r="M1431" s="74" t="n"/>
      <c r="O1431" s="78">
        <f>IF($A1431="","",YEAR($A1431)*100+MONTH($A1431))</f>
        <v/>
      </c>
      <c r="P1431" s="79">
        <f>IF(OR($F1431="",$D1431=""),"",IF($D1431="Receita",$F1431,IF($D1431="Transferência",0,-$F1431)))</f>
        <v/>
      </c>
    </row>
    <row r="1432">
      <c r="A1432" s="73" t="n"/>
      <c r="B1432" s="74" t="n"/>
      <c r="C1432" s="74" t="n"/>
      <c r="D1432" s="75">
        <f>IF($C1432="","",IFERROR(INDEX(CAT_TIPO,MATCH($C1432,CAT_NOME,0)),"Sem categoria"))</f>
        <v/>
      </c>
      <c r="E1432" s="75">
        <f>IF($C1432="","",IFERROR(INDEX(CAT_GRUPO,MATCH($C1432,CAT_NOME,0)),"Sem categoria"))</f>
        <v/>
      </c>
      <c r="F1432" s="76" t="n"/>
      <c r="G1432" s="74" t="n"/>
      <c r="H1432" s="74" t="n"/>
      <c r="I1432" s="74" t="n"/>
      <c r="J1432" s="77" t="n"/>
      <c r="K1432" s="77" t="n"/>
      <c r="L1432" s="74" t="n"/>
      <c r="M1432" s="74" t="n"/>
      <c r="O1432" s="78">
        <f>IF($A1432="","",YEAR($A1432)*100+MONTH($A1432))</f>
        <v/>
      </c>
      <c r="P1432" s="79">
        <f>IF(OR($F1432="",$D1432=""),"",IF($D1432="Receita",$F1432,IF($D1432="Transferência",0,-$F1432)))</f>
        <v/>
      </c>
    </row>
    <row r="1433">
      <c r="A1433" s="73" t="n"/>
      <c r="B1433" s="74" t="n"/>
      <c r="C1433" s="74" t="n"/>
      <c r="D1433" s="75">
        <f>IF($C1433="","",IFERROR(INDEX(CAT_TIPO,MATCH($C1433,CAT_NOME,0)),"Sem categoria"))</f>
        <v/>
      </c>
      <c r="E1433" s="75">
        <f>IF($C1433="","",IFERROR(INDEX(CAT_GRUPO,MATCH($C1433,CAT_NOME,0)),"Sem categoria"))</f>
        <v/>
      </c>
      <c r="F1433" s="76" t="n"/>
      <c r="G1433" s="74" t="n"/>
      <c r="H1433" s="74" t="n"/>
      <c r="I1433" s="74" t="n"/>
      <c r="J1433" s="77" t="n"/>
      <c r="K1433" s="77" t="n"/>
      <c r="L1433" s="74" t="n"/>
      <c r="M1433" s="74" t="n"/>
      <c r="O1433" s="78">
        <f>IF($A1433="","",YEAR($A1433)*100+MONTH($A1433))</f>
        <v/>
      </c>
      <c r="P1433" s="79">
        <f>IF(OR($F1433="",$D1433=""),"",IF($D1433="Receita",$F1433,IF($D1433="Transferência",0,-$F1433)))</f>
        <v/>
      </c>
    </row>
    <row r="1434">
      <c r="A1434" s="73" t="n"/>
      <c r="B1434" s="74" t="n"/>
      <c r="C1434" s="74" t="n"/>
      <c r="D1434" s="75">
        <f>IF($C1434="","",IFERROR(INDEX(CAT_TIPO,MATCH($C1434,CAT_NOME,0)),"Sem categoria"))</f>
        <v/>
      </c>
      <c r="E1434" s="75">
        <f>IF($C1434="","",IFERROR(INDEX(CAT_GRUPO,MATCH($C1434,CAT_NOME,0)),"Sem categoria"))</f>
        <v/>
      </c>
      <c r="F1434" s="76" t="n"/>
      <c r="G1434" s="74" t="n"/>
      <c r="H1434" s="74" t="n"/>
      <c r="I1434" s="74" t="n"/>
      <c r="J1434" s="77" t="n"/>
      <c r="K1434" s="77" t="n"/>
      <c r="L1434" s="74" t="n"/>
      <c r="M1434" s="74" t="n"/>
      <c r="O1434" s="78">
        <f>IF($A1434="","",YEAR($A1434)*100+MONTH($A1434))</f>
        <v/>
      </c>
      <c r="P1434" s="79">
        <f>IF(OR($F1434="",$D1434=""),"",IF($D1434="Receita",$F1434,IF($D1434="Transferência",0,-$F1434)))</f>
        <v/>
      </c>
    </row>
    <row r="1435">
      <c r="A1435" s="73" t="n"/>
      <c r="B1435" s="74" t="n"/>
      <c r="C1435" s="74" t="n"/>
      <c r="D1435" s="75">
        <f>IF($C1435="","",IFERROR(INDEX(CAT_TIPO,MATCH($C1435,CAT_NOME,0)),"Sem categoria"))</f>
        <v/>
      </c>
      <c r="E1435" s="75">
        <f>IF($C1435="","",IFERROR(INDEX(CAT_GRUPO,MATCH($C1435,CAT_NOME,0)),"Sem categoria"))</f>
        <v/>
      </c>
      <c r="F1435" s="76" t="n"/>
      <c r="G1435" s="74" t="n"/>
      <c r="H1435" s="74" t="n"/>
      <c r="I1435" s="74" t="n"/>
      <c r="J1435" s="77" t="n"/>
      <c r="K1435" s="77" t="n"/>
      <c r="L1435" s="74" t="n"/>
      <c r="M1435" s="74" t="n"/>
      <c r="O1435" s="78">
        <f>IF($A1435="","",YEAR($A1435)*100+MONTH($A1435))</f>
        <v/>
      </c>
      <c r="P1435" s="79">
        <f>IF(OR($F1435="",$D1435=""),"",IF($D1435="Receita",$F1435,IF($D1435="Transferência",0,-$F1435)))</f>
        <v/>
      </c>
    </row>
    <row r="1436">
      <c r="A1436" s="73" t="n"/>
      <c r="B1436" s="74" t="n"/>
      <c r="C1436" s="74" t="n"/>
      <c r="D1436" s="75">
        <f>IF($C1436="","",IFERROR(INDEX(CAT_TIPO,MATCH($C1436,CAT_NOME,0)),"Sem categoria"))</f>
        <v/>
      </c>
      <c r="E1436" s="75">
        <f>IF($C1436="","",IFERROR(INDEX(CAT_GRUPO,MATCH($C1436,CAT_NOME,0)),"Sem categoria"))</f>
        <v/>
      </c>
      <c r="F1436" s="76" t="n"/>
      <c r="G1436" s="74" t="n"/>
      <c r="H1436" s="74" t="n"/>
      <c r="I1436" s="74" t="n"/>
      <c r="J1436" s="77" t="n"/>
      <c r="K1436" s="77" t="n"/>
      <c r="L1436" s="74" t="n"/>
      <c r="M1436" s="74" t="n"/>
      <c r="O1436" s="78">
        <f>IF($A1436="","",YEAR($A1436)*100+MONTH($A1436))</f>
        <v/>
      </c>
      <c r="P1436" s="79">
        <f>IF(OR($F1436="",$D1436=""),"",IF($D1436="Receita",$F1436,IF($D1436="Transferência",0,-$F1436)))</f>
        <v/>
      </c>
    </row>
    <row r="1437">
      <c r="A1437" s="73" t="n"/>
      <c r="B1437" s="74" t="n"/>
      <c r="C1437" s="74" t="n"/>
      <c r="D1437" s="75">
        <f>IF($C1437="","",IFERROR(INDEX(CAT_TIPO,MATCH($C1437,CAT_NOME,0)),"Sem categoria"))</f>
        <v/>
      </c>
      <c r="E1437" s="75">
        <f>IF($C1437="","",IFERROR(INDEX(CAT_GRUPO,MATCH($C1437,CAT_NOME,0)),"Sem categoria"))</f>
        <v/>
      </c>
      <c r="F1437" s="76" t="n"/>
      <c r="G1437" s="74" t="n"/>
      <c r="H1437" s="74" t="n"/>
      <c r="I1437" s="74" t="n"/>
      <c r="J1437" s="77" t="n"/>
      <c r="K1437" s="77" t="n"/>
      <c r="L1437" s="74" t="n"/>
      <c r="M1437" s="74" t="n"/>
      <c r="O1437" s="78">
        <f>IF($A1437="","",YEAR($A1437)*100+MONTH($A1437))</f>
        <v/>
      </c>
      <c r="P1437" s="79">
        <f>IF(OR($F1437="",$D1437=""),"",IF($D1437="Receita",$F1437,IF($D1437="Transferência",0,-$F1437)))</f>
        <v/>
      </c>
    </row>
    <row r="1438">
      <c r="A1438" s="73" t="n"/>
      <c r="B1438" s="74" t="n"/>
      <c r="C1438" s="74" t="n"/>
      <c r="D1438" s="75">
        <f>IF($C1438="","",IFERROR(INDEX(CAT_TIPO,MATCH($C1438,CAT_NOME,0)),"Sem categoria"))</f>
        <v/>
      </c>
      <c r="E1438" s="75">
        <f>IF($C1438="","",IFERROR(INDEX(CAT_GRUPO,MATCH($C1438,CAT_NOME,0)),"Sem categoria"))</f>
        <v/>
      </c>
      <c r="F1438" s="76" t="n"/>
      <c r="G1438" s="74" t="n"/>
      <c r="H1438" s="74" t="n"/>
      <c r="I1438" s="74" t="n"/>
      <c r="J1438" s="77" t="n"/>
      <c r="K1438" s="77" t="n"/>
      <c r="L1438" s="74" t="n"/>
      <c r="M1438" s="74" t="n"/>
      <c r="O1438" s="78">
        <f>IF($A1438="","",YEAR($A1438)*100+MONTH($A1438))</f>
        <v/>
      </c>
      <c r="P1438" s="79">
        <f>IF(OR($F1438="",$D1438=""),"",IF($D1438="Receita",$F1438,IF($D1438="Transferência",0,-$F1438)))</f>
        <v/>
      </c>
    </row>
    <row r="1439">
      <c r="A1439" s="73" t="n"/>
      <c r="B1439" s="74" t="n"/>
      <c r="C1439" s="74" t="n"/>
      <c r="D1439" s="75">
        <f>IF($C1439="","",IFERROR(INDEX(CAT_TIPO,MATCH($C1439,CAT_NOME,0)),"Sem categoria"))</f>
        <v/>
      </c>
      <c r="E1439" s="75">
        <f>IF($C1439="","",IFERROR(INDEX(CAT_GRUPO,MATCH($C1439,CAT_NOME,0)),"Sem categoria"))</f>
        <v/>
      </c>
      <c r="F1439" s="76" t="n"/>
      <c r="G1439" s="74" t="n"/>
      <c r="H1439" s="74" t="n"/>
      <c r="I1439" s="74" t="n"/>
      <c r="J1439" s="77" t="n"/>
      <c r="K1439" s="77" t="n"/>
      <c r="L1439" s="74" t="n"/>
      <c r="M1439" s="74" t="n"/>
      <c r="O1439" s="78">
        <f>IF($A1439="","",YEAR($A1439)*100+MONTH($A1439))</f>
        <v/>
      </c>
      <c r="P1439" s="79">
        <f>IF(OR($F1439="",$D1439=""),"",IF($D1439="Receita",$F1439,IF($D1439="Transferência",0,-$F1439)))</f>
        <v/>
      </c>
    </row>
    <row r="1440">
      <c r="A1440" s="73" t="n"/>
      <c r="B1440" s="74" t="n"/>
      <c r="C1440" s="74" t="n"/>
      <c r="D1440" s="75">
        <f>IF($C1440="","",IFERROR(INDEX(CAT_TIPO,MATCH($C1440,CAT_NOME,0)),"Sem categoria"))</f>
        <v/>
      </c>
      <c r="E1440" s="75">
        <f>IF($C1440="","",IFERROR(INDEX(CAT_GRUPO,MATCH($C1440,CAT_NOME,0)),"Sem categoria"))</f>
        <v/>
      </c>
      <c r="F1440" s="76" t="n"/>
      <c r="G1440" s="74" t="n"/>
      <c r="H1440" s="74" t="n"/>
      <c r="I1440" s="74" t="n"/>
      <c r="J1440" s="77" t="n"/>
      <c r="K1440" s="77" t="n"/>
      <c r="L1440" s="74" t="n"/>
      <c r="M1440" s="74" t="n"/>
      <c r="O1440" s="78">
        <f>IF($A1440="","",YEAR($A1440)*100+MONTH($A1440))</f>
        <v/>
      </c>
      <c r="P1440" s="79">
        <f>IF(OR($F1440="",$D1440=""),"",IF($D1440="Receita",$F1440,IF($D1440="Transferência",0,-$F1440)))</f>
        <v/>
      </c>
    </row>
    <row r="1441">
      <c r="A1441" s="73" t="n"/>
      <c r="B1441" s="74" t="n"/>
      <c r="C1441" s="74" t="n"/>
      <c r="D1441" s="75">
        <f>IF($C1441="","",IFERROR(INDEX(CAT_TIPO,MATCH($C1441,CAT_NOME,0)),"Sem categoria"))</f>
        <v/>
      </c>
      <c r="E1441" s="75">
        <f>IF($C1441="","",IFERROR(INDEX(CAT_GRUPO,MATCH($C1441,CAT_NOME,0)),"Sem categoria"))</f>
        <v/>
      </c>
      <c r="F1441" s="76" t="n"/>
      <c r="G1441" s="74" t="n"/>
      <c r="H1441" s="74" t="n"/>
      <c r="I1441" s="74" t="n"/>
      <c r="J1441" s="77" t="n"/>
      <c r="K1441" s="77" t="n"/>
      <c r="L1441" s="74" t="n"/>
      <c r="M1441" s="74" t="n"/>
      <c r="O1441" s="78">
        <f>IF($A1441="","",YEAR($A1441)*100+MONTH($A1441))</f>
        <v/>
      </c>
      <c r="P1441" s="79">
        <f>IF(OR($F1441="",$D1441=""),"",IF($D1441="Receita",$F1441,IF($D1441="Transferência",0,-$F1441)))</f>
        <v/>
      </c>
    </row>
    <row r="1442">
      <c r="A1442" s="73" t="n"/>
      <c r="B1442" s="74" t="n"/>
      <c r="C1442" s="74" t="n"/>
      <c r="D1442" s="75">
        <f>IF($C1442="","",IFERROR(INDEX(CAT_TIPO,MATCH($C1442,CAT_NOME,0)),"Sem categoria"))</f>
        <v/>
      </c>
      <c r="E1442" s="75">
        <f>IF($C1442="","",IFERROR(INDEX(CAT_GRUPO,MATCH($C1442,CAT_NOME,0)),"Sem categoria"))</f>
        <v/>
      </c>
      <c r="F1442" s="76" t="n"/>
      <c r="G1442" s="74" t="n"/>
      <c r="H1442" s="74" t="n"/>
      <c r="I1442" s="74" t="n"/>
      <c r="J1442" s="77" t="n"/>
      <c r="K1442" s="77" t="n"/>
      <c r="L1442" s="74" t="n"/>
      <c r="M1442" s="74" t="n"/>
      <c r="O1442" s="78">
        <f>IF($A1442="","",YEAR($A1442)*100+MONTH($A1442))</f>
        <v/>
      </c>
      <c r="P1442" s="79">
        <f>IF(OR($F1442="",$D1442=""),"",IF($D1442="Receita",$F1442,IF($D1442="Transferência",0,-$F1442)))</f>
        <v/>
      </c>
    </row>
    <row r="1443">
      <c r="A1443" s="73" t="n"/>
      <c r="B1443" s="74" t="n"/>
      <c r="C1443" s="74" t="n"/>
      <c r="D1443" s="75">
        <f>IF($C1443="","",IFERROR(INDEX(CAT_TIPO,MATCH($C1443,CAT_NOME,0)),"Sem categoria"))</f>
        <v/>
      </c>
      <c r="E1443" s="75">
        <f>IF($C1443="","",IFERROR(INDEX(CAT_GRUPO,MATCH($C1443,CAT_NOME,0)),"Sem categoria"))</f>
        <v/>
      </c>
      <c r="F1443" s="76" t="n"/>
      <c r="G1443" s="74" t="n"/>
      <c r="H1443" s="74" t="n"/>
      <c r="I1443" s="74" t="n"/>
      <c r="J1443" s="77" t="n"/>
      <c r="K1443" s="77" t="n"/>
      <c r="L1443" s="74" t="n"/>
      <c r="M1443" s="74" t="n"/>
      <c r="O1443" s="78">
        <f>IF($A1443="","",YEAR($A1443)*100+MONTH($A1443))</f>
        <v/>
      </c>
      <c r="P1443" s="79">
        <f>IF(OR($F1443="",$D1443=""),"",IF($D1443="Receita",$F1443,IF($D1443="Transferência",0,-$F1443)))</f>
        <v/>
      </c>
    </row>
    <row r="1444">
      <c r="A1444" s="73" t="n"/>
      <c r="B1444" s="74" t="n"/>
      <c r="C1444" s="74" t="n"/>
      <c r="D1444" s="75">
        <f>IF($C1444="","",IFERROR(INDEX(CAT_TIPO,MATCH($C1444,CAT_NOME,0)),"Sem categoria"))</f>
        <v/>
      </c>
      <c r="E1444" s="75">
        <f>IF($C1444="","",IFERROR(INDEX(CAT_GRUPO,MATCH($C1444,CAT_NOME,0)),"Sem categoria"))</f>
        <v/>
      </c>
      <c r="F1444" s="76" t="n"/>
      <c r="G1444" s="74" t="n"/>
      <c r="H1444" s="74" t="n"/>
      <c r="I1444" s="74" t="n"/>
      <c r="J1444" s="77" t="n"/>
      <c r="K1444" s="77" t="n"/>
      <c r="L1444" s="74" t="n"/>
      <c r="M1444" s="74" t="n"/>
      <c r="O1444" s="78">
        <f>IF($A1444="","",YEAR($A1444)*100+MONTH($A1444))</f>
        <v/>
      </c>
      <c r="P1444" s="79">
        <f>IF(OR($F1444="",$D1444=""),"",IF($D1444="Receita",$F1444,IF($D1444="Transferência",0,-$F1444)))</f>
        <v/>
      </c>
    </row>
    <row r="1445">
      <c r="A1445" s="73" t="n"/>
      <c r="B1445" s="74" t="n"/>
      <c r="C1445" s="74" t="n"/>
      <c r="D1445" s="75">
        <f>IF($C1445="","",IFERROR(INDEX(CAT_TIPO,MATCH($C1445,CAT_NOME,0)),"Sem categoria"))</f>
        <v/>
      </c>
      <c r="E1445" s="75">
        <f>IF($C1445="","",IFERROR(INDEX(CAT_GRUPO,MATCH($C1445,CAT_NOME,0)),"Sem categoria"))</f>
        <v/>
      </c>
      <c r="F1445" s="76" t="n"/>
      <c r="G1445" s="74" t="n"/>
      <c r="H1445" s="74" t="n"/>
      <c r="I1445" s="74" t="n"/>
      <c r="J1445" s="77" t="n"/>
      <c r="K1445" s="77" t="n"/>
      <c r="L1445" s="74" t="n"/>
      <c r="M1445" s="74" t="n"/>
      <c r="O1445" s="78">
        <f>IF($A1445="","",YEAR($A1445)*100+MONTH($A1445))</f>
        <v/>
      </c>
      <c r="P1445" s="79">
        <f>IF(OR($F1445="",$D1445=""),"",IF($D1445="Receita",$F1445,IF($D1445="Transferência",0,-$F1445)))</f>
        <v/>
      </c>
    </row>
    <row r="1446">
      <c r="A1446" s="73" t="n"/>
      <c r="B1446" s="74" t="n"/>
      <c r="C1446" s="74" t="n"/>
      <c r="D1446" s="75">
        <f>IF($C1446="","",IFERROR(INDEX(CAT_TIPO,MATCH($C1446,CAT_NOME,0)),"Sem categoria"))</f>
        <v/>
      </c>
      <c r="E1446" s="75">
        <f>IF($C1446="","",IFERROR(INDEX(CAT_GRUPO,MATCH($C1446,CAT_NOME,0)),"Sem categoria"))</f>
        <v/>
      </c>
      <c r="F1446" s="76" t="n"/>
      <c r="G1446" s="74" t="n"/>
      <c r="H1446" s="74" t="n"/>
      <c r="I1446" s="74" t="n"/>
      <c r="J1446" s="77" t="n"/>
      <c r="K1446" s="77" t="n"/>
      <c r="L1446" s="74" t="n"/>
      <c r="M1446" s="74" t="n"/>
      <c r="O1446" s="78">
        <f>IF($A1446="","",YEAR($A1446)*100+MONTH($A1446))</f>
        <v/>
      </c>
      <c r="P1446" s="79">
        <f>IF(OR($F1446="",$D1446=""),"",IF($D1446="Receita",$F1446,IF($D1446="Transferência",0,-$F1446)))</f>
        <v/>
      </c>
    </row>
    <row r="1447">
      <c r="A1447" s="73" t="n"/>
      <c r="B1447" s="74" t="n"/>
      <c r="C1447" s="74" t="n"/>
      <c r="D1447" s="75">
        <f>IF($C1447="","",IFERROR(INDEX(CAT_TIPO,MATCH($C1447,CAT_NOME,0)),"Sem categoria"))</f>
        <v/>
      </c>
      <c r="E1447" s="75">
        <f>IF($C1447="","",IFERROR(INDEX(CAT_GRUPO,MATCH($C1447,CAT_NOME,0)),"Sem categoria"))</f>
        <v/>
      </c>
      <c r="F1447" s="76" t="n"/>
      <c r="G1447" s="74" t="n"/>
      <c r="H1447" s="74" t="n"/>
      <c r="I1447" s="74" t="n"/>
      <c r="J1447" s="77" t="n"/>
      <c r="K1447" s="77" t="n"/>
      <c r="L1447" s="74" t="n"/>
      <c r="M1447" s="74" t="n"/>
      <c r="O1447" s="78">
        <f>IF($A1447="","",YEAR($A1447)*100+MONTH($A1447))</f>
        <v/>
      </c>
      <c r="P1447" s="79">
        <f>IF(OR($F1447="",$D1447=""),"",IF($D1447="Receita",$F1447,IF($D1447="Transferência",0,-$F1447)))</f>
        <v/>
      </c>
    </row>
    <row r="1448">
      <c r="A1448" s="73" t="n"/>
      <c r="B1448" s="74" t="n"/>
      <c r="C1448" s="74" t="n"/>
      <c r="D1448" s="75">
        <f>IF($C1448="","",IFERROR(INDEX(CAT_TIPO,MATCH($C1448,CAT_NOME,0)),"Sem categoria"))</f>
        <v/>
      </c>
      <c r="E1448" s="75">
        <f>IF($C1448="","",IFERROR(INDEX(CAT_GRUPO,MATCH($C1448,CAT_NOME,0)),"Sem categoria"))</f>
        <v/>
      </c>
      <c r="F1448" s="76" t="n"/>
      <c r="G1448" s="74" t="n"/>
      <c r="H1448" s="74" t="n"/>
      <c r="I1448" s="74" t="n"/>
      <c r="J1448" s="77" t="n"/>
      <c r="K1448" s="77" t="n"/>
      <c r="L1448" s="74" t="n"/>
      <c r="M1448" s="74" t="n"/>
      <c r="O1448" s="78">
        <f>IF($A1448="","",YEAR($A1448)*100+MONTH($A1448))</f>
        <v/>
      </c>
      <c r="P1448" s="79">
        <f>IF(OR($F1448="",$D1448=""),"",IF($D1448="Receita",$F1448,IF($D1448="Transferência",0,-$F1448)))</f>
        <v/>
      </c>
    </row>
    <row r="1449">
      <c r="A1449" s="73" t="n"/>
      <c r="B1449" s="74" t="n"/>
      <c r="C1449" s="74" t="n"/>
      <c r="D1449" s="75">
        <f>IF($C1449="","",IFERROR(INDEX(CAT_TIPO,MATCH($C1449,CAT_NOME,0)),"Sem categoria"))</f>
        <v/>
      </c>
      <c r="E1449" s="75">
        <f>IF($C1449="","",IFERROR(INDEX(CAT_GRUPO,MATCH($C1449,CAT_NOME,0)),"Sem categoria"))</f>
        <v/>
      </c>
      <c r="F1449" s="76" t="n"/>
      <c r="G1449" s="74" t="n"/>
      <c r="H1449" s="74" t="n"/>
      <c r="I1449" s="74" t="n"/>
      <c r="J1449" s="77" t="n"/>
      <c r="K1449" s="77" t="n"/>
      <c r="L1449" s="74" t="n"/>
      <c r="M1449" s="74" t="n"/>
      <c r="O1449" s="78">
        <f>IF($A1449="","",YEAR($A1449)*100+MONTH($A1449))</f>
        <v/>
      </c>
      <c r="P1449" s="79">
        <f>IF(OR($F1449="",$D1449=""),"",IF($D1449="Receita",$F1449,IF($D1449="Transferência",0,-$F1449)))</f>
        <v/>
      </c>
    </row>
    <row r="1450">
      <c r="A1450" s="73" t="n"/>
      <c r="B1450" s="74" t="n"/>
      <c r="C1450" s="74" t="n"/>
      <c r="D1450" s="75">
        <f>IF($C1450="","",IFERROR(INDEX(CAT_TIPO,MATCH($C1450,CAT_NOME,0)),"Sem categoria"))</f>
        <v/>
      </c>
      <c r="E1450" s="75">
        <f>IF($C1450="","",IFERROR(INDEX(CAT_GRUPO,MATCH($C1450,CAT_NOME,0)),"Sem categoria"))</f>
        <v/>
      </c>
      <c r="F1450" s="76" t="n"/>
      <c r="G1450" s="74" t="n"/>
      <c r="H1450" s="74" t="n"/>
      <c r="I1450" s="74" t="n"/>
      <c r="J1450" s="77" t="n"/>
      <c r="K1450" s="77" t="n"/>
      <c r="L1450" s="74" t="n"/>
      <c r="M1450" s="74" t="n"/>
      <c r="O1450" s="78">
        <f>IF($A1450="","",YEAR($A1450)*100+MONTH($A1450))</f>
        <v/>
      </c>
      <c r="P1450" s="79">
        <f>IF(OR($F1450="",$D1450=""),"",IF($D1450="Receita",$F1450,IF($D1450="Transferência",0,-$F1450)))</f>
        <v/>
      </c>
    </row>
    <row r="1451">
      <c r="A1451" s="73" t="n"/>
      <c r="B1451" s="74" t="n"/>
      <c r="C1451" s="74" t="n"/>
      <c r="D1451" s="75">
        <f>IF($C1451="","",IFERROR(INDEX(CAT_TIPO,MATCH($C1451,CAT_NOME,0)),"Sem categoria"))</f>
        <v/>
      </c>
      <c r="E1451" s="75">
        <f>IF($C1451="","",IFERROR(INDEX(CAT_GRUPO,MATCH($C1451,CAT_NOME,0)),"Sem categoria"))</f>
        <v/>
      </c>
      <c r="F1451" s="76" t="n"/>
      <c r="G1451" s="74" t="n"/>
      <c r="H1451" s="74" t="n"/>
      <c r="I1451" s="74" t="n"/>
      <c r="J1451" s="77" t="n"/>
      <c r="K1451" s="77" t="n"/>
      <c r="L1451" s="74" t="n"/>
      <c r="M1451" s="74" t="n"/>
      <c r="O1451" s="78">
        <f>IF($A1451="","",YEAR($A1451)*100+MONTH($A1451))</f>
        <v/>
      </c>
      <c r="P1451" s="79">
        <f>IF(OR($F1451="",$D1451=""),"",IF($D1451="Receita",$F1451,IF($D1451="Transferência",0,-$F1451)))</f>
        <v/>
      </c>
    </row>
    <row r="1452">
      <c r="A1452" s="73" t="n"/>
      <c r="B1452" s="74" t="n"/>
      <c r="C1452" s="74" t="n"/>
      <c r="D1452" s="75">
        <f>IF($C1452="","",IFERROR(INDEX(CAT_TIPO,MATCH($C1452,CAT_NOME,0)),"Sem categoria"))</f>
        <v/>
      </c>
      <c r="E1452" s="75">
        <f>IF($C1452="","",IFERROR(INDEX(CAT_GRUPO,MATCH($C1452,CAT_NOME,0)),"Sem categoria"))</f>
        <v/>
      </c>
      <c r="F1452" s="76" t="n"/>
      <c r="G1452" s="74" t="n"/>
      <c r="H1452" s="74" t="n"/>
      <c r="I1452" s="74" t="n"/>
      <c r="J1452" s="77" t="n"/>
      <c r="K1452" s="77" t="n"/>
      <c r="L1452" s="74" t="n"/>
      <c r="M1452" s="74" t="n"/>
      <c r="O1452" s="78">
        <f>IF($A1452="","",YEAR($A1452)*100+MONTH($A1452))</f>
        <v/>
      </c>
      <c r="P1452" s="79">
        <f>IF(OR($F1452="",$D1452=""),"",IF($D1452="Receita",$F1452,IF($D1452="Transferência",0,-$F1452)))</f>
        <v/>
      </c>
    </row>
    <row r="1453">
      <c r="A1453" s="73" t="n"/>
      <c r="B1453" s="74" t="n"/>
      <c r="C1453" s="74" t="n"/>
      <c r="D1453" s="75">
        <f>IF($C1453="","",IFERROR(INDEX(CAT_TIPO,MATCH($C1453,CAT_NOME,0)),"Sem categoria"))</f>
        <v/>
      </c>
      <c r="E1453" s="75">
        <f>IF($C1453="","",IFERROR(INDEX(CAT_GRUPO,MATCH($C1453,CAT_NOME,0)),"Sem categoria"))</f>
        <v/>
      </c>
      <c r="F1453" s="76" t="n"/>
      <c r="G1453" s="74" t="n"/>
      <c r="H1453" s="74" t="n"/>
      <c r="I1453" s="74" t="n"/>
      <c r="J1453" s="77" t="n"/>
      <c r="K1453" s="77" t="n"/>
      <c r="L1453" s="74" t="n"/>
      <c r="M1453" s="74" t="n"/>
      <c r="O1453" s="78">
        <f>IF($A1453="","",YEAR($A1453)*100+MONTH($A1453))</f>
        <v/>
      </c>
      <c r="P1453" s="79">
        <f>IF(OR($F1453="",$D1453=""),"",IF($D1453="Receita",$F1453,IF($D1453="Transferência",0,-$F1453)))</f>
        <v/>
      </c>
    </row>
    <row r="1454">
      <c r="A1454" s="73" t="n"/>
      <c r="B1454" s="74" t="n"/>
      <c r="C1454" s="74" t="n"/>
      <c r="D1454" s="75">
        <f>IF($C1454="","",IFERROR(INDEX(CAT_TIPO,MATCH($C1454,CAT_NOME,0)),"Sem categoria"))</f>
        <v/>
      </c>
      <c r="E1454" s="75">
        <f>IF($C1454="","",IFERROR(INDEX(CAT_GRUPO,MATCH($C1454,CAT_NOME,0)),"Sem categoria"))</f>
        <v/>
      </c>
      <c r="F1454" s="76" t="n"/>
      <c r="G1454" s="74" t="n"/>
      <c r="H1454" s="74" t="n"/>
      <c r="I1454" s="74" t="n"/>
      <c r="J1454" s="77" t="n"/>
      <c r="K1454" s="77" t="n"/>
      <c r="L1454" s="74" t="n"/>
      <c r="M1454" s="74" t="n"/>
      <c r="O1454" s="78">
        <f>IF($A1454="","",YEAR($A1454)*100+MONTH($A1454))</f>
        <v/>
      </c>
      <c r="P1454" s="79">
        <f>IF(OR($F1454="",$D1454=""),"",IF($D1454="Receita",$F1454,IF($D1454="Transferência",0,-$F1454)))</f>
        <v/>
      </c>
    </row>
    <row r="1455">
      <c r="A1455" s="73" t="n"/>
      <c r="B1455" s="74" t="n"/>
      <c r="C1455" s="74" t="n"/>
      <c r="D1455" s="75">
        <f>IF($C1455="","",IFERROR(INDEX(CAT_TIPO,MATCH($C1455,CAT_NOME,0)),"Sem categoria"))</f>
        <v/>
      </c>
      <c r="E1455" s="75">
        <f>IF($C1455="","",IFERROR(INDEX(CAT_GRUPO,MATCH($C1455,CAT_NOME,0)),"Sem categoria"))</f>
        <v/>
      </c>
      <c r="F1455" s="76" t="n"/>
      <c r="G1455" s="74" t="n"/>
      <c r="H1455" s="74" t="n"/>
      <c r="I1455" s="74" t="n"/>
      <c r="J1455" s="77" t="n"/>
      <c r="K1455" s="77" t="n"/>
      <c r="L1455" s="74" t="n"/>
      <c r="M1455" s="74" t="n"/>
      <c r="O1455" s="78">
        <f>IF($A1455="","",YEAR($A1455)*100+MONTH($A1455))</f>
        <v/>
      </c>
      <c r="P1455" s="79">
        <f>IF(OR($F1455="",$D1455=""),"",IF($D1455="Receita",$F1455,IF($D1455="Transferência",0,-$F1455)))</f>
        <v/>
      </c>
    </row>
    <row r="1456">
      <c r="A1456" s="73" t="n"/>
      <c r="B1456" s="74" t="n"/>
      <c r="C1456" s="74" t="n"/>
      <c r="D1456" s="75">
        <f>IF($C1456="","",IFERROR(INDEX(CAT_TIPO,MATCH($C1456,CAT_NOME,0)),"Sem categoria"))</f>
        <v/>
      </c>
      <c r="E1456" s="75">
        <f>IF($C1456="","",IFERROR(INDEX(CAT_GRUPO,MATCH($C1456,CAT_NOME,0)),"Sem categoria"))</f>
        <v/>
      </c>
      <c r="F1456" s="76" t="n"/>
      <c r="G1456" s="74" t="n"/>
      <c r="H1456" s="74" t="n"/>
      <c r="I1456" s="74" t="n"/>
      <c r="J1456" s="77" t="n"/>
      <c r="K1456" s="77" t="n"/>
      <c r="L1456" s="74" t="n"/>
      <c r="M1456" s="74" t="n"/>
      <c r="O1456" s="78">
        <f>IF($A1456="","",YEAR($A1456)*100+MONTH($A1456))</f>
        <v/>
      </c>
      <c r="P1456" s="79">
        <f>IF(OR($F1456="",$D1456=""),"",IF($D1456="Receita",$F1456,IF($D1456="Transferência",0,-$F1456)))</f>
        <v/>
      </c>
    </row>
    <row r="1457">
      <c r="A1457" s="73" t="n"/>
      <c r="B1457" s="74" t="n"/>
      <c r="C1457" s="74" t="n"/>
      <c r="D1457" s="75">
        <f>IF($C1457="","",IFERROR(INDEX(CAT_TIPO,MATCH($C1457,CAT_NOME,0)),"Sem categoria"))</f>
        <v/>
      </c>
      <c r="E1457" s="75">
        <f>IF($C1457="","",IFERROR(INDEX(CAT_GRUPO,MATCH($C1457,CAT_NOME,0)),"Sem categoria"))</f>
        <v/>
      </c>
      <c r="F1457" s="76" t="n"/>
      <c r="G1457" s="74" t="n"/>
      <c r="H1457" s="74" t="n"/>
      <c r="I1457" s="74" t="n"/>
      <c r="J1457" s="77" t="n"/>
      <c r="K1457" s="77" t="n"/>
      <c r="L1457" s="74" t="n"/>
      <c r="M1457" s="74" t="n"/>
      <c r="O1457" s="78">
        <f>IF($A1457="","",YEAR($A1457)*100+MONTH($A1457))</f>
        <v/>
      </c>
      <c r="P1457" s="79">
        <f>IF(OR($F1457="",$D1457=""),"",IF($D1457="Receita",$F1457,IF($D1457="Transferência",0,-$F1457)))</f>
        <v/>
      </c>
    </row>
    <row r="1458">
      <c r="A1458" s="73" t="n"/>
      <c r="B1458" s="74" t="n"/>
      <c r="C1458" s="74" t="n"/>
      <c r="D1458" s="75">
        <f>IF($C1458="","",IFERROR(INDEX(CAT_TIPO,MATCH($C1458,CAT_NOME,0)),"Sem categoria"))</f>
        <v/>
      </c>
      <c r="E1458" s="75">
        <f>IF($C1458="","",IFERROR(INDEX(CAT_GRUPO,MATCH($C1458,CAT_NOME,0)),"Sem categoria"))</f>
        <v/>
      </c>
      <c r="F1458" s="76" t="n"/>
      <c r="G1458" s="74" t="n"/>
      <c r="H1458" s="74" t="n"/>
      <c r="I1458" s="74" t="n"/>
      <c r="J1458" s="77" t="n"/>
      <c r="K1458" s="77" t="n"/>
      <c r="L1458" s="74" t="n"/>
      <c r="M1458" s="74" t="n"/>
      <c r="O1458" s="78">
        <f>IF($A1458="","",YEAR($A1458)*100+MONTH($A1458))</f>
        <v/>
      </c>
      <c r="P1458" s="79">
        <f>IF(OR($F1458="",$D1458=""),"",IF($D1458="Receita",$F1458,IF($D1458="Transferência",0,-$F1458)))</f>
        <v/>
      </c>
    </row>
    <row r="1459">
      <c r="A1459" s="73" t="n"/>
      <c r="B1459" s="74" t="n"/>
      <c r="C1459" s="74" t="n"/>
      <c r="D1459" s="75">
        <f>IF($C1459="","",IFERROR(INDEX(CAT_TIPO,MATCH($C1459,CAT_NOME,0)),"Sem categoria"))</f>
        <v/>
      </c>
      <c r="E1459" s="75">
        <f>IF($C1459="","",IFERROR(INDEX(CAT_GRUPO,MATCH($C1459,CAT_NOME,0)),"Sem categoria"))</f>
        <v/>
      </c>
      <c r="F1459" s="76" t="n"/>
      <c r="G1459" s="74" t="n"/>
      <c r="H1459" s="74" t="n"/>
      <c r="I1459" s="74" t="n"/>
      <c r="J1459" s="77" t="n"/>
      <c r="K1459" s="77" t="n"/>
      <c r="L1459" s="74" t="n"/>
      <c r="M1459" s="74" t="n"/>
      <c r="O1459" s="78">
        <f>IF($A1459="","",YEAR($A1459)*100+MONTH($A1459))</f>
        <v/>
      </c>
      <c r="P1459" s="79">
        <f>IF(OR($F1459="",$D1459=""),"",IF($D1459="Receita",$F1459,IF($D1459="Transferência",0,-$F1459)))</f>
        <v/>
      </c>
    </row>
    <row r="1460">
      <c r="A1460" s="73" t="n"/>
      <c r="B1460" s="74" t="n"/>
      <c r="C1460" s="74" t="n"/>
      <c r="D1460" s="75">
        <f>IF($C1460="","",IFERROR(INDEX(CAT_TIPO,MATCH($C1460,CAT_NOME,0)),"Sem categoria"))</f>
        <v/>
      </c>
      <c r="E1460" s="75">
        <f>IF($C1460="","",IFERROR(INDEX(CAT_GRUPO,MATCH($C1460,CAT_NOME,0)),"Sem categoria"))</f>
        <v/>
      </c>
      <c r="F1460" s="76" t="n"/>
      <c r="G1460" s="74" t="n"/>
      <c r="H1460" s="74" t="n"/>
      <c r="I1460" s="74" t="n"/>
      <c r="J1460" s="77" t="n"/>
      <c r="K1460" s="77" t="n"/>
      <c r="L1460" s="74" t="n"/>
      <c r="M1460" s="74" t="n"/>
      <c r="O1460" s="78">
        <f>IF($A1460="","",YEAR($A1460)*100+MONTH($A1460))</f>
        <v/>
      </c>
      <c r="P1460" s="79">
        <f>IF(OR($F1460="",$D1460=""),"",IF($D1460="Receita",$F1460,IF($D1460="Transferência",0,-$F1460)))</f>
        <v/>
      </c>
    </row>
    <row r="1461">
      <c r="A1461" s="73" t="n"/>
      <c r="B1461" s="74" t="n"/>
      <c r="C1461" s="74" t="n"/>
      <c r="D1461" s="75">
        <f>IF($C1461="","",IFERROR(INDEX(CAT_TIPO,MATCH($C1461,CAT_NOME,0)),"Sem categoria"))</f>
        <v/>
      </c>
      <c r="E1461" s="75">
        <f>IF($C1461="","",IFERROR(INDEX(CAT_GRUPO,MATCH($C1461,CAT_NOME,0)),"Sem categoria"))</f>
        <v/>
      </c>
      <c r="F1461" s="76" t="n"/>
      <c r="G1461" s="74" t="n"/>
      <c r="H1461" s="74" t="n"/>
      <c r="I1461" s="74" t="n"/>
      <c r="J1461" s="77" t="n"/>
      <c r="K1461" s="77" t="n"/>
      <c r="L1461" s="74" t="n"/>
      <c r="M1461" s="74" t="n"/>
      <c r="O1461" s="78">
        <f>IF($A1461="","",YEAR($A1461)*100+MONTH($A1461))</f>
        <v/>
      </c>
      <c r="P1461" s="79">
        <f>IF(OR($F1461="",$D1461=""),"",IF($D1461="Receita",$F1461,IF($D1461="Transferência",0,-$F1461)))</f>
        <v/>
      </c>
    </row>
    <row r="1462">
      <c r="A1462" s="73" t="n"/>
      <c r="B1462" s="74" t="n"/>
      <c r="C1462" s="74" t="n"/>
      <c r="D1462" s="75">
        <f>IF($C1462="","",IFERROR(INDEX(CAT_TIPO,MATCH($C1462,CAT_NOME,0)),"Sem categoria"))</f>
        <v/>
      </c>
      <c r="E1462" s="75">
        <f>IF($C1462="","",IFERROR(INDEX(CAT_GRUPO,MATCH($C1462,CAT_NOME,0)),"Sem categoria"))</f>
        <v/>
      </c>
      <c r="F1462" s="76" t="n"/>
      <c r="G1462" s="74" t="n"/>
      <c r="H1462" s="74" t="n"/>
      <c r="I1462" s="74" t="n"/>
      <c r="J1462" s="77" t="n"/>
      <c r="K1462" s="77" t="n"/>
      <c r="L1462" s="74" t="n"/>
      <c r="M1462" s="74" t="n"/>
      <c r="O1462" s="78">
        <f>IF($A1462="","",YEAR($A1462)*100+MONTH($A1462))</f>
        <v/>
      </c>
      <c r="P1462" s="79">
        <f>IF(OR($F1462="",$D1462=""),"",IF($D1462="Receita",$F1462,IF($D1462="Transferência",0,-$F1462)))</f>
        <v/>
      </c>
    </row>
    <row r="1463">
      <c r="A1463" s="73" t="n"/>
      <c r="B1463" s="74" t="n"/>
      <c r="C1463" s="74" t="n"/>
      <c r="D1463" s="75">
        <f>IF($C1463="","",IFERROR(INDEX(CAT_TIPO,MATCH($C1463,CAT_NOME,0)),"Sem categoria"))</f>
        <v/>
      </c>
      <c r="E1463" s="75">
        <f>IF($C1463="","",IFERROR(INDEX(CAT_GRUPO,MATCH($C1463,CAT_NOME,0)),"Sem categoria"))</f>
        <v/>
      </c>
      <c r="F1463" s="76" t="n"/>
      <c r="G1463" s="74" t="n"/>
      <c r="H1463" s="74" t="n"/>
      <c r="I1463" s="74" t="n"/>
      <c r="J1463" s="77" t="n"/>
      <c r="K1463" s="77" t="n"/>
      <c r="L1463" s="74" t="n"/>
      <c r="M1463" s="74" t="n"/>
      <c r="O1463" s="78">
        <f>IF($A1463="","",YEAR($A1463)*100+MONTH($A1463))</f>
        <v/>
      </c>
      <c r="P1463" s="79">
        <f>IF(OR($F1463="",$D1463=""),"",IF($D1463="Receita",$F1463,IF($D1463="Transferência",0,-$F1463)))</f>
        <v/>
      </c>
    </row>
    <row r="1464">
      <c r="A1464" s="73" t="n"/>
      <c r="B1464" s="74" t="n"/>
      <c r="C1464" s="74" t="n"/>
      <c r="D1464" s="75">
        <f>IF($C1464="","",IFERROR(INDEX(CAT_TIPO,MATCH($C1464,CAT_NOME,0)),"Sem categoria"))</f>
        <v/>
      </c>
      <c r="E1464" s="75">
        <f>IF($C1464="","",IFERROR(INDEX(CAT_GRUPO,MATCH($C1464,CAT_NOME,0)),"Sem categoria"))</f>
        <v/>
      </c>
      <c r="F1464" s="76" t="n"/>
      <c r="G1464" s="74" t="n"/>
      <c r="H1464" s="74" t="n"/>
      <c r="I1464" s="74" t="n"/>
      <c r="J1464" s="77" t="n"/>
      <c r="K1464" s="77" t="n"/>
      <c r="L1464" s="74" t="n"/>
      <c r="M1464" s="74" t="n"/>
      <c r="O1464" s="78">
        <f>IF($A1464="","",YEAR($A1464)*100+MONTH($A1464))</f>
        <v/>
      </c>
      <c r="P1464" s="79">
        <f>IF(OR($F1464="",$D1464=""),"",IF($D1464="Receita",$F1464,IF($D1464="Transferência",0,-$F1464)))</f>
        <v/>
      </c>
    </row>
    <row r="1465">
      <c r="A1465" s="73" t="n"/>
      <c r="B1465" s="74" t="n"/>
      <c r="C1465" s="74" t="n"/>
      <c r="D1465" s="75">
        <f>IF($C1465="","",IFERROR(INDEX(CAT_TIPO,MATCH($C1465,CAT_NOME,0)),"Sem categoria"))</f>
        <v/>
      </c>
      <c r="E1465" s="75">
        <f>IF($C1465="","",IFERROR(INDEX(CAT_GRUPO,MATCH($C1465,CAT_NOME,0)),"Sem categoria"))</f>
        <v/>
      </c>
      <c r="F1465" s="76" t="n"/>
      <c r="G1465" s="74" t="n"/>
      <c r="H1465" s="74" t="n"/>
      <c r="I1465" s="74" t="n"/>
      <c r="J1465" s="77" t="n"/>
      <c r="K1465" s="77" t="n"/>
      <c r="L1465" s="74" t="n"/>
      <c r="M1465" s="74" t="n"/>
      <c r="O1465" s="78">
        <f>IF($A1465="","",YEAR($A1465)*100+MONTH($A1465))</f>
        <v/>
      </c>
      <c r="P1465" s="79">
        <f>IF(OR($F1465="",$D1465=""),"",IF($D1465="Receita",$F1465,IF($D1465="Transferência",0,-$F1465)))</f>
        <v/>
      </c>
    </row>
    <row r="1466">
      <c r="A1466" s="73" t="n"/>
      <c r="B1466" s="74" t="n"/>
      <c r="C1466" s="74" t="n"/>
      <c r="D1466" s="75">
        <f>IF($C1466="","",IFERROR(INDEX(CAT_TIPO,MATCH($C1466,CAT_NOME,0)),"Sem categoria"))</f>
        <v/>
      </c>
      <c r="E1466" s="75">
        <f>IF($C1466="","",IFERROR(INDEX(CAT_GRUPO,MATCH($C1466,CAT_NOME,0)),"Sem categoria"))</f>
        <v/>
      </c>
      <c r="F1466" s="76" t="n"/>
      <c r="G1466" s="74" t="n"/>
      <c r="H1466" s="74" t="n"/>
      <c r="I1466" s="74" t="n"/>
      <c r="J1466" s="77" t="n"/>
      <c r="K1466" s="77" t="n"/>
      <c r="L1466" s="74" t="n"/>
      <c r="M1466" s="74" t="n"/>
      <c r="O1466" s="78">
        <f>IF($A1466="","",YEAR($A1466)*100+MONTH($A1466))</f>
        <v/>
      </c>
      <c r="P1466" s="79">
        <f>IF(OR($F1466="",$D1466=""),"",IF($D1466="Receita",$F1466,IF($D1466="Transferência",0,-$F1466)))</f>
        <v/>
      </c>
    </row>
    <row r="1467">
      <c r="A1467" s="73" t="n"/>
      <c r="B1467" s="74" t="n"/>
      <c r="C1467" s="74" t="n"/>
      <c r="D1467" s="75">
        <f>IF($C1467="","",IFERROR(INDEX(CAT_TIPO,MATCH($C1467,CAT_NOME,0)),"Sem categoria"))</f>
        <v/>
      </c>
      <c r="E1467" s="75">
        <f>IF($C1467="","",IFERROR(INDEX(CAT_GRUPO,MATCH($C1467,CAT_NOME,0)),"Sem categoria"))</f>
        <v/>
      </c>
      <c r="F1467" s="76" t="n"/>
      <c r="G1467" s="74" t="n"/>
      <c r="H1467" s="74" t="n"/>
      <c r="I1467" s="74" t="n"/>
      <c r="J1467" s="77" t="n"/>
      <c r="K1467" s="77" t="n"/>
      <c r="L1467" s="74" t="n"/>
      <c r="M1467" s="74" t="n"/>
      <c r="O1467" s="78">
        <f>IF($A1467="","",YEAR($A1467)*100+MONTH($A1467))</f>
        <v/>
      </c>
      <c r="P1467" s="79">
        <f>IF(OR($F1467="",$D1467=""),"",IF($D1467="Receita",$F1467,IF($D1467="Transferência",0,-$F1467)))</f>
        <v/>
      </c>
    </row>
    <row r="1468">
      <c r="A1468" s="73" t="n"/>
      <c r="B1468" s="74" t="n"/>
      <c r="C1468" s="74" t="n"/>
      <c r="D1468" s="75">
        <f>IF($C1468="","",IFERROR(INDEX(CAT_TIPO,MATCH($C1468,CAT_NOME,0)),"Sem categoria"))</f>
        <v/>
      </c>
      <c r="E1468" s="75">
        <f>IF($C1468="","",IFERROR(INDEX(CAT_GRUPO,MATCH($C1468,CAT_NOME,0)),"Sem categoria"))</f>
        <v/>
      </c>
      <c r="F1468" s="76" t="n"/>
      <c r="G1468" s="74" t="n"/>
      <c r="H1468" s="74" t="n"/>
      <c r="I1468" s="74" t="n"/>
      <c r="J1468" s="77" t="n"/>
      <c r="K1468" s="77" t="n"/>
      <c r="L1468" s="74" t="n"/>
      <c r="M1468" s="74" t="n"/>
      <c r="O1468" s="78">
        <f>IF($A1468="","",YEAR($A1468)*100+MONTH($A1468))</f>
        <v/>
      </c>
      <c r="P1468" s="79">
        <f>IF(OR($F1468="",$D1468=""),"",IF($D1468="Receita",$F1468,IF($D1468="Transferência",0,-$F1468)))</f>
        <v/>
      </c>
    </row>
    <row r="1469">
      <c r="A1469" s="73" t="n"/>
      <c r="B1469" s="74" t="n"/>
      <c r="C1469" s="74" t="n"/>
      <c r="D1469" s="75">
        <f>IF($C1469="","",IFERROR(INDEX(CAT_TIPO,MATCH($C1469,CAT_NOME,0)),"Sem categoria"))</f>
        <v/>
      </c>
      <c r="E1469" s="75">
        <f>IF($C1469="","",IFERROR(INDEX(CAT_GRUPO,MATCH($C1469,CAT_NOME,0)),"Sem categoria"))</f>
        <v/>
      </c>
      <c r="F1469" s="76" t="n"/>
      <c r="G1469" s="74" t="n"/>
      <c r="H1469" s="74" t="n"/>
      <c r="I1469" s="74" t="n"/>
      <c r="J1469" s="77" t="n"/>
      <c r="K1469" s="77" t="n"/>
      <c r="L1469" s="74" t="n"/>
      <c r="M1469" s="74" t="n"/>
      <c r="O1469" s="78">
        <f>IF($A1469="","",YEAR($A1469)*100+MONTH($A1469))</f>
        <v/>
      </c>
      <c r="P1469" s="79">
        <f>IF(OR($F1469="",$D1469=""),"",IF($D1469="Receita",$F1469,IF($D1469="Transferência",0,-$F1469)))</f>
        <v/>
      </c>
    </row>
    <row r="1470">
      <c r="A1470" s="73" t="n"/>
      <c r="B1470" s="74" t="n"/>
      <c r="C1470" s="74" t="n"/>
      <c r="D1470" s="75">
        <f>IF($C1470="","",IFERROR(INDEX(CAT_TIPO,MATCH($C1470,CAT_NOME,0)),"Sem categoria"))</f>
        <v/>
      </c>
      <c r="E1470" s="75">
        <f>IF($C1470="","",IFERROR(INDEX(CAT_GRUPO,MATCH($C1470,CAT_NOME,0)),"Sem categoria"))</f>
        <v/>
      </c>
      <c r="F1470" s="76" t="n"/>
      <c r="G1470" s="74" t="n"/>
      <c r="H1470" s="74" t="n"/>
      <c r="I1470" s="74" t="n"/>
      <c r="J1470" s="77" t="n"/>
      <c r="K1470" s="77" t="n"/>
      <c r="L1470" s="74" t="n"/>
      <c r="M1470" s="74" t="n"/>
      <c r="O1470" s="78">
        <f>IF($A1470="","",YEAR($A1470)*100+MONTH($A1470))</f>
        <v/>
      </c>
      <c r="P1470" s="79">
        <f>IF(OR($F1470="",$D1470=""),"",IF($D1470="Receita",$F1470,IF($D1470="Transferência",0,-$F1470)))</f>
        <v/>
      </c>
    </row>
    <row r="1471">
      <c r="A1471" s="73" t="n"/>
      <c r="B1471" s="74" t="n"/>
      <c r="C1471" s="74" t="n"/>
      <c r="D1471" s="75">
        <f>IF($C1471="","",IFERROR(INDEX(CAT_TIPO,MATCH($C1471,CAT_NOME,0)),"Sem categoria"))</f>
        <v/>
      </c>
      <c r="E1471" s="75">
        <f>IF($C1471="","",IFERROR(INDEX(CAT_GRUPO,MATCH($C1471,CAT_NOME,0)),"Sem categoria"))</f>
        <v/>
      </c>
      <c r="F1471" s="76" t="n"/>
      <c r="G1471" s="74" t="n"/>
      <c r="H1471" s="74" t="n"/>
      <c r="I1471" s="74" t="n"/>
      <c r="J1471" s="77" t="n"/>
      <c r="K1471" s="77" t="n"/>
      <c r="L1471" s="74" t="n"/>
      <c r="M1471" s="74" t="n"/>
      <c r="O1471" s="78">
        <f>IF($A1471="","",YEAR($A1471)*100+MONTH($A1471))</f>
        <v/>
      </c>
      <c r="P1471" s="79">
        <f>IF(OR($F1471="",$D1471=""),"",IF($D1471="Receita",$F1471,IF($D1471="Transferência",0,-$F1471)))</f>
        <v/>
      </c>
    </row>
    <row r="1472">
      <c r="A1472" s="73" t="n"/>
      <c r="B1472" s="74" t="n"/>
      <c r="C1472" s="74" t="n"/>
      <c r="D1472" s="75">
        <f>IF($C1472="","",IFERROR(INDEX(CAT_TIPO,MATCH($C1472,CAT_NOME,0)),"Sem categoria"))</f>
        <v/>
      </c>
      <c r="E1472" s="75">
        <f>IF($C1472="","",IFERROR(INDEX(CAT_GRUPO,MATCH($C1472,CAT_NOME,0)),"Sem categoria"))</f>
        <v/>
      </c>
      <c r="F1472" s="76" t="n"/>
      <c r="G1472" s="74" t="n"/>
      <c r="H1472" s="74" t="n"/>
      <c r="I1472" s="74" t="n"/>
      <c r="J1472" s="77" t="n"/>
      <c r="K1472" s="77" t="n"/>
      <c r="L1472" s="74" t="n"/>
      <c r="M1472" s="74" t="n"/>
      <c r="O1472" s="78">
        <f>IF($A1472="","",YEAR($A1472)*100+MONTH($A1472))</f>
        <v/>
      </c>
      <c r="P1472" s="79">
        <f>IF(OR($F1472="",$D1472=""),"",IF($D1472="Receita",$F1472,IF($D1472="Transferência",0,-$F1472)))</f>
        <v/>
      </c>
    </row>
    <row r="1473">
      <c r="A1473" s="73" t="n"/>
      <c r="B1473" s="74" t="n"/>
      <c r="C1473" s="74" t="n"/>
      <c r="D1473" s="75">
        <f>IF($C1473="","",IFERROR(INDEX(CAT_TIPO,MATCH($C1473,CAT_NOME,0)),"Sem categoria"))</f>
        <v/>
      </c>
      <c r="E1473" s="75">
        <f>IF($C1473="","",IFERROR(INDEX(CAT_GRUPO,MATCH($C1473,CAT_NOME,0)),"Sem categoria"))</f>
        <v/>
      </c>
      <c r="F1473" s="76" t="n"/>
      <c r="G1473" s="74" t="n"/>
      <c r="H1473" s="74" t="n"/>
      <c r="I1473" s="74" t="n"/>
      <c r="J1473" s="77" t="n"/>
      <c r="K1473" s="77" t="n"/>
      <c r="L1473" s="74" t="n"/>
      <c r="M1473" s="74" t="n"/>
      <c r="O1473" s="78">
        <f>IF($A1473="","",YEAR($A1473)*100+MONTH($A1473))</f>
        <v/>
      </c>
      <c r="P1473" s="79">
        <f>IF(OR($F1473="",$D1473=""),"",IF($D1473="Receita",$F1473,IF($D1473="Transferência",0,-$F1473)))</f>
        <v/>
      </c>
    </row>
    <row r="1474">
      <c r="A1474" s="73" t="n"/>
      <c r="B1474" s="74" t="n"/>
      <c r="C1474" s="74" t="n"/>
      <c r="D1474" s="75">
        <f>IF($C1474="","",IFERROR(INDEX(CAT_TIPO,MATCH($C1474,CAT_NOME,0)),"Sem categoria"))</f>
        <v/>
      </c>
      <c r="E1474" s="75">
        <f>IF($C1474="","",IFERROR(INDEX(CAT_GRUPO,MATCH($C1474,CAT_NOME,0)),"Sem categoria"))</f>
        <v/>
      </c>
      <c r="F1474" s="76" t="n"/>
      <c r="G1474" s="74" t="n"/>
      <c r="H1474" s="74" t="n"/>
      <c r="I1474" s="74" t="n"/>
      <c r="J1474" s="77" t="n"/>
      <c r="K1474" s="77" t="n"/>
      <c r="L1474" s="74" t="n"/>
      <c r="M1474" s="74" t="n"/>
      <c r="O1474" s="78">
        <f>IF($A1474="","",YEAR($A1474)*100+MONTH($A1474))</f>
        <v/>
      </c>
      <c r="P1474" s="79">
        <f>IF(OR($F1474="",$D1474=""),"",IF($D1474="Receita",$F1474,IF($D1474="Transferência",0,-$F1474)))</f>
        <v/>
      </c>
    </row>
    <row r="1475">
      <c r="A1475" s="73" t="n"/>
      <c r="B1475" s="74" t="n"/>
      <c r="C1475" s="74" t="n"/>
      <c r="D1475" s="75">
        <f>IF($C1475="","",IFERROR(INDEX(CAT_TIPO,MATCH($C1475,CAT_NOME,0)),"Sem categoria"))</f>
        <v/>
      </c>
      <c r="E1475" s="75">
        <f>IF($C1475="","",IFERROR(INDEX(CAT_GRUPO,MATCH($C1475,CAT_NOME,0)),"Sem categoria"))</f>
        <v/>
      </c>
      <c r="F1475" s="76" t="n"/>
      <c r="G1475" s="74" t="n"/>
      <c r="H1475" s="74" t="n"/>
      <c r="I1475" s="74" t="n"/>
      <c r="J1475" s="77" t="n"/>
      <c r="K1475" s="77" t="n"/>
      <c r="L1475" s="74" t="n"/>
      <c r="M1475" s="74" t="n"/>
      <c r="O1475" s="78">
        <f>IF($A1475="","",YEAR($A1475)*100+MONTH($A1475))</f>
        <v/>
      </c>
      <c r="P1475" s="79">
        <f>IF(OR($F1475="",$D1475=""),"",IF($D1475="Receita",$F1475,IF($D1475="Transferência",0,-$F1475)))</f>
        <v/>
      </c>
    </row>
    <row r="1476">
      <c r="A1476" s="73" t="n"/>
      <c r="B1476" s="74" t="n"/>
      <c r="C1476" s="74" t="n"/>
      <c r="D1476" s="75">
        <f>IF($C1476="","",IFERROR(INDEX(CAT_TIPO,MATCH($C1476,CAT_NOME,0)),"Sem categoria"))</f>
        <v/>
      </c>
      <c r="E1476" s="75">
        <f>IF($C1476="","",IFERROR(INDEX(CAT_GRUPO,MATCH($C1476,CAT_NOME,0)),"Sem categoria"))</f>
        <v/>
      </c>
      <c r="F1476" s="76" t="n"/>
      <c r="G1476" s="74" t="n"/>
      <c r="H1476" s="74" t="n"/>
      <c r="I1476" s="74" t="n"/>
      <c r="J1476" s="77" t="n"/>
      <c r="K1476" s="77" t="n"/>
      <c r="L1476" s="74" t="n"/>
      <c r="M1476" s="74" t="n"/>
      <c r="O1476" s="78">
        <f>IF($A1476="","",YEAR($A1476)*100+MONTH($A1476))</f>
        <v/>
      </c>
      <c r="P1476" s="79">
        <f>IF(OR($F1476="",$D1476=""),"",IF($D1476="Receita",$F1476,IF($D1476="Transferência",0,-$F1476)))</f>
        <v/>
      </c>
    </row>
    <row r="1477">
      <c r="A1477" s="73" t="n"/>
      <c r="B1477" s="74" t="n"/>
      <c r="C1477" s="74" t="n"/>
      <c r="D1477" s="75">
        <f>IF($C1477="","",IFERROR(INDEX(CAT_TIPO,MATCH($C1477,CAT_NOME,0)),"Sem categoria"))</f>
        <v/>
      </c>
      <c r="E1477" s="75">
        <f>IF($C1477="","",IFERROR(INDEX(CAT_GRUPO,MATCH($C1477,CAT_NOME,0)),"Sem categoria"))</f>
        <v/>
      </c>
      <c r="F1477" s="76" t="n"/>
      <c r="G1477" s="74" t="n"/>
      <c r="H1477" s="74" t="n"/>
      <c r="I1477" s="74" t="n"/>
      <c r="J1477" s="77" t="n"/>
      <c r="K1477" s="77" t="n"/>
      <c r="L1477" s="74" t="n"/>
      <c r="M1477" s="74" t="n"/>
      <c r="O1477" s="78">
        <f>IF($A1477="","",YEAR($A1477)*100+MONTH($A1477))</f>
        <v/>
      </c>
      <c r="P1477" s="79">
        <f>IF(OR($F1477="",$D1477=""),"",IF($D1477="Receita",$F1477,IF($D1477="Transferência",0,-$F1477)))</f>
        <v/>
      </c>
    </row>
    <row r="1478">
      <c r="A1478" s="73" t="n"/>
      <c r="B1478" s="74" t="n"/>
      <c r="C1478" s="74" t="n"/>
      <c r="D1478" s="75">
        <f>IF($C1478="","",IFERROR(INDEX(CAT_TIPO,MATCH($C1478,CAT_NOME,0)),"Sem categoria"))</f>
        <v/>
      </c>
      <c r="E1478" s="75">
        <f>IF($C1478="","",IFERROR(INDEX(CAT_GRUPO,MATCH($C1478,CAT_NOME,0)),"Sem categoria"))</f>
        <v/>
      </c>
      <c r="F1478" s="76" t="n"/>
      <c r="G1478" s="74" t="n"/>
      <c r="H1478" s="74" t="n"/>
      <c r="I1478" s="74" t="n"/>
      <c r="J1478" s="77" t="n"/>
      <c r="K1478" s="77" t="n"/>
      <c r="L1478" s="74" t="n"/>
      <c r="M1478" s="74" t="n"/>
      <c r="O1478" s="78">
        <f>IF($A1478="","",YEAR($A1478)*100+MONTH($A1478))</f>
        <v/>
      </c>
      <c r="P1478" s="79">
        <f>IF(OR($F1478="",$D1478=""),"",IF($D1478="Receita",$F1478,IF($D1478="Transferência",0,-$F1478)))</f>
        <v/>
      </c>
    </row>
    <row r="1479">
      <c r="A1479" s="73" t="n"/>
      <c r="B1479" s="74" t="n"/>
      <c r="C1479" s="74" t="n"/>
      <c r="D1479" s="75">
        <f>IF($C1479="","",IFERROR(INDEX(CAT_TIPO,MATCH($C1479,CAT_NOME,0)),"Sem categoria"))</f>
        <v/>
      </c>
      <c r="E1479" s="75">
        <f>IF($C1479="","",IFERROR(INDEX(CAT_GRUPO,MATCH($C1479,CAT_NOME,0)),"Sem categoria"))</f>
        <v/>
      </c>
      <c r="F1479" s="76" t="n"/>
      <c r="G1479" s="74" t="n"/>
      <c r="H1479" s="74" t="n"/>
      <c r="I1479" s="74" t="n"/>
      <c r="J1479" s="77" t="n"/>
      <c r="K1479" s="77" t="n"/>
      <c r="L1479" s="74" t="n"/>
      <c r="M1479" s="74" t="n"/>
      <c r="O1479" s="78">
        <f>IF($A1479="","",YEAR($A1479)*100+MONTH($A1479))</f>
        <v/>
      </c>
      <c r="P1479" s="79">
        <f>IF(OR($F1479="",$D1479=""),"",IF($D1479="Receita",$F1479,IF($D1479="Transferência",0,-$F1479)))</f>
        <v/>
      </c>
    </row>
    <row r="1480">
      <c r="A1480" s="73" t="n"/>
      <c r="B1480" s="74" t="n"/>
      <c r="C1480" s="74" t="n"/>
      <c r="D1480" s="75">
        <f>IF($C1480="","",IFERROR(INDEX(CAT_TIPO,MATCH($C1480,CAT_NOME,0)),"Sem categoria"))</f>
        <v/>
      </c>
      <c r="E1480" s="75">
        <f>IF($C1480="","",IFERROR(INDEX(CAT_GRUPO,MATCH($C1480,CAT_NOME,0)),"Sem categoria"))</f>
        <v/>
      </c>
      <c r="F1480" s="76" t="n"/>
      <c r="G1480" s="74" t="n"/>
      <c r="H1480" s="74" t="n"/>
      <c r="I1480" s="74" t="n"/>
      <c r="J1480" s="77" t="n"/>
      <c r="K1480" s="77" t="n"/>
      <c r="L1480" s="74" t="n"/>
      <c r="M1480" s="74" t="n"/>
      <c r="O1480" s="78">
        <f>IF($A1480="","",YEAR($A1480)*100+MONTH($A1480))</f>
        <v/>
      </c>
      <c r="P1480" s="79">
        <f>IF(OR($F1480="",$D1480=""),"",IF($D1480="Receita",$F1480,IF($D1480="Transferência",0,-$F1480)))</f>
        <v/>
      </c>
    </row>
    <row r="1481">
      <c r="A1481" s="73" t="n"/>
      <c r="B1481" s="74" t="n"/>
      <c r="C1481" s="74" t="n"/>
      <c r="D1481" s="75">
        <f>IF($C1481="","",IFERROR(INDEX(CAT_TIPO,MATCH($C1481,CAT_NOME,0)),"Sem categoria"))</f>
        <v/>
      </c>
      <c r="E1481" s="75">
        <f>IF($C1481="","",IFERROR(INDEX(CAT_GRUPO,MATCH($C1481,CAT_NOME,0)),"Sem categoria"))</f>
        <v/>
      </c>
      <c r="F1481" s="76" t="n"/>
      <c r="G1481" s="74" t="n"/>
      <c r="H1481" s="74" t="n"/>
      <c r="I1481" s="74" t="n"/>
      <c r="J1481" s="77" t="n"/>
      <c r="K1481" s="77" t="n"/>
      <c r="L1481" s="74" t="n"/>
      <c r="M1481" s="74" t="n"/>
      <c r="O1481" s="78">
        <f>IF($A1481="","",YEAR($A1481)*100+MONTH($A1481))</f>
        <v/>
      </c>
      <c r="P1481" s="79">
        <f>IF(OR($F1481="",$D1481=""),"",IF($D1481="Receita",$F1481,IF($D1481="Transferência",0,-$F1481)))</f>
        <v/>
      </c>
    </row>
    <row r="1482">
      <c r="A1482" s="73" t="n"/>
      <c r="B1482" s="74" t="n"/>
      <c r="C1482" s="74" t="n"/>
      <c r="D1482" s="75">
        <f>IF($C1482="","",IFERROR(INDEX(CAT_TIPO,MATCH($C1482,CAT_NOME,0)),"Sem categoria"))</f>
        <v/>
      </c>
      <c r="E1482" s="75">
        <f>IF($C1482="","",IFERROR(INDEX(CAT_GRUPO,MATCH($C1482,CAT_NOME,0)),"Sem categoria"))</f>
        <v/>
      </c>
      <c r="F1482" s="76" t="n"/>
      <c r="G1482" s="74" t="n"/>
      <c r="H1482" s="74" t="n"/>
      <c r="I1482" s="74" t="n"/>
      <c r="J1482" s="77" t="n"/>
      <c r="K1482" s="77" t="n"/>
      <c r="L1482" s="74" t="n"/>
      <c r="M1482" s="74" t="n"/>
      <c r="O1482" s="78">
        <f>IF($A1482="","",YEAR($A1482)*100+MONTH($A1482))</f>
        <v/>
      </c>
      <c r="P1482" s="79">
        <f>IF(OR($F1482="",$D1482=""),"",IF($D1482="Receita",$F1482,IF($D1482="Transferência",0,-$F1482)))</f>
        <v/>
      </c>
    </row>
    <row r="1483">
      <c r="A1483" s="73" t="n"/>
      <c r="B1483" s="74" t="n"/>
      <c r="C1483" s="74" t="n"/>
      <c r="D1483" s="75">
        <f>IF($C1483="","",IFERROR(INDEX(CAT_TIPO,MATCH($C1483,CAT_NOME,0)),"Sem categoria"))</f>
        <v/>
      </c>
      <c r="E1483" s="75">
        <f>IF($C1483="","",IFERROR(INDEX(CAT_GRUPO,MATCH($C1483,CAT_NOME,0)),"Sem categoria"))</f>
        <v/>
      </c>
      <c r="F1483" s="76" t="n"/>
      <c r="G1483" s="74" t="n"/>
      <c r="H1483" s="74" t="n"/>
      <c r="I1483" s="74" t="n"/>
      <c r="J1483" s="77" t="n"/>
      <c r="K1483" s="77" t="n"/>
      <c r="L1483" s="74" t="n"/>
      <c r="M1483" s="74" t="n"/>
      <c r="O1483" s="78">
        <f>IF($A1483="","",YEAR($A1483)*100+MONTH($A1483))</f>
        <v/>
      </c>
      <c r="P1483" s="79">
        <f>IF(OR($F1483="",$D1483=""),"",IF($D1483="Receita",$F1483,IF($D1483="Transferência",0,-$F1483)))</f>
        <v/>
      </c>
    </row>
    <row r="1484">
      <c r="A1484" s="73" t="n"/>
      <c r="B1484" s="74" t="n"/>
      <c r="C1484" s="74" t="n"/>
      <c r="D1484" s="75">
        <f>IF($C1484="","",IFERROR(INDEX(CAT_TIPO,MATCH($C1484,CAT_NOME,0)),"Sem categoria"))</f>
        <v/>
      </c>
      <c r="E1484" s="75">
        <f>IF($C1484="","",IFERROR(INDEX(CAT_GRUPO,MATCH($C1484,CAT_NOME,0)),"Sem categoria"))</f>
        <v/>
      </c>
      <c r="F1484" s="76" t="n"/>
      <c r="G1484" s="74" t="n"/>
      <c r="H1484" s="74" t="n"/>
      <c r="I1484" s="74" t="n"/>
      <c r="J1484" s="77" t="n"/>
      <c r="K1484" s="77" t="n"/>
      <c r="L1484" s="74" t="n"/>
      <c r="M1484" s="74" t="n"/>
      <c r="O1484" s="78">
        <f>IF($A1484="","",YEAR($A1484)*100+MONTH($A1484))</f>
        <v/>
      </c>
      <c r="P1484" s="79">
        <f>IF(OR($F1484="",$D1484=""),"",IF($D1484="Receita",$F1484,IF($D1484="Transferência",0,-$F1484)))</f>
        <v/>
      </c>
    </row>
    <row r="1485">
      <c r="A1485" s="73" t="n"/>
      <c r="B1485" s="74" t="n"/>
      <c r="C1485" s="74" t="n"/>
      <c r="D1485" s="75">
        <f>IF($C1485="","",IFERROR(INDEX(CAT_TIPO,MATCH($C1485,CAT_NOME,0)),"Sem categoria"))</f>
        <v/>
      </c>
      <c r="E1485" s="75">
        <f>IF($C1485="","",IFERROR(INDEX(CAT_GRUPO,MATCH($C1485,CAT_NOME,0)),"Sem categoria"))</f>
        <v/>
      </c>
      <c r="F1485" s="76" t="n"/>
      <c r="G1485" s="74" t="n"/>
      <c r="H1485" s="74" t="n"/>
      <c r="I1485" s="74" t="n"/>
      <c r="J1485" s="77" t="n"/>
      <c r="K1485" s="77" t="n"/>
      <c r="L1485" s="74" t="n"/>
      <c r="M1485" s="74" t="n"/>
      <c r="O1485" s="78">
        <f>IF($A1485="","",YEAR($A1485)*100+MONTH($A1485))</f>
        <v/>
      </c>
      <c r="P1485" s="79">
        <f>IF(OR($F1485="",$D1485=""),"",IF($D1485="Receita",$F1485,IF($D1485="Transferência",0,-$F1485)))</f>
        <v/>
      </c>
    </row>
    <row r="1486">
      <c r="A1486" s="73" t="n"/>
      <c r="B1486" s="74" t="n"/>
      <c r="C1486" s="74" t="n"/>
      <c r="D1486" s="75">
        <f>IF($C1486="","",IFERROR(INDEX(CAT_TIPO,MATCH($C1486,CAT_NOME,0)),"Sem categoria"))</f>
        <v/>
      </c>
      <c r="E1486" s="75">
        <f>IF($C1486="","",IFERROR(INDEX(CAT_GRUPO,MATCH($C1486,CAT_NOME,0)),"Sem categoria"))</f>
        <v/>
      </c>
      <c r="F1486" s="76" t="n"/>
      <c r="G1486" s="74" t="n"/>
      <c r="H1486" s="74" t="n"/>
      <c r="I1486" s="74" t="n"/>
      <c r="J1486" s="77" t="n"/>
      <c r="K1486" s="77" t="n"/>
      <c r="L1486" s="74" t="n"/>
      <c r="M1486" s="74" t="n"/>
      <c r="O1486" s="78">
        <f>IF($A1486="","",YEAR($A1486)*100+MONTH($A1486))</f>
        <v/>
      </c>
      <c r="P1486" s="79">
        <f>IF(OR($F1486="",$D1486=""),"",IF($D1486="Receita",$F1486,IF($D1486="Transferência",0,-$F1486)))</f>
        <v/>
      </c>
    </row>
    <row r="1487">
      <c r="A1487" s="73" t="n"/>
      <c r="B1487" s="74" t="n"/>
      <c r="C1487" s="74" t="n"/>
      <c r="D1487" s="75">
        <f>IF($C1487="","",IFERROR(INDEX(CAT_TIPO,MATCH($C1487,CAT_NOME,0)),"Sem categoria"))</f>
        <v/>
      </c>
      <c r="E1487" s="75">
        <f>IF($C1487="","",IFERROR(INDEX(CAT_GRUPO,MATCH($C1487,CAT_NOME,0)),"Sem categoria"))</f>
        <v/>
      </c>
      <c r="F1487" s="76" t="n"/>
      <c r="G1487" s="74" t="n"/>
      <c r="H1487" s="74" t="n"/>
      <c r="I1487" s="74" t="n"/>
      <c r="J1487" s="77" t="n"/>
      <c r="K1487" s="77" t="n"/>
      <c r="L1487" s="74" t="n"/>
      <c r="M1487" s="74" t="n"/>
      <c r="O1487" s="78">
        <f>IF($A1487="","",YEAR($A1487)*100+MONTH($A1487))</f>
        <v/>
      </c>
      <c r="P1487" s="79">
        <f>IF(OR($F1487="",$D1487=""),"",IF($D1487="Receita",$F1487,IF($D1487="Transferência",0,-$F1487)))</f>
        <v/>
      </c>
    </row>
    <row r="1488">
      <c r="A1488" s="73" t="n"/>
      <c r="B1488" s="74" t="n"/>
      <c r="C1488" s="74" t="n"/>
      <c r="D1488" s="75">
        <f>IF($C1488="","",IFERROR(INDEX(CAT_TIPO,MATCH($C1488,CAT_NOME,0)),"Sem categoria"))</f>
        <v/>
      </c>
      <c r="E1488" s="75">
        <f>IF($C1488="","",IFERROR(INDEX(CAT_GRUPO,MATCH($C1488,CAT_NOME,0)),"Sem categoria"))</f>
        <v/>
      </c>
      <c r="F1488" s="76" t="n"/>
      <c r="G1488" s="74" t="n"/>
      <c r="H1488" s="74" t="n"/>
      <c r="I1488" s="74" t="n"/>
      <c r="J1488" s="77" t="n"/>
      <c r="K1488" s="77" t="n"/>
      <c r="L1488" s="74" t="n"/>
      <c r="M1488" s="74" t="n"/>
      <c r="O1488" s="78">
        <f>IF($A1488="","",YEAR($A1488)*100+MONTH($A1488))</f>
        <v/>
      </c>
      <c r="P1488" s="79">
        <f>IF(OR($F1488="",$D1488=""),"",IF($D1488="Receita",$F1488,IF($D1488="Transferência",0,-$F1488)))</f>
        <v/>
      </c>
    </row>
    <row r="1489">
      <c r="A1489" s="73" t="n"/>
      <c r="B1489" s="74" t="n"/>
      <c r="C1489" s="74" t="n"/>
      <c r="D1489" s="75">
        <f>IF($C1489="","",IFERROR(INDEX(CAT_TIPO,MATCH($C1489,CAT_NOME,0)),"Sem categoria"))</f>
        <v/>
      </c>
      <c r="E1489" s="75">
        <f>IF($C1489="","",IFERROR(INDEX(CAT_GRUPO,MATCH($C1489,CAT_NOME,0)),"Sem categoria"))</f>
        <v/>
      </c>
      <c r="F1489" s="76" t="n"/>
      <c r="G1489" s="74" t="n"/>
      <c r="H1489" s="74" t="n"/>
      <c r="I1489" s="74" t="n"/>
      <c r="J1489" s="77" t="n"/>
      <c r="K1489" s="77" t="n"/>
      <c r="L1489" s="74" t="n"/>
      <c r="M1489" s="74" t="n"/>
      <c r="O1489" s="78">
        <f>IF($A1489="","",YEAR($A1489)*100+MONTH($A1489))</f>
        <v/>
      </c>
      <c r="P1489" s="79">
        <f>IF(OR($F1489="",$D1489=""),"",IF($D1489="Receita",$F1489,IF($D1489="Transferência",0,-$F1489)))</f>
        <v/>
      </c>
    </row>
    <row r="1490">
      <c r="A1490" s="73" t="n"/>
      <c r="B1490" s="74" t="n"/>
      <c r="C1490" s="74" t="n"/>
      <c r="D1490" s="75">
        <f>IF($C1490="","",IFERROR(INDEX(CAT_TIPO,MATCH($C1490,CAT_NOME,0)),"Sem categoria"))</f>
        <v/>
      </c>
      <c r="E1490" s="75">
        <f>IF($C1490="","",IFERROR(INDEX(CAT_GRUPO,MATCH($C1490,CAT_NOME,0)),"Sem categoria"))</f>
        <v/>
      </c>
      <c r="F1490" s="76" t="n"/>
      <c r="G1490" s="74" t="n"/>
      <c r="H1490" s="74" t="n"/>
      <c r="I1490" s="74" t="n"/>
      <c r="J1490" s="77" t="n"/>
      <c r="K1490" s="77" t="n"/>
      <c r="L1490" s="74" t="n"/>
      <c r="M1490" s="74" t="n"/>
      <c r="O1490" s="78">
        <f>IF($A1490="","",YEAR($A1490)*100+MONTH($A1490))</f>
        <v/>
      </c>
      <c r="P1490" s="79">
        <f>IF(OR($F1490="",$D1490=""),"",IF($D1490="Receita",$F1490,IF($D1490="Transferência",0,-$F1490)))</f>
        <v/>
      </c>
    </row>
    <row r="1491">
      <c r="A1491" s="73" t="n"/>
      <c r="B1491" s="74" t="n"/>
      <c r="C1491" s="74" t="n"/>
      <c r="D1491" s="75">
        <f>IF($C1491="","",IFERROR(INDEX(CAT_TIPO,MATCH($C1491,CAT_NOME,0)),"Sem categoria"))</f>
        <v/>
      </c>
      <c r="E1491" s="75">
        <f>IF($C1491="","",IFERROR(INDEX(CAT_GRUPO,MATCH($C1491,CAT_NOME,0)),"Sem categoria"))</f>
        <v/>
      </c>
      <c r="F1491" s="76" t="n"/>
      <c r="G1491" s="74" t="n"/>
      <c r="H1491" s="74" t="n"/>
      <c r="I1491" s="74" t="n"/>
      <c r="J1491" s="77" t="n"/>
      <c r="K1491" s="77" t="n"/>
      <c r="L1491" s="74" t="n"/>
      <c r="M1491" s="74" t="n"/>
      <c r="O1491" s="78">
        <f>IF($A1491="","",YEAR($A1491)*100+MONTH($A1491))</f>
        <v/>
      </c>
      <c r="P1491" s="79">
        <f>IF(OR($F1491="",$D1491=""),"",IF($D1491="Receita",$F1491,IF($D1491="Transferência",0,-$F1491)))</f>
        <v/>
      </c>
    </row>
    <row r="1492">
      <c r="A1492" s="73" t="n"/>
      <c r="B1492" s="74" t="n"/>
      <c r="C1492" s="74" t="n"/>
      <c r="D1492" s="75">
        <f>IF($C1492="","",IFERROR(INDEX(CAT_TIPO,MATCH($C1492,CAT_NOME,0)),"Sem categoria"))</f>
        <v/>
      </c>
      <c r="E1492" s="75">
        <f>IF($C1492="","",IFERROR(INDEX(CAT_GRUPO,MATCH($C1492,CAT_NOME,0)),"Sem categoria"))</f>
        <v/>
      </c>
      <c r="F1492" s="76" t="n"/>
      <c r="G1492" s="74" t="n"/>
      <c r="H1492" s="74" t="n"/>
      <c r="I1492" s="74" t="n"/>
      <c r="J1492" s="77" t="n"/>
      <c r="K1492" s="77" t="n"/>
      <c r="L1492" s="74" t="n"/>
      <c r="M1492" s="74" t="n"/>
      <c r="O1492" s="78">
        <f>IF($A1492="","",YEAR($A1492)*100+MONTH($A1492))</f>
        <v/>
      </c>
      <c r="P1492" s="79">
        <f>IF(OR($F1492="",$D1492=""),"",IF($D1492="Receita",$F1492,IF($D1492="Transferência",0,-$F1492)))</f>
        <v/>
      </c>
    </row>
    <row r="1493">
      <c r="A1493" s="73" t="n"/>
      <c r="B1493" s="74" t="n"/>
      <c r="C1493" s="74" t="n"/>
      <c r="D1493" s="75">
        <f>IF($C1493="","",IFERROR(INDEX(CAT_TIPO,MATCH($C1493,CAT_NOME,0)),"Sem categoria"))</f>
        <v/>
      </c>
      <c r="E1493" s="75">
        <f>IF($C1493="","",IFERROR(INDEX(CAT_GRUPO,MATCH($C1493,CAT_NOME,0)),"Sem categoria"))</f>
        <v/>
      </c>
      <c r="F1493" s="76" t="n"/>
      <c r="G1493" s="74" t="n"/>
      <c r="H1493" s="74" t="n"/>
      <c r="I1493" s="74" t="n"/>
      <c r="J1493" s="77" t="n"/>
      <c r="K1493" s="77" t="n"/>
      <c r="L1493" s="74" t="n"/>
      <c r="M1493" s="74" t="n"/>
      <c r="O1493" s="78">
        <f>IF($A1493="","",YEAR($A1493)*100+MONTH($A1493))</f>
        <v/>
      </c>
      <c r="P1493" s="79">
        <f>IF(OR($F1493="",$D1493=""),"",IF($D1493="Receita",$F1493,IF($D1493="Transferência",0,-$F1493)))</f>
        <v/>
      </c>
    </row>
    <row r="1494">
      <c r="A1494" s="73" t="n"/>
      <c r="B1494" s="74" t="n"/>
      <c r="C1494" s="74" t="n"/>
      <c r="D1494" s="75">
        <f>IF($C1494="","",IFERROR(INDEX(CAT_TIPO,MATCH($C1494,CAT_NOME,0)),"Sem categoria"))</f>
        <v/>
      </c>
      <c r="E1494" s="75">
        <f>IF($C1494="","",IFERROR(INDEX(CAT_GRUPO,MATCH($C1494,CAT_NOME,0)),"Sem categoria"))</f>
        <v/>
      </c>
      <c r="F1494" s="76" t="n"/>
      <c r="G1494" s="74" t="n"/>
      <c r="H1494" s="74" t="n"/>
      <c r="I1494" s="74" t="n"/>
      <c r="J1494" s="77" t="n"/>
      <c r="K1494" s="77" t="n"/>
      <c r="L1494" s="74" t="n"/>
      <c r="M1494" s="74" t="n"/>
      <c r="O1494" s="78">
        <f>IF($A1494="","",YEAR($A1494)*100+MONTH($A1494))</f>
        <v/>
      </c>
      <c r="P1494" s="79">
        <f>IF(OR($F1494="",$D1494=""),"",IF($D1494="Receita",$F1494,IF($D1494="Transferência",0,-$F1494)))</f>
        <v/>
      </c>
    </row>
    <row r="1495">
      <c r="A1495" s="73" t="n"/>
      <c r="B1495" s="74" t="n"/>
      <c r="C1495" s="74" t="n"/>
      <c r="D1495" s="75">
        <f>IF($C1495="","",IFERROR(INDEX(CAT_TIPO,MATCH($C1495,CAT_NOME,0)),"Sem categoria"))</f>
        <v/>
      </c>
      <c r="E1495" s="75">
        <f>IF($C1495="","",IFERROR(INDEX(CAT_GRUPO,MATCH($C1495,CAT_NOME,0)),"Sem categoria"))</f>
        <v/>
      </c>
      <c r="F1495" s="76" t="n"/>
      <c r="G1495" s="74" t="n"/>
      <c r="H1495" s="74" t="n"/>
      <c r="I1495" s="74" t="n"/>
      <c r="J1495" s="77" t="n"/>
      <c r="K1495" s="77" t="n"/>
      <c r="L1495" s="74" t="n"/>
      <c r="M1495" s="74" t="n"/>
      <c r="O1495" s="78">
        <f>IF($A1495="","",YEAR($A1495)*100+MONTH($A1495))</f>
        <v/>
      </c>
      <c r="P1495" s="79">
        <f>IF(OR($F1495="",$D1495=""),"",IF($D1495="Receita",$F1495,IF($D1495="Transferência",0,-$F1495)))</f>
        <v/>
      </c>
    </row>
    <row r="1496">
      <c r="A1496" s="73" t="n"/>
      <c r="B1496" s="74" t="n"/>
      <c r="C1496" s="74" t="n"/>
      <c r="D1496" s="75">
        <f>IF($C1496="","",IFERROR(INDEX(CAT_TIPO,MATCH($C1496,CAT_NOME,0)),"Sem categoria"))</f>
        <v/>
      </c>
      <c r="E1496" s="75">
        <f>IF($C1496="","",IFERROR(INDEX(CAT_GRUPO,MATCH($C1496,CAT_NOME,0)),"Sem categoria"))</f>
        <v/>
      </c>
      <c r="F1496" s="76" t="n"/>
      <c r="G1496" s="74" t="n"/>
      <c r="H1496" s="74" t="n"/>
      <c r="I1496" s="74" t="n"/>
      <c r="J1496" s="77" t="n"/>
      <c r="K1496" s="77" t="n"/>
      <c r="L1496" s="74" t="n"/>
      <c r="M1496" s="74" t="n"/>
      <c r="O1496" s="78">
        <f>IF($A1496="","",YEAR($A1496)*100+MONTH($A1496))</f>
        <v/>
      </c>
      <c r="P1496" s="79">
        <f>IF(OR($F1496="",$D1496=""),"",IF($D1496="Receita",$F1496,IF($D1496="Transferência",0,-$F1496)))</f>
        <v/>
      </c>
    </row>
    <row r="1497">
      <c r="A1497" s="73" t="n"/>
      <c r="B1497" s="74" t="n"/>
      <c r="C1497" s="74" t="n"/>
      <c r="D1497" s="75">
        <f>IF($C1497="","",IFERROR(INDEX(CAT_TIPO,MATCH($C1497,CAT_NOME,0)),"Sem categoria"))</f>
        <v/>
      </c>
      <c r="E1497" s="75">
        <f>IF($C1497="","",IFERROR(INDEX(CAT_GRUPO,MATCH($C1497,CAT_NOME,0)),"Sem categoria"))</f>
        <v/>
      </c>
      <c r="F1497" s="76" t="n"/>
      <c r="G1497" s="74" t="n"/>
      <c r="H1497" s="74" t="n"/>
      <c r="I1497" s="74" t="n"/>
      <c r="J1497" s="77" t="n"/>
      <c r="K1497" s="77" t="n"/>
      <c r="L1497" s="74" t="n"/>
      <c r="M1497" s="74" t="n"/>
      <c r="O1497" s="78">
        <f>IF($A1497="","",YEAR($A1497)*100+MONTH($A1497))</f>
        <v/>
      </c>
      <c r="P1497" s="79">
        <f>IF(OR($F1497="",$D1497=""),"",IF($D1497="Receita",$F1497,IF($D1497="Transferência",0,-$F1497)))</f>
        <v/>
      </c>
    </row>
    <row r="1498">
      <c r="A1498" s="73" t="n"/>
      <c r="B1498" s="74" t="n"/>
      <c r="C1498" s="74" t="n"/>
      <c r="D1498" s="75">
        <f>IF($C1498="","",IFERROR(INDEX(CAT_TIPO,MATCH($C1498,CAT_NOME,0)),"Sem categoria"))</f>
        <v/>
      </c>
      <c r="E1498" s="75">
        <f>IF($C1498="","",IFERROR(INDEX(CAT_GRUPO,MATCH($C1498,CAT_NOME,0)),"Sem categoria"))</f>
        <v/>
      </c>
      <c r="F1498" s="76" t="n"/>
      <c r="G1498" s="74" t="n"/>
      <c r="H1498" s="74" t="n"/>
      <c r="I1498" s="74" t="n"/>
      <c r="J1498" s="77" t="n"/>
      <c r="K1498" s="77" t="n"/>
      <c r="L1498" s="74" t="n"/>
      <c r="M1498" s="74" t="n"/>
      <c r="O1498" s="78">
        <f>IF($A1498="","",YEAR($A1498)*100+MONTH($A1498))</f>
        <v/>
      </c>
      <c r="P1498" s="79">
        <f>IF(OR($F1498="",$D1498=""),"",IF($D1498="Receita",$F1498,IF($D1498="Transferência",0,-$F1498)))</f>
        <v/>
      </c>
    </row>
    <row r="1499">
      <c r="A1499" s="73" t="n"/>
      <c r="B1499" s="74" t="n"/>
      <c r="C1499" s="74" t="n"/>
      <c r="D1499" s="75">
        <f>IF($C1499="","",IFERROR(INDEX(CAT_TIPO,MATCH($C1499,CAT_NOME,0)),"Sem categoria"))</f>
        <v/>
      </c>
      <c r="E1499" s="75">
        <f>IF($C1499="","",IFERROR(INDEX(CAT_GRUPO,MATCH($C1499,CAT_NOME,0)),"Sem categoria"))</f>
        <v/>
      </c>
      <c r="F1499" s="76" t="n"/>
      <c r="G1499" s="74" t="n"/>
      <c r="H1499" s="74" t="n"/>
      <c r="I1499" s="74" t="n"/>
      <c r="J1499" s="77" t="n"/>
      <c r="K1499" s="77" t="n"/>
      <c r="L1499" s="74" t="n"/>
      <c r="M1499" s="74" t="n"/>
      <c r="O1499" s="78">
        <f>IF($A1499="","",YEAR($A1499)*100+MONTH($A1499))</f>
        <v/>
      </c>
      <c r="P1499" s="79">
        <f>IF(OR($F1499="",$D1499=""),"",IF($D1499="Receita",$F1499,IF($D1499="Transferência",0,-$F1499)))</f>
        <v/>
      </c>
    </row>
    <row r="1500">
      <c r="A1500" s="73" t="n"/>
      <c r="B1500" s="74" t="n"/>
      <c r="C1500" s="74" t="n"/>
      <c r="D1500" s="75">
        <f>IF($C1500="","",IFERROR(INDEX(CAT_TIPO,MATCH($C1500,CAT_NOME,0)),"Sem categoria"))</f>
        <v/>
      </c>
      <c r="E1500" s="75">
        <f>IF($C1500="","",IFERROR(INDEX(CAT_GRUPO,MATCH($C1500,CAT_NOME,0)),"Sem categoria"))</f>
        <v/>
      </c>
      <c r="F1500" s="76" t="n"/>
      <c r="G1500" s="74" t="n"/>
      <c r="H1500" s="74" t="n"/>
      <c r="I1500" s="74" t="n"/>
      <c r="J1500" s="77" t="n"/>
      <c r="K1500" s="77" t="n"/>
      <c r="L1500" s="74" t="n"/>
      <c r="M1500" s="74" t="n"/>
      <c r="O1500" s="78">
        <f>IF($A1500="","",YEAR($A1500)*100+MONTH($A1500))</f>
        <v/>
      </c>
      <c r="P1500" s="79">
        <f>IF(OR($F1500="",$D1500=""),"",IF($D1500="Receita",$F1500,IF($D1500="Transferência",0,-$F1500)))</f>
        <v/>
      </c>
    </row>
    <row r="1501">
      <c r="A1501" s="73" t="n"/>
      <c r="B1501" s="74" t="n"/>
      <c r="C1501" s="74" t="n"/>
      <c r="D1501" s="75">
        <f>IF($C1501="","",IFERROR(INDEX(CAT_TIPO,MATCH($C1501,CAT_NOME,0)),"Sem categoria"))</f>
        <v/>
      </c>
      <c r="E1501" s="75">
        <f>IF($C1501="","",IFERROR(INDEX(CAT_GRUPO,MATCH($C1501,CAT_NOME,0)),"Sem categoria"))</f>
        <v/>
      </c>
      <c r="F1501" s="76" t="n"/>
      <c r="G1501" s="74" t="n"/>
      <c r="H1501" s="74" t="n"/>
      <c r="I1501" s="74" t="n"/>
      <c r="J1501" s="77" t="n"/>
      <c r="K1501" s="77" t="n"/>
      <c r="L1501" s="74" t="n"/>
      <c r="M1501" s="74" t="n"/>
      <c r="O1501" s="78">
        <f>IF($A1501="","",YEAR($A1501)*100+MONTH($A1501))</f>
        <v/>
      </c>
      <c r="P1501" s="79">
        <f>IF(OR($F1501="",$D1501=""),"",IF($D1501="Receita",$F1501,IF($D1501="Transferência",0,-$F1501)))</f>
        <v/>
      </c>
    </row>
    <row r="1502">
      <c r="A1502" s="73" t="n"/>
      <c r="B1502" s="74" t="n"/>
      <c r="C1502" s="74" t="n"/>
      <c r="D1502" s="75">
        <f>IF($C1502="","",IFERROR(INDEX(CAT_TIPO,MATCH($C1502,CAT_NOME,0)),"Sem categoria"))</f>
        <v/>
      </c>
      <c r="E1502" s="75">
        <f>IF($C1502="","",IFERROR(INDEX(CAT_GRUPO,MATCH($C1502,CAT_NOME,0)),"Sem categoria"))</f>
        <v/>
      </c>
      <c r="F1502" s="76" t="n"/>
      <c r="G1502" s="74" t="n"/>
      <c r="H1502" s="74" t="n"/>
      <c r="I1502" s="74" t="n"/>
      <c r="J1502" s="77" t="n"/>
      <c r="K1502" s="77" t="n"/>
      <c r="L1502" s="74" t="n"/>
      <c r="M1502" s="74" t="n"/>
      <c r="O1502" s="78">
        <f>IF($A1502="","",YEAR($A1502)*100+MONTH($A1502))</f>
        <v/>
      </c>
      <c r="P1502" s="79">
        <f>IF(OR($F1502="",$D1502=""),"",IF($D1502="Receita",$F1502,IF($D1502="Transferência",0,-$F1502)))</f>
        <v/>
      </c>
    </row>
    <row r="1503">
      <c r="A1503" s="73" t="n"/>
      <c r="B1503" s="74" t="n"/>
      <c r="C1503" s="74" t="n"/>
      <c r="D1503" s="75">
        <f>IF($C1503="","",IFERROR(INDEX(CAT_TIPO,MATCH($C1503,CAT_NOME,0)),"Sem categoria"))</f>
        <v/>
      </c>
      <c r="E1503" s="75">
        <f>IF($C1503="","",IFERROR(INDEX(CAT_GRUPO,MATCH($C1503,CAT_NOME,0)),"Sem categoria"))</f>
        <v/>
      </c>
      <c r="F1503" s="76" t="n"/>
      <c r="G1503" s="74" t="n"/>
      <c r="H1503" s="74" t="n"/>
      <c r="I1503" s="74" t="n"/>
      <c r="J1503" s="77" t="n"/>
      <c r="K1503" s="77" t="n"/>
      <c r="L1503" s="74" t="n"/>
      <c r="M1503" s="74" t="n"/>
      <c r="O1503" s="78">
        <f>IF($A1503="","",YEAR($A1503)*100+MONTH($A1503))</f>
        <v/>
      </c>
      <c r="P1503" s="79">
        <f>IF(OR($F1503="",$D1503=""),"",IF($D1503="Receita",$F1503,IF($D1503="Transferência",0,-$F1503)))</f>
        <v/>
      </c>
    </row>
    <row r="1504">
      <c r="A1504" s="73" t="n"/>
      <c r="B1504" s="74" t="n"/>
      <c r="C1504" s="74" t="n"/>
      <c r="D1504" s="75">
        <f>IF($C1504="","",IFERROR(INDEX(CAT_TIPO,MATCH($C1504,CAT_NOME,0)),"Sem categoria"))</f>
        <v/>
      </c>
      <c r="E1504" s="75">
        <f>IF($C1504="","",IFERROR(INDEX(CAT_GRUPO,MATCH($C1504,CAT_NOME,0)),"Sem categoria"))</f>
        <v/>
      </c>
      <c r="F1504" s="76" t="n"/>
      <c r="G1504" s="74" t="n"/>
      <c r="H1504" s="74" t="n"/>
      <c r="I1504" s="74" t="n"/>
      <c r="J1504" s="77" t="n"/>
      <c r="K1504" s="77" t="n"/>
      <c r="L1504" s="74" t="n"/>
      <c r="M1504" s="74" t="n"/>
      <c r="O1504" s="78">
        <f>IF($A1504="","",YEAR($A1504)*100+MONTH($A1504))</f>
        <v/>
      </c>
      <c r="P1504" s="79">
        <f>IF(OR($F1504="",$D1504=""),"",IF($D1504="Receita",$F1504,IF($D1504="Transferência",0,-$F1504)))</f>
        <v/>
      </c>
    </row>
    <row r="1505">
      <c r="A1505" s="73" t="n"/>
      <c r="B1505" s="74" t="n"/>
      <c r="C1505" s="74" t="n"/>
      <c r="D1505" s="75">
        <f>IF($C1505="","",IFERROR(INDEX(CAT_TIPO,MATCH($C1505,CAT_NOME,0)),"Sem categoria"))</f>
        <v/>
      </c>
      <c r="E1505" s="75">
        <f>IF($C1505="","",IFERROR(INDEX(CAT_GRUPO,MATCH($C1505,CAT_NOME,0)),"Sem categoria"))</f>
        <v/>
      </c>
      <c r="F1505" s="76" t="n"/>
      <c r="G1505" s="74" t="n"/>
      <c r="H1505" s="74" t="n"/>
      <c r="I1505" s="74" t="n"/>
      <c r="J1505" s="77" t="n"/>
      <c r="K1505" s="77" t="n"/>
      <c r="L1505" s="74" t="n"/>
      <c r="M1505" s="74" t="n"/>
      <c r="O1505" s="78">
        <f>IF($A1505="","",YEAR($A1505)*100+MONTH($A1505))</f>
        <v/>
      </c>
      <c r="P1505" s="79">
        <f>IF(OR($F1505="",$D1505=""),"",IF($D1505="Receita",$F1505,IF($D1505="Transferência",0,-$F1505)))</f>
        <v/>
      </c>
    </row>
    <row r="1506">
      <c r="A1506" s="73" t="n"/>
      <c r="B1506" s="74" t="n"/>
      <c r="C1506" s="74" t="n"/>
      <c r="D1506" s="75">
        <f>IF($C1506="","",IFERROR(INDEX(CAT_TIPO,MATCH($C1506,CAT_NOME,0)),"Sem categoria"))</f>
        <v/>
      </c>
      <c r="E1506" s="75">
        <f>IF($C1506="","",IFERROR(INDEX(CAT_GRUPO,MATCH($C1506,CAT_NOME,0)),"Sem categoria"))</f>
        <v/>
      </c>
      <c r="F1506" s="76" t="n"/>
      <c r="G1506" s="74" t="n"/>
      <c r="H1506" s="74" t="n"/>
      <c r="I1506" s="74" t="n"/>
      <c r="J1506" s="77" t="n"/>
      <c r="K1506" s="77" t="n"/>
      <c r="L1506" s="74" t="n"/>
      <c r="M1506" s="74" t="n"/>
      <c r="O1506" s="78">
        <f>IF($A1506="","",YEAR($A1506)*100+MONTH($A1506))</f>
        <v/>
      </c>
      <c r="P1506" s="79">
        <f>IF(OR($F1506="",$D1506=""),"",IF($D1506="Receita",$F1506,IF($D1506="Transferência",0,-$F1506)))</f>
        <v/>
      </c>
    </row>
    <row r="1507">
      <c r="A1507" s="73" t="n"/>
      <c r="B1507" s="74" t="n"/>
      <c r="C1507" s="74" t="n"/>
      <c r="D1507" s="75">
        <f>IF($C1507="","",IFERROR(INDEX(CAT_TIPO,MATCH($C1507,CAT_NOME,0)),"Sem categoria"))</f>
        <v/>
      </c>
      <c r="E1507" s="75">
        <f>IF($C1507="","",IFERROR(INDEX(CAT_GRUPO,MATCH($C1507,CAT_NOME,0)),"Sem categoria"))</f>
        <v/>
      </c>
      <c r="F1507" s="76" t="n"/>
      <c r="G1507" s="74" t="n"/>
      <c r="H1507" s="74" t="n"/>
      <c r="I1507" s="74" t="n"/>
      <c r="J1507" s="77" t="n"/>
      <c r="K1507" s="77" t="n"/>
      <c r="L1507" s="74" t="n"/>
      <c r="M1507" s="74" t="n"/>
      <c r="O1507" s="78">
        <f>IF($A1507="","",YEAR($A1507)*100+MONTH($A1507))</f>
        <v/>
      </c>
      <c r="P1507" s="79">
        <f>IF(OR($F1507="",$D1507=""),"",IF($D1507="Receita",$F1507,IF($D1507="Transferência",0,-$F1507)))</f>
        <v/>
      </c>
    </row>
    <row r="1508">
      <c r="A1508" s="73" t="n"/>
      <c r="B1508" s="74" t="n"/>
      <c r="C1508" s="74" t="n"/>
      <c r="D1508" s="75">
        <f>IF($C1508="","",IFERROR(INDEX(CAT_TIPO,MATCH($C1508,CAT_NOME,0)),"Sem categoria"))</f>
        <v/>
      </c>
      <c r="E1508" s="75">
        <f>IF($C1508="","",IFERROR(INDEX(CAT_GRUPO,MATCH($C1508,CAT_NOME,0)),"Sem categoria"))</f>
        <v/>
      </c>
      <c r="F1508" s="76" t="n"/>
      <c r="G1508" s="74" t="n"/>
      <c r="H1508" s="74" t="n"/>
      <c r="I1508" s="74" t="n"/>
      <c r="J1508" s="77" t="n"/>
      <c r="K1508" s="77" t="n"/>
      <c r="L1508" s="74" t="n"/>
      <c r="M1508" s="74" t="n"/>
      <c r="O1508" s="78">
        <f>IF($A1508="","",YEAR($A1508)*100+MONTH($A1508))</f>
        <v/>
      </c>
      <c r="P1508" s="79">
        <f>IF(OR($F1508="",$D1508=""),"",IF($D1508="Receita",$F1508,IF($D1508="Transferência",0,-$F1508)))</f>
        <v/>
      </c>
    </row>
    <row r="1509">
      <c r="A1509" s="73" t="n"/>
      <c r="B1509" s="74" t="n"/>
      <c r="C1509" s="74" t="n"/>
      <c r="D1509" s="75">
        <f>IF($C1509="","",IFERROR(INDEX(CAT_TIPO,MATCH($C1509,CAT_NOME,0)),"Sem categoria"))</f>
        <v/>
      </c>
      <c r="E1509" s="75">
        <f>IF($C1509="","",IFERROR(INDEX(CAT_GRUPO,MATCH($C1509,CAT_NOME,0)),"Sem categoria"))</f>
        <v/>
      </c>
      <c r="F1509" s="76" t="n"/>
      <c r="G1509" s="74" t="n"/>
      <c r="H1509" s="74" t="n"/>
      <c r="I1509" s="74" t="n"/>
      <c r="J1509" s="77" t="n"/>
      <c r="K1509" s="77" t="n"/>
      <c r="L1509" s="74" t="n"/>
      <c r="M1509" s="74" t="n"/>
      <c r="O1509" s="78">
        <f>IF($A1509="","",YEAR($A1509)*100+MONTH($A1509))</f>
        <v/>
      </c>
      <c r="P1509" s="79">
        <f>IF(OR($F1509="",$D1509=""),"",IF($D1509="Receita",$F1509,IF($D1509="Transferência",0,-$F1509)))</f>
        <v/>
      </c>
    </row>
    <row r="1510">
      <c r="A1510" s="73" t="n"/>
      <c r="B1510" s="74" t="n"/>
      <c r="C1510" s="74" t="n"/>
      <c r="D1510" s="75">
        <f>IF($C1510="","",IFERROR(INDEX(CAT_TIPO,MATCH($C1510,CAT_NOME,0)),"Sem categoria"))</f>
        <v/>
      </c>
      <c r="E1510" s="75">
        <f>IF($C1510="","",IFERROR(INDEX(CAT_GRUPO,MATCH($C1510,CAT_NOME,0)),"Sem categoria"))</f>
        <v/>
      </c>
      <c r="F1510" s="76" t="n"/>
      <c r="G1510" s="74" t="n"/>
      <c r="H1510" s="74" t="n"/>
      <c r="I1510" s="74" t="n"/>
      <c r="J1510" s="77" t="n"/>
      <c r="K1510" s="77" t="n"/>
      <c r="L1510" s="74" t="n"/>
      <c r="M1510" s="74" t="n"/>
      <c r="O1510" s="78">
        <f>IF($A1510="","",YEAR($A1510)*100+MONTH($A1510))</f>
        <v/>
      </c>
      <c r="P1510" s="79">
        <f>IF(OR($F1510="",$D1510=""),"",IF($D1510="Receita",$F1510,IF($D1510="Transferência",0,-$F1510)))</f>
        <v/>
      </c>
    </row>
    <row r="1511">
      <c r="A1511" s="73" t="n"/>
      <c r="B1511" s="74" t="n"/>
      <c r="C1511" s="74" t="n"/>
      <c r="D1511" s="75">
        <f>IF($C1511="","",IFERROR(INDEX(CAT_TIPO,MATCH($C1511,CAT_NOME,0)),"Sem categoria"))</f>
        <v/>
      </c>
      <c r="E1511" s="75">
        <f>IF($C1511="","",IFERROR(INDEX(CAT_GRUPO,MATCH($C1511,CAT_NOME,0)),"Sem categoria"))</f>
        <v/>
      </c>
      <c r="F1511" s="76" t="n"/>
      <c r="G1511" s="74" t="n"/>
      <c r="H1511" s="74" t="n"/>
      <c r="I1511" s="74" t="n"/>
      <c r="J1511" s="77" t="n"/>
      <c r="K1511" s="77" t="n"/>
      <c r="L1511" s="74" t="n"/>
      <c r="M1511" s="74" t="n"/>
      <c r="O1511" s="78">
        <f>IF($A1511="","",YEAR($A1511)*100+MONTH($A1511))</f>
        <v/>
      </c>
      <c r="P1511" s="79">
        <f>IF(OR($F1511="",$D1511=""),"",IF($D1511="Receita",$F1511,IF($D1511="Transferência",0,-$F1511)))</f>
        <v/>
      </c>
    </row>
    <row r="1512">
      <c r="A1512" s="73" t="n"/>
      <c r="B1512" s="74" t="n"/>
      <c r="C1512" s="74" t="n"/>
      <c r="D1512" s="75">
        <f>IF($C1512="","",IFERROR(INDEX(CAT_TIPO,MATCH($C1512,CAT_NOME,0)),"Sem categoria"))</f>
        <v/>
      </c>
      <c r="E1512" s="75">
        <f>IF($C1512="","",IFERROR(INDEX(CAT_GRUPO,MATCH($C1512,CAT_NOME,0)),"Sem categoria"))</f>
        <v/>
      </c>
      <c r="F1512" s="76" t="n"/>
      <c r="G1512" s="74" t="n"/>
      <c r="H1512" s="74" t="n"/>
      <c r="I1512" s="74" t="n"/>
      <c r="J1512" s="77" t="n"/>
      <c r="K1512" s="77" t="n"/>
      <c r="L1512" s="74" t="n"/>
      <c r="M1512" s="74" t="n"/>
      <c r="O1512" s="78">
        <f>IF($A1512="","",YEAR($A1512)*100+MONTH($A1512))</f>
        <v/>
      </c>
      <c r="P1512" s="79">
        <f>IF(OR($F1512="",$D1512=""),"",IF($D1512="Receita",$F1512,IF($D1512="Transferência",0,-$F1512)))</f>
        <v/>
      </c>
    </row>
    <row r="1513">
      <c r="A1513" s="73" t="n"/>
      <c r="B1513" s="74" t="n"/>
      <c r="C1513" s="74" t="n"/>
      <c r="D1513" s="75">
        <f>IF($C1513="","",IFERROR(INDEX(CAT_TIPO,MATCH($C1513,CAT_NOME,0)),"Sem categoria"))</f>
        <v/>
      </c>
      <c r="E1513" s="75">
        <f>IF($C1513="","",IFERROR(INDEX(CAT_GRUPO,MATCH($C1513,CAT_NOME,0)),"Sem categoria"))</f>
        <v/>
      </c>
      <c r="F1513" s="76" t="n"/>
      <c r="G1513" s="74" t="n"/>
      <c r="H1513" s="74" t="n"/>
      <c r="I1513" s="74" t="n"/>
      <c r="J1513" s="77" t="n"/>
      <c r="K1513" s="77" t="n"/>
      <c r="L1513" s="74" t="n"/>
      <c r="M1513" s="74" t="n"/>
      <c r="O1513" s="78">
        <f>IF($A1513="","",YEAR($A1513)*100+MONTH($A1513))</f>
        <v/>
      </c>
      <c r="P1513" s="79">
        <f>IF(OR($F1513="",$D1513=""),"",IF($D1513="Receita",$F1513,IF($D1513="Transferência",0,-$F1513)))</f>
        <v/>
      </c>
    </row>
    <row r="1514">
      <c r="A1514" s="73" t="n"/>
      <c r="B1514" s="74" t="n"/>
      <c r="C1514" s="74" t="n"/>
      <c r="D1514" s="75">
        <f>IF($C1514="","",IFERROR(INDEX(CAT_TIPO,MATCH($C1514,CAT_NOME,0)),"Sem categoria"))</f>
        <v/>
      </c>
      <c r="E1514" s="75">
        <f>IF($C1514="","",IFERROR(INDEX(CAT_GRUPO,MATCH($C1514,CAT_NOME,0)),"Sem categoria"))</f>
        <v/>
      </c>
      <c r="F1514" s="76" t="n"/>
      <c r="G1514" s="74" t="n"/>
      <c r="H1514" s="74" t="n"/>
      <c r="I1514" s="74" t="n"/>
      <c r="J1514" s="77" t="n"/>
      <c r="K1514" s="77" t="n"/>
      <c r="L1514" s="74" t="n"/>
      <c r="M1514" s="74" t="n"/>
      <c r="O1514" s="78">
        <f>IF($A1514="","",YEAR($A1514)*100+MONTH($A1514))</f>
        <v/>
      </c>
      <c r="P1514" s="79">
        <f>IF(OR($F1514="",$D1514=""),"",IF($D1514="Receita",$F1514,IF($D1514="Transferência",0,-$F1514)))</f>
        <v/>
      </c>
    </row>
    <row r="1515">
      <c r="A1515" s="73" t="n"/>
      <c r="B1515" s="74" t="n"/>
      <c r="C1515" s="74" t="n"/>
      <c r="D1515" s="75">
        <f>IF($C1515="","",IFERROR(INDEX(CAT_TIPO,MATCH($C1515,CAT_NOME,0)),"Sem categoria"))</f>
        <v/>
      </c>
      <c r="E1515" s="75">
        <f>IF($C1515="","",IFERROR(INDEX(CAT_GRUPO,MATCH($C1515,CAT_NOME,0)),"Sem categoria"))</f>
        <v/>
      </c>
      <c r="F1515" s="76" t="n"/>
      <c r="G1515" s="74" t="n"/>
      <c r="H1515" s="74" t="n"/>
      <c r="I1515" s="74" t="n"/>
      <c r="J1515" s="77" t="n"/>
      <c r="K1515" s="77" t="n"/>
      <c r="L1515" s="74" t="n"/>
      <c r="M1515" s="74" t="n"/>
      <c r="O1515" s="78">
        <f>IF($A1515="","",YEAR($A1515)*100+MONTH($A1515))</f>
        <v/>
      </c>
      <c r="P1515" s="79">
        <f>IF(OR($F1515="",$D1515=""),"",IF($D1515="Receita",$F1515,IF($D1515="Transferência",0,-$F1515)))</f>
        <v/>
      </c>
    </row>
    <row r="1516">
      <c r="A1516" s="73" t="n"/>
      <c r="B1516" s="74" t="n"/>
      <c r="C1516" s="74" t="n"/>
      <c r="D1516" s="75">
        <f>IF($C1516="","",IFERROR(INDEX(CAT_TIPO,MATCH($C1516,CAT_NOME,0)),"Sem categoria"))</f>
        <v/>
      </c>
      <c r="E1516" s="75">
        <f>IF($C1516="","",IFERROR(INDEX(CAT_GRUPO,MATCH($C1516,CAT_NOME,0)),"Sem categoria"))</f>
        <v/>
      </c>
      <c r="F1516" s="76" t="n"/>
      <c r="G1516" s="74" t="n"/>
      <c r="H1516" s="74" t="n"/>
      <c r="I1516" s="74" t="n"/>
      <c r="J1516" s="77" t="n"/>
      <c r="K1516" s="77" t="n"/>
      <c r="L1516" s="74" t="n"/>
      <c r="M1516" s="74" t="n"/>
      <c r="O1516" s="78">
        <f>IF($A1516="","",YEAR($A1516)*100+MONTH($A1516))</f>
        <v/>
      </c>
      <c r="P1516" s="79">
        <f>IF(OR($F1516="",$D1516=""),"",IF($D1516="Receita",$F1516,IF($D1516="Transferência",0,-$F1516)))</f>
        <v/>
      </c>
    </row>
    <row r="1517">
      <c r="A1517" s="73" t="n"/>
      <c r="B1517" s="74" t="n"/>
      <c r="C1517" s="74" t="n"/>
      <c r="D1517" s="75">
        <f>IF($C1517="","",IFERROR(INDEX(CAT_TIPO,MATCH($C1517,CAT_NOME,0)),"Sem categoria"))</f>
        <v/>
      </c>
      <c r="E1517" s="75">
        <f>IF($C1517="","",IFERROR(INDEX(CAT_GRUPO,MATCH($C1517,CAT_NOME,0)),"Sem categoria"))</f>
        <v/>
      </c>
      <c r="F1517" s="76" t="n"/>
      <c r="G1517" s="74" t="n"/>
      <c r="H1517" s="74" t="n"/>
      <c r="I1517" s="74" t="n"/>
      <c r="J1517" s="77" t="n"/>
      <c r="K1517" s="77" t="n"/>
      <c r="L1517" s="74" t="n"/>
      <c r="M1517" s="74" t="n"/>
      <c r="O1517" s="78">
        <f>IF($A1517="","",YEAR($A1517)*100+MONTH($A1517))</f>
        <v/>
      </c>
      <c r="P1517" s="79">
        <f>IF(OR($F1517="",$D1517=""),"",IF($D1517="Receita",$F1517,IF($D1517="Transferência",0,-$F1517)))</f>
        <v/>
      </c>
    </row>
    <row r="1518">
      <c r="A1518" s="73" t="n"/>
      <c r="B1518" s="74" t="n"/>
      <c r="C1518" s="74" t="n"/>
      <c r="D1518" s="75">
        <f>IF($C1518="","",IFERROR(INDEX(CAT_TIPO,MATCH($C1518,CAT_NOME,0)),"Sem categoria"))</f>
        <v/>
      </c>
      <c r="E1518" s="75">
        <f>IF($C1518="","",IFERROR(INDEX(CAT_GRUPO,MATCH($C1518,CAT_NOME,0)),"Sem categoria"))</f>
        <v/>
      </c>
      <c r="F1518" s="76" t="n"/>
      <c r="G1518" s="74" t="n"/>
      <c r="H1518" s="74" t="n"/>
      <c r="I1518" s="74" t="n"/>
      <c r="J1518" s="77" t="n"/>
      <c r="K1518" s="77" t="n"/>
      <c r="L1518" s="74" t="n"/>
      <c r="M1518" s="74" t="n"/>
      <c r="O1518" s="78">
        <f>IF($A1518="","",YEAR($A1518)*100+MONTH($A1518))</f>
        <v/>
      </c>
      <c r="P1518" s="79">
        <f>IF(OR($F1518="",$D1518=""),"",IF($D1518="Receita",$F1518,IF($D1518="Transferência",0,-$F1518)))</f>
        <v/>
      </c>
    </row>
    <row r="1519">
      <c r="A1519" s="73" t="n"/>
      <c r="B1519" s="74" t="n"/>
      <c r="C1519" s="74" t="n"/>
      <c r="D1519" s="75">
        <f>IF($C1519="","",IFERROR(INDEX(CAT_TIPO,MATCH($C1519,CAT_NOME,0)),"Sem categoria"))</f>
        <v/>
      </c>
      <c r="E1519" s="75">
        <f>IF($C1519="","",IFERROR(INDEX(CAT_GRUPO,MATCH($C1519,CAT_NOME,0)),"Sem categoria"))</f>
        <v/>
      </c>
      <c r="F1519" s="76" t="n"/>
      <c r="G1519" s="74" t="n"/>
      <c r="H1519" s="74" t="n"/>
      <c r="I1519" s="74" t="n"/>
      <c r="J1519" s="77" t="n"/>
      <c r="K1519" s="77" t="n"/>
      <c r="L1519" s="74" t="n"/>
      <c r="M1519" s="74" t="n"/>
      <c r="O1519" s="78">
        <f>IF($A1519="","",YEAR($A1519)*100+MONTH($A1519))</f>
        <v/>
      </c>
      <c r="P1519" s="79">
        <f>IF(OR($F1519="",$D1519=""),"",IF($D1519="Receita",$F1519,IF($D1519="Transferência",0,-$F1519)))</f>
        <v/>
      </c>
    </row>
    <row r="1520">
      <c r="A1520" s="73" t="n"/>
      <c r="B1520" s="74" t="n"/>
      <c r="C1520" s="74" t="n"/>
      <c r="D1520" s="75">
        <f>IF($C1520="","",IFERROR(INDEX(CAT_TIPO,MATCH($C1520,CAT_NOME,0)),"Sem categoria"))</f>
        <v/>
      </c>
      <c r="E1520" s="75">
        <f>IF($C1520="","",IFERROR(INDEX(CAT_GRUPO,MATCH($C1520,CAT_NOME,0)),"Sem categoria"))</f>
        <v/>
      </c>
      <c r="F1520" s="76" t="n"/>
      <c r="G1520" s="74" t="n"/>
      <c r="H1520" s="74" t="n"/>
      <c r="I1520" s="74" t="n"/>
      <c r="J1520" s="77" t="n"/>
      <c r="K1520" s="77" t="n"/>
      <c r="L1520" s="74" t="n"/>
      <c r="M1520" s="74" t="n"/>
      <c r="O1520" s="78">
        <f>IF($A1520="","",YEAR($A1520)*100+MONTH($A1520))</f>
        <v/>
      </c>
      <c r="P1520" s="79">
        <f>IF(OR($F1520="",$D1520=""),"",IF($D1520="Receita",$F1520,IF($D1520="Transferência",0,-$F1520)))</f>
        <v/>
      </c>
    </row>
    <row r="1521">
      <c r="A1521" s="73" t="n"/>
      <c r="B1521" s="74" t="n"/>
      <c r="C1521" s="74" t="n"/>
      <c r="D1521" s="75">
        <f>IF($C1521="","",IFERROR(INDEX(CAT_TIPO,MATCH($C1521,CAT_NOME,0)),"Sem categoria"))</f>
        <v/>
      </c>
      <c r="E1521" s="75">
        <f>IF($C1521="","",IFERROR(INDEX(CAT_GRUPO,MATCH($C1521,CAT_NOME,0)),"Sem categoria"))</f>
        <v/>
      </c>
      <c r="F1521" s="76" t="n"/>
      <c r="G1521" s="74" t="n"/>
      <c r="H1521" s="74" t="n"/>
      <c r="I1521" s="74" t="n"/>
      <c r="J1521" s="77" t="n"/>
      <c r="K1521" s="77" t="n"/>
      <c r="L1521" s="74" t="n"/>
      <c r="M1521" s="74" t="n"/>
      <c r="O1521" s="78">
        <f>IF($A1521="","",YEAR($A1521)*100+MONTH($A1521))</f>
        <v/>
      </c>
      <c r="P1521" s="79">
        <f>IF(OR($F1521="",$D1521=""),"",IF($D1521="Receita",$F1521,IF($D1521="Transferência",0,-$F1521)))</f>
        <v/>
      </c>
    </row>
    <row r="1522">
      <c r="A1522" s="73" t="n"/>
      <c r="B1522" s="74" t="n"/>
      <c r="C1522" s="74" t="n"/>
      <c r="D1522" s="75">
        <f>IF($C1522="","",IFERROR(INDEX(CAT_TIPO,MATCH($C1522,CAT_NOME,0)),"Sem categoria"))</f>
        <v/>
      </c>
      <c r="E1522" s="75">
        <f>IF($C1522="","",IFERROR(INDEX(CAT_GRUPO,MATCH($C1522,CAT_NOME,0)),"Sem categoria"))</f>
        <v/>
      </c>
      <c r="F1522" s="76" t="n"/>
      <c r="G1522" s="74" t="n"/>
      <c r="H1522" s="74" t="n"/>
      <c r="I1522" s="74" t="n"/>
      <c r="J1522" s="77" t="n"/>
      <c r="K1522" s="77" t="n"/>
      <c r="L1522" s="74" t="n"/>
      <c r="M1522" s="74" t="n"/>
      <c r="O1522" s="78">
        <f>IF($A1522="","",YEAR($A1522)*100+MONTH($A1522))</f>
        <v/>
      </c>
      <c r="P1522" s="79">
        <f>IF(OR($F1522="",$D1522=""),"",IF($D1522="Receita",$F1522,IF($D1522="Transferência",0,-$F1522)))</f>
        <v/>
      </c>
    </row>
    <row r="1523">
      <c r="A1523" s="73" t="n"/>
      <c r="B1523" s="74" t="n"/>
      <c r="C1523" s="74" t="n"/>
      <c r="D1523" s="75">
        <f>IF($C1523="","",IFERROR(INDEX(CAT_TIPO,MATCH($C1523,CAT_NOME,0)),"Sem categoria"))</f>
        <v/>
      </c>
      <c r="E1523" s="75">
        <f>IF($C1523="","",IFERROR(INDEX(CAT_GRUPO,MATCH($C1523,CAT_NOME,0)),"Sem categoria"))</f>
        <v/>
      </c>
      <c r="F1523" s="76" t="n"/>
      <c r="G1523" s="74" t="n"/>
      <c r="H1523" s="74" t="n"/>
      <c r="I1523" s="74" t="n"/>
      <c r="J1523" s="77" t="n"/>
      <c r="K1523" s="77" t="n"/>
      <c r="L1523" s="74" t="n"/>
      <c r="M1523" s="74" t="n"/>
      <c r="O1523" s="78">
        <f>IF($A1523="","",YEAR($A1523)*100+MONTH($A1523))</f>
        <v/>
      </c>
      <c r="P1523" s="79">
        <f>IF(OR($F1523="",$D1523=""),"",IF($D1523="Receita",$F1523,IF($D1523="Transferência",0,-$F1523)))</f>
        <v/>
      </c>
    </row>
    <row r="1524">
      <c r="A1524" s="73" t="n"/>
      <c r="B1524" s="74" t="n"/>
      <c r="C1524" s="74" t="n"/>
      <c r="D1524" s="75">
        <f>IF($C1524="","",IFERROR(INDEX(CAT_TIPO,MATCH($C1524,CAT_NOME,0)),"Sem categoria"))</f>
        <v/>
      </c>
      <c r="E1524" s="75">
        <f>IF($C1524="","",IFERROR(INDEX(CAT_GRUPO,MATCH($C1524,CAT_NOME,0)),"Sem categoria"))</f>
        <v/>
      </c>
      <c r="F1524" s="76" t="n"/>
      <c r="G1524" s="74" t="n"/>
      <c r="H1524" s="74" t="n"/>
      <c r="I1524" s="74" t="n"/>
      <c r="J1524" s="77" t="n"/>
      <c r="K1524" s="77" t="n"/>
      <c r="L1524" s="74" t="n"/>
      <c r="M1524" s="74" t="n"/>
      <c r="O1524" s="78">
        <f>IF($A1524="","",YEAR($A1524)*100+MONTH($A1524))</f>
        <v/>
      </c>
      <c r="P1524" s="79">
        <f>IF(OR($F1524="",$D1524=""),"",IF($D1524="Receita",$F1524,IF($D1524="Transferência",0,-$F1524)))</f>
        <v/>
      </c>
    </row>
    <row r="1525">
      <c r="A1525" s="73" t="n"/>
      <c r="B1525" s="74" t="n"/>
      <c r="C1525" s="74" t="n"/>
      <c r="D1525" s="75">
        <f>IF($C1525="","",IFERROR(INDEX(CAT_TIPO,MATCH($C1525,CAT_NOME,0)),"Sem categoria"))</f>
        <v/>
      </c>
      <c r="E1525" s="75">
        <f>IF($C1525="","",IFERROR(INDEX(CAT_GRUPO,MATCH($C1525,CAT_NOME,0)),"Sem categoria"))</f>
        <v/>
      </c>
      <c r="F1525" s="76" t="n"/>
      <c r="G1525" s="74" t="n"/>
      <c r="H1525" s="74" t="n"/>
      <c r="I1525" s="74" t="n"/>
      <c r="J1525" s="77" t="n"/>
      <c r="K1525" s="77" t="n"/>
      <c r="L1525" s="74" t="n"/>
      <c r="M1525" s="74" t="n"/>
      <c r="O1525" s="78">
        <f>IF($A1525="","",YEAR($A1525)*100+MONTH($A1525))</f>
        <v/>
      </c>
      <c r="P1525" s="79">
        <f>IF(OR($F1525="",$D1525=""),"",IF($D1525="Receita",$F1525,IF($D1525="Transferência",0,-$F1525)))</f>
        <v/>
      </c>
    </row>
    <row r="1526">
      <c r="A1526" s="73" t="n"/>
      <c r="B1526" s="74" t="n"/>
      <c r="C1526" s="74" t="n"/>
      <c r="D1526" s="75">
        <f>IF($C1526="","",IFERROR(INDEX(CAT_TIPO,MATCH($C1526,CAT_NOME,0)),"Sem categoria"))</f>
        <v/>
      </c>
      <c r="E1526" s="75">
        <f>IF($C1526="","",IFERROR(INDEX(CAT_GRUPO,MATCH($C1526,CAT_NOME,0)),"Sem categoria"))</f>
        <v/>
      </c>
      <c r="F1526" s="76" t="n"/>
      <c r="G1526" s="74" t="n"/>
      <c r="H1526" s="74" t="n"/>
      <c r="I1526" s="74" t="n"/>
      <c r="J1526" s="77" t="n"/>
      <c r="K1526" s="77" t="n"/>
      <c r="L1526" s="74" t="n"/>
      <c r="M1526" s="74" t="n"/>
      <c r="O1526" s="78">
        <f>IF($A1526="","",YEAR($A1526)*100+MONTH($A1526))</f>
        <v/>
      </c>
      <c r="P1526" s="79">
        <f>IF(OR($F1526="",$D1526=""),"",IF($D1526="Receita",$F1526,IF($D1526="Transferência",0,-$F1526)))</f>
        <v/>
      </c>
    </row>
    <row r="1527">
      <c r="A1527" s="73" t="n"/>
      <c r="B1527" s="74" t="n"/>
      <c r="C1527" s="74" t="n"/>
      <c r="D1527" s="75">
        <f>IF($C1527="","",IFERROR(INDEX(CAT_TIPO,MATCH($C1527,CAT_NOME,0)),"Sem categoria"))</f>
        <v/>
      </c>
      <c r="E1527" s="75">
        <f>IF($C1527="","",IFERROR(INDEX(CAT_GRUPO,MATCH($C1527,CAT_NOME,0)),"Sem categoria"))</f>
        <v/>
      </c>
      <c r="F1527" s="76" t="n"/>
      <c r="G1527" s="74" t="n"/>
      <c r="H1527" s="74" t="n"/>
      <c r="I1527" s="74" t="n"/>
      <c r="J1527" s="77" t="n"/>
      <c r="K1527" s="77" t="n"/>
      <c r="L1527" s="74" t="n"/>
      <c r="M1527" s="74" t="n"/>
      <c r="O1527" s="78">
        <f>IF($A1527="","",YEAR($A1527)*100+MONTH($A1527))</f>
        <v/>
      </c>
      <c r="P1527" s="79">
        <f>IF(OR($F1527="",$D1527=""),"",IF($D1527="Receita",$F1527,IF($D1527="Transferência",0,-$F1527)))</f>
        <v/>
      </c>
    </row>
    <row r="1528">
      <c r="A1528" s="73" t="n"/>
      <c r="B1528" s="74" t="n"/>
      <c r="C1528" s="74" t="n"/>
      <c r="D1528" s="75">
        <f>IF($C1528="","",IFERROR(INDEX(CAT_TIPO,MATCH($C1528,CAT_NOME,0)),"Sem categoria"))</f>
        <v/>
      </c>
      <c r="E1528" s="75">
        <f>IF($C1528="","",IFERROR(INDEX(CAT_GRUPO,MATCH($C1528,CAT_NOME,0)),"Sem categoria"))</f>
        <v/>
      </c>
      <c r="F1528" s="76" t="n"/>
      <c r="G1528" s="74" t="n"/>
      <c r="H1528" s="74" t="n"/>
      <c r="I1528" s="74" t="n"/>
      <c r="J1528" s="77" t="n"/>
      <c r="K1528" s="77" t="n"/>
      <c r="L1528" s="74" t="n"/>
      <c r="M1528" s="74" t="n"/>
      <c r="O1528" s="78">
        <f>IF($A1528="","",YEAR($A1528)*100+MONTH($A1528))</f>
        <v/>
      </c>
      <c r="P1528" s="79">
        <f>IF(OR($F1528="",$D1528=""),"",IF($D1528="Receita",$F1528,IF($D1528="Transferência",0,-$F1528)))</f>
        <v/>
      </c>
    </row>
    <row r="1529">
      <c r="A1529" s="73" t="n"/>
      <c r="B1529" s="74" t="n"/>
      <c r="C1529" s="74" t="n"/>
      <c r="D1529" s="75">
        <f>IF($C1529="","",IFERROR(INDEX(CAT_TIPO,MATCH($C1529,CAT_NOME,0)),"Sem categoria"))</f>
        <v/>
      </c>
      <c r="E1529" s="75">
        <f>IF($C1529="","",IFERROR(INDEX(CAT_GRUPO,MATCH($C1529,CAT_NOME,0)),"Sem categoria"))</f>
        <v/>
      </c>
      <c r="F1529" s="76" t="n"/>
      <c r="G1529" s="74" t="n"/>
      <c r="H1529" s="74" t="n"/>
      <c r="I1529" s="74" t="n"/>
      <c r="J1529" s="77" t="n"/>
      <c r="K1529" s="77" t="n"/>
      <c r="L1529" s="74" t="n"/>
      <c r="M1529" s="74" t="n"/>
      <c r="O1529" s="78">
        <f>IF($A1529="","",YEAR($A1529)*100+MONTH($A1529))</f>
        <v/>
      </c>
      <c r="P1529" s="79">
        <f>IF(OR($F1529="",$D1529=""),"",IF($D1529="Receita",$F1529,IF($D1529="Transferência",0,-$F1529)))</f>
        <v/>
      </c>
    </row>
    <row r="1530">
      <c r="A1530" s="73" t="n"/>
      <c r="B1530" s="74" t="n"/>
      <c r="C1530" s="74" t="n"/>
      <c r="D1530" s="75">
        <f>IF($C1530="","",IFERROR(INDEX(CAT_TIPO,MATCH($C1530,CAT_NOME,0)),"Sem categoria"))</f>
        <v/>
      </c>
      <c r="E1530" s="75">
        <f>IF($C1530="","",IFERROR(INDEX(CAT_GRUPO,MATCH($C1530,CAT_NOME,0)),"Sem categoria"))</f>
        <v/>
      </c>
      <c r="F1530" s="76" t="n"/>
      <c r="G1530" s="74" t="n"/>
      <c r="H1530" s="74" t="n"/>
      <c r="I1530" s="74" t="n"/>
      <c r="J1530" s="77" t="n"/>
      <c r="K1530" s="77" t="n"/>
      <c r="L1530" s="74" t="n"/>
      <c r="M1530" s="74" t="n"/>
      <c r="O1530" s="78">
        <f>IF($A1530="","",YEAR($A1530)*100+MONTH($A1530))</f>
        <v/>
      </c>
      <c r="P1530" s="79">
        <f>IF(OR($F1530="",$D1530=""),"",IF($D1530="Receita",$F1530,IF($D1530="Transferência",0,-$F1530)))</f>
        <v/>
      </c>
    </row>
    <row r="1531">
      <c r="A1531" s="73" t="n"/>
      <c r="B1531" s="74" t="n"/>
      <c r="C1531" s="74" t="n"/>
      <c r="D1531" s="75">
        <f>IF($C1531="","",IFERROR(INDEX(CAT_TIPO,MATCH($C1531,CAT_NOME,0)),"Sem categoria"))</f>
        <v/>
      </c>
      <c r="E1531" s="75">
        <f>IF($C1531="","",IFERROR(INDEX(CAT_GRUPO,MATCH($C1531,CAT_NOME,0)),"Sem categoria"))</f>
        <v/>
      </c>
      <c r="F1531" s="76" t="n"/>
      <c r="G1531" s="74" t="n"/>
      <c r="H1531" s="74" t="n"/>
      <c r="I1531" s="74" t="n"/>
      <c r="J1531" s="77" t="n"/>
      <c r="K1531" s="77" t="n"/>
      <c r="L1531" s="74" t="n"/>
      <c r="M1531" s="74" t="n"/>
      <c r="O1531" s="78">
        <f>IF($A1531="","",YEAR($A1531)*100+MONTH($A1531))</f>
        <v/>
      </c>
      <c r="P1531" s="79">
        <f>IF(OR($F1531="",$D1531=""),"",IF($D1531="Receita",$F1531,IF($D1531="Transferência",0,-$F1531)))</f>
        <v/>
      </c>
    </row>
    <row r="1532">
      <c r="A1532" s="73" t="n"/>
      <c r="B1532" s="74" t="n"/>
      <c r="C1532" s="74" t="n"/>
      <c r="D1532" s="75">
        <f>IF($C1532="","",IFERROR(INDEX(CAT_TIPO,MATCH($C1532,CAT_NOME,0)),"Sem categoria"))</f>
        <v/>
      </c>
      <c r="E1532" s="75">
        <f>IF($C1532="","",IFERROR(INDEX(CAT_GRUPO,MATCH($C1532,CAT_NOME,0)),"Sem categoria"))</f>
        <v/>
      </c>
      <c r="F1532" s="76" t="n"/>
      <c r="G1532" s="74" t="n"/>
      <c r="H1532" s="74" t="n"/>
      <c r="I1532" s="74" t="n"/>
      <c r="J1532" s="77" t="n"/>
      <c r="K1532" s="77" t="n"/>
      <c r="L1532" s="74" t="n"/>
      <c r="M1532" s="74" t="n"/>
      <c r="O1532" s="78">
        <f>IF($A1532="","",YEAR($A1532)*100+MONTH($A1532))</f>
        <v/>
      </c>
      <c r="P1532" s="79">
        <f>IF(OR($F1532="",$D1532=""),"",IF($D1532="Receita",$F1532,IF($D1532="Transferência",0,-$F1532)))</f>
        <v/>
      </c>
    </row>
    <row r="1533">
      <c r="A1533" s="73" t="n"/>
      <c r="B1533" s="74" t="n"/>
      <c r="C1533" s="74" t="n"/>
      <c r="D1533" s="75">
        <f>IF($C1533="","",IFERROR(INDEX(CAT_TIPO,MATCH($C1533,CAT_NOME,0)),"Sem categoria"))</f>
        <v/>
      </c>
      <c r="E1533" s="75">
        <f>IF($C1533="","",IFERROR(INDEX(CAT_GRUPO,MATCH($C1533,CAT_NOME,0)),"Sem categoria"))</f>
        <v/>
      </c>
      <c r="F1533" s="76" t="n"/>
      <c r="G1533" s="74" t="n"/>
      <c r="H1533" s="74" t="n"/>
      <c r="I1533" s="74" t="n"/>
      <c r="J1533" s="77" t="n"/>
      <c r="K1533" s="77" t="n"/>
      <c r="L1533" s="74" t="n"/>
      <c r="M1533" s="74" t="n"/>
      <c r="O1533" s="78">
        <f>IF($A1533="","",YEAR($A1533)*100+MONTH($A1533))</f>
        <v/>
      </c>
      <c r="P1533" s="79">
        <f>IF(OR($F1533="",$D1533=""),"",IF($D1533="Receita",$F1533,IF($D1533="Transferência",0,-$F1533)))</f>
        <v/>
      </c>
    </row>
    <row r="1534">
      <c r="A1534" s="73" t="n"/>
      <c r="B1534" s="74" t="n"/>
      <c r="C1534" s="74" t="n"/>
      <c r="D1534" s="75">
        <f>IF($C1534="","",IFERROR(INDEX(CAT_TIPO,MATCH($C1534,CAT_NOME,0)),"Sem categoria"))</f>
        <v/>
      </c>
      <c r="E1534" s="75">
        <f>IF($C1534="","",IFERROR(INDEX(CAT_GRUPO,MATCH($C1534,CAT_NOME,0)),"Sem categoria"))</f>
        <v/>
      </c>
      <c r="F1534" s="76" t="n"/>
      <c r="G1534" s="74" t="n"/>
      <c r="H1534" s="74" t="n"/>
      <c r="I1534" s="74" t="n"/>
      <c r="J1534" s="77" t="n"/>
      <c r="K1534" s="77" t="n"/>
      <c r="L1534" s="74" t="n"/>
      <c r="M1534" s="74" t="n"/>
      <c r="O1534" s="78">
        <f>IF($A1534="","",YEAR($A1534)*100+MONTH($A1534))</f>
        <v/>
      </c>
      <c r="P1534" s="79">
        <f>IF(OR($F1534="",$D1534=""),"",IF($D1534="Receita",$F1534,IF($D1534="Transferência",0,-$F1534)))</f>
        <v/>
      </c>
    </row>
    <row r="1535">
      <c r="A1535" s="73" t="n"/>
      <c r="B1535" s="74" t="n"/>
      <c r="C1535" s="74" t="n"/>
      <c r="D1535" s="75">
        <f>IF($C1535="","",IFERROR(INDEX(CAT_TIPO,MATCH($C1535,CAT_NOME,0)),"Sem categoria"))</f>
        <v/>
      </c>
      <c r="E1535" s="75">
        <f>IF($C1535="","",IFERROR(INDEX(CAT_GRUPO,MATCH($C1535,CAT_NOME,0)),"Sem categoria"))</f>
        <v/>
      </c>
      <c r="F1535" s="76" t="n"/>
      <c r="G1535" s="74" t="n"/>
      <c r="H1535" s="74" t="n"/>
      <c r="I1535" s="74" t="n"/>
      <c r="J1535" s="77" t="n"/>
      <c r="K1535" s="77" t="n"/>
      <c r="L1535" s="74" t="n"/>
      <c r="M1535" s="74" t="n"/>
      <c r="O1535" s="78">
        <f>IF($A1535="","",YEAR($A1535)*100+MONTH($A1535))</f>
        <v/>
      </c>
      <c r="P1535" s="79">
        <f>IF(OR($F1535="",$D1535=""),"",IF($D1535="Receita",$F1535,IF($D1535="Transferência",0,-$F1535)))</f>
        <v/>
      </c>
    </row>
    <row r="1536">
      <c r="A1536" s="73" t="n"/>
      <c r="B1536" s="74" t="n"/>
      <c r="C1536" s="74" t="n"/>
      <c r="D1536" s="75">
        <f>IF($C1536="","",IFERROR(INDEX(CAT_TIPO,MATCH($C1536,CAT_NOME,0)),"Sem categoria"))</f>
        <v/>
      </c>
      <c r="E1536" s="75">
        <f>IF($C1536="","",IFERROR(INDEX(CAT_GRUPO,MATCH($C1536,CAT_NOME,0)),"Sem categoria"))</f>
        <v/>
      </c>
      <c r="F1536" s="76" t="n"/>
      <c r="G1536" s="74" t="n"/>
      <c r="H1536" s="74" t="n"/>
      <c r="I1536" s="74" t="n"/>
      <c r="J1536" s="77" t="n"/>
      <c r="K1536" s="77" t="n"/>
      <c r="L1536" s="74" t="n"/>
      <c r="M1536" s="74" t="n"/>
      <c r="O1536" s="78">
        <f>IF($A1536="","",YEAR($A1536)*100+MONTH($A1536))</f>
        <v/>
      </c>
      <c r="P1536" s="79">
        <f>IF(OR($F1536="",$D1536=""),"",IF($D1536="Receita",$F1536,IF($D1536="Transferência",0,-$F1536)))</f>
        <v/>
      </c>
    </row>
    <row r="1537">
      <c r="A1537" s="73" t="n"/>
      <c r="B1537" s="74" t="n"/>
      <c r="C1537" s="74" t="n"/>
      <c r="D1537" s="75">
        <f>IF($C1537="","",IFERROR(INDEX(CAT_TIPO,MATCH($C1537,CAT_NOME,0)),"Sem categoria"))</f>
        <v/>
      </c>
      <c r="E1537" s="75">
        <f>IF($C1537="","",IFERROR(INDEX(CAT_GRUPO,MATCH($C1537,CAT_NOME,0)),"Sem categoria"))</f>
        <v/>
      </c>
      <c r="F1537" s="76" t="n"/>
      <c r="G1537" s="74" t="n"/>
      <c r="H1537" s="74" t="n"/>
      <c r="I1537" s="74" t="n"/>
      <c r="J1537" s="77" t="n"/>
      <c r="K1537" s="77" t="n"/>
      <c r="L1537" s="74" t="n"/>
      <c r="M1537" s="74" t="n"/>
      <c r="O1537" s="78">
        <f>IF($A1537="","",YEAR($A1537)*100+MONTH($A1537))</f>
        <v/>
      </c>
      <c r="P1537" s="79">
        <f>IF(OR($F1537="",$D1537=""),"",IF($D1537="Receita",$F1537,IF($D1537="Transferência",0,-$F1537)))</f>
        <v/>
      </c>
    </row>
    <row r="1538">
      <c r="A1538" s="73" t="n"/>
      <c r="B1538" s="74" t="n"/>
      <c r="C1538" s="74" t="n"/>
      <c r="D1538" s="75">
        <f>IF($C1538="","",IFERROR(INDEX(CAT_TIPO,MATCH($C1538,CAT_NOME,0)),"Sem categoria"))</f>
        <v/>
      </c>
      <c r="E1538" s="75">
        <f>IF($C1538="","",IFERROR(INDEX(CAT_GRUPO,MATCH($C1538,CAT_NOME,0)),"Sem categoria"))</f>
        <v/>
      </c>
      <c r="F1538" s="76" t="n"/>
      <c r="G1538" s="74" t="n"/>
      <c r="H1538" s="74" t="n"/>
      <c r="I1538" s="74" t="n"/>
      <c r="J1538" s="77" t="n"/>
      <c r="K1538" s="77" t="n"/>
      <c r="L1538" s="74" t="n"/>
      <c r="M1538" s="74" t="n"/>
      <c r="O1538" s="78">
        <f>IF($A1538="","",YEAR($A1538)*100+MONTH($A1538))</f>
        <v/>
      </c>
      <c r="P1538" s="79">
        <f>IF(OR($F1538="",$D1538=""),"",IF($D1538="Receita",$F1538,IF($D1538="Transferência",0,-$F1538)))</f>
        <v/>
      </c>
    </row>
    <row r="1539">
      <c r="A1539" s="73" t="n"/>
      <c r="B1539" s="74" t="n"/>
      <c r="C1539" s="74" t="n"/>
      <c r="D1539" s="75">
        <f>IF($C1539="","",IFERROR(INDEX(CAT_TIPO,MATCH($C1539,CAT_NOME,0)),"Sem categoria"))</f>
        <v/>
      </c>
      <c r="E1539" s="75">
        <f>IF($C1539="","",IFERROR(INDEX(CAT_GRUPO,MATCH($C1539,CAT_NOME,0)),"Sem categoria"))</f>
        <v/>
      </c>
      <c r="F1539" s="76" t="n"/>
      <c r="G1539" s="74" t="n"/>
      <c r="H1539" s="74" t="n"/>
      <c r="I1539" s="74" t="n"/>
      <c r="J1539" s="77" t="n"/>
      <c r="K1539" s="77" t="n"/>
      <c r="L1539" s="74" t="n"/>
      <c r="M1539" s="74" t="n"/>
      <c r="O1539" s="78">
        <f>IF($A1539="","",YEAR($A1539)*100+MONTH($A1539))</f>
        <v/>
      </c>
      <c r="P1539" s="79">
        <f>IF(OR($F1539="",$D1539=""),"",IF($D1539="Receita",$F1539,IF($D1539="Transferência",0,-$F1539)))</f>
        <v/>
      </c>
    </row>
    <row r="1540">
      <c r="A1540" s="73" t="n"/>
      <c r="B1540" s="74" t="n"/>
      <c r="C1540" s="74" t="n"/>
      <c r="D1540" s="75">
        <f>IF($C1540="","",IFERROR(INDEX(CAT_TIPO,MATCH($C1540,CAT_NOME,0)),"Sem categoria"))</f>
        <v/>
      </c>
      <c r="E1540" s="75">
        <f>IF($C1540="","",IFERROR(INDEX(CAT_GRUPO,MATCH($C1540,CAT_NOME,0)),"Sem categoria"))</f>
        <v/>
      </c>
      <c r="F1540" s="76" t="n"/>
      <c r="G1540" s="74" t="n"/>
      <c r="H1540" s="74" t="n"/>
      <c r="I1540" s="74" t="n"/>
      <c r="J1540" s="77" t="n"/>
      <c r="K1540" s="77" t="n"/>
      <c r="L1540" s="74" t="n"/>
      <c r="M1540" s="74" t="n"/>
      <c r="O1540" s="78">
        <f>IF($A1540="","",YEAR($A1540)*100+MONTH($A1540))</f>
        <v/>
      </c>
      <c r="P1540" s="79">
        <f>IF(OR($F1540="",$D1540=""),"",IF($D1540="Receita",$F1540,IF($D1540="Transferência",0,-$F1540)))</f>
        <v/>
      </c>
    </row>
    <row r="1541">
      <c r="A1541" s="73" t="n"/>
      <c r="B1541" s="74" t="n"/>
      <c r="C1541" s="74" t="n"/>
      <c r="D1541" s="75">
        <f>IF($C1541="","",IFERROR(INDEX(CAT_TIPO,MATCH($C1541,CAT_NOME,0)),"Sem categoria"))</f>
        <v/>
      </c>
      <c r="E1541" s="75">
        <f>IF($C1541="","",IFERROR(INDEX(CAT_GRUPO,MATCH($C1541,CAT_NOME,0)),"Sem categoria"))</f>
        <v/>
      </c>
      <c r="F1541" s="76" t="n"/>
      <c r="G1541" s="74" t="n"/>
      <c r="H1541" s="74" t="n"/>
      <c r="I1541" s="74" t="n"/>
      <c r="J1541" s="77" t="n"/>
      <c r="K1541" s="77" t="n"/>
      <c r="L1541" s="74" t="n"/>
      <c r="M1541" s="74" t="n"/>
      <c r="O1541" s="78">
        <f>IF($A1541="","",YEAR($A1541)*100+MONTH($A1541))</f>
        <v/>
      </c>
      <c r="P1541" s="79">
        <f>IF(OR($F1541="",$D1541=""),"",IF($D1541="Receita",$F1541,IF($D1541="Transferência",0,-$F1541)))</f>
        <v/>
      </c>
    </row>
    <row r="1542">
      <c r="A1542" s="73" t="n"/>
      <c r="B1542" s="74" t="n"/>
      <c r="C1542" s="74" t="n"/>
      <c r="D1542" s="75">
        <f>IF($C1542="","",IFERROR(INDEX(CAT_TIPO,MATCH($C1542,CAT_NOME,0)),"Sem categoria"))</f>
        <v/>
      </c>
      <c r="E1542" s="75">
        <f>IF($C1542="","",IFERROR(INDEX(CAT_GRUPO,MATCH($C1542,CAT_NOME,0)),"Sem categoria"))</f>
        <v/>
      </c>
      <c r="F1542" s="76" t="n"/>
      <c r="G1542" s="74" t="n"/>
      <c r="H1542" s="74" t="n"/>
      <c r="I1542" s="74" t="n"/>
      <c r="J1542" s="77" t="n"/>
      <c r="K1542" s="77" t="n"/>
      <c r="L1542" s="74" t="n"/>
      <c r="M1542" s="74" t="n"/>
      <c r="O1542" s="78">
        <f>IF($A1542="","",YEAR($A1542)*100+MONTH($A1542))</f>
        <v/>
      </c>
      <c r="P1542" s="79">
        <f>IF(OR($F1542="",$D1542=""),"",IF($D1542="Receita",$F1542,IF($D1542="Transferência",0,-$F1542)))</f>
        <v/>
      </c>
    </row>
    <row r="1543">
      <c r="A1543" s="73" t="n"/>
      <c r="B1543" s="74" t="n"/>
      <c r="C1543" s="74" t="n"/>
      <c r="D1543" s="75">
        <f>IF($C1543="","",IFERROR(INDEX(CAT_TIPO,MATCH($C1543,CAT_NOME,0)),"Sem categoria"))</f>
        <v/>
      </c>
      <c r="E1543" s="75">
        <f>IF($C1543="","",IFERROR(INDEX(CAT_GRUPO,MATCH($C1543,CAT_NOME,0)),"Sem categoria"))</f>
        <v/>
      </c>
      <c r="F1543" s="76" t="n"/>
      <c r="G1543" s="74" t="n"/>
      <c r="H1543" s="74" t="n"/>
      <c r="I1543" s="74" t="n"/>
      <c r="J1543" s="77" t="n"/>
      <c r="K1543" s="77" t="n"/>
      <c r="L1543" s="74" t="n"/>
      <c r="M1543" s="74" t="n"/>
      <c r="O1543" s="78">
        <f>IF($A1543="","",YEAR($A1543)*100+MONTH($A1543))</f>
        <v/>
      </c>
      <c r="P1543" s="79">
        <f>IF(OR($F1543="",$D1543=""),"",IF($D1543="Receita",$F1543,IF($D1543="Transferência",0,-$F1543)))</f>
        <v/>
      </c>
    </row>
    <row r="1544">
      <c r="A1544" s="73" t="n"/>
      <c r="B1544" s="74" t="n"/>
      <c r="C1544" s="74" t="n"/>
      <c r="D1544" s="75">
        <f>IF($C1544="","",IFERROR(INDEX(CAT_TIPO,MATCH($C1544,CAT_NOME,0)),"Sem categoria"))</f>
        <v/>
      </c>
      <c r="E1544" s="75">
        <f>IF($C1544="","",IFERROR(INDEX(CAT_GRUPO,MATCH($C1544,CAT_NOME,0)),"Sem categoria"))</f>
        <v/>
      </c>
      <c r="F1544" s="76" t="n"/>
      <c r="G1544" s="74" t="n"/>
      <c r="H1544" s="74" t="n"/>
      <c r="I1544" s="74" t="n"/>
      <c r="J1544" s="77" t="n"/>
      <c r="K1544" s="77" t="n"/>
      <c r="L1544" s="74" t="n"/>
      <c r="M1544" s="74" t="n"/>
      <c r="O1544" s="78">
        <f>IF($A1544="","",YEAR($A1544)*100+MONTH($A1544))</f>
        <v/>
      </c>
      <c r="P1544" s="79">
        <f>IF(OR($F1544="",$D1544=""),"",IF($D1544="Receita",$F1544,IF($D1544="Transferência",0,-$F1544)))</f>
        <v/>
      </c>
    </row>
    <row r="1545">
      <c r="A1545" s="73" t="n"/>
      <c r="B1545" s="74" t="n"/>
      <c r="C1545" s="74" t="n"/>
      <c r="D1545" s="75">
        <f>IF($C1545="","",IFERROR(INDEX(CAT_TIPO,MATCH($C1545,CAT_NOME,0)),"Sem categoria"))</f>
        <v/>
      </c>
      <c r="E1545" s="75">
        <f>IF($C1545="","",IFERROR(INDEX(CAT_GRUPO,MATCH($C1545,CAT_NOME,0)),"Sem categoria"))</f>
        <v/>
      </c>
      <c r="F1545" s="76" t="n"/>
      <c r="G1545" s="74" t="n"/>
      <c r="H1545" s="74" t="n"/>
      <c r="I1545" s="74" t="n"/>
      <c r="J1545" s="77" t="n"/>
      <c r="K1545" s="77" t="n"/>
      <c r="L1545" s="74" t="n"/>
      <c r="M1545" s="74" t="n"/>
      <c r="O1545" s="78">
        <f>IF($A1545="","",YEAR($A1545)*100+MONTH($A1545))</f>
        <v/>
      </c>
      <c r="P1545" s="79">
        <f>IF(OR($F1545="",$D1545=""),"",IF($D1545="Receita",$F1545,IF($D1545="Transferência",0,-$F1545)))</f>
        <v/>
      </c>
    </row>
    <row r="1546">
      <c r="A1546" s="73" t="n"/>
      <c r="B1546" s="74" t="n"/>
      <c r="C1546" s="74" t="n"/>
      <c r="D1546" s="75">
        <f>IF($C1546="","",IFERROR(INDEX(CAT_TIPO,MATCH($C1546,CAT_NOME,0)),"Sem categoria"))</f>
        <v/>
      </c>
      <c r="E1546" s="75">
        <f>IF($C1546="","",IFERROR(INDEX(CAT_GRUPO,MATCH($C1546,CAT_NOME,0)),"Sem categoria"))</f>
        <v/>
      </c>
      <c r="F1546" s="76" t="n"/>
      <c r="G1546" s="74" t="n"/>
      <c r="H1546" s="74" t="n"/>
      <c r="I1546" s="74" t="n"/>
      <c r="J1546" s="77" t="n"/>
      <c r="K1546" s="77" t="n"/>
      <c r="L1546" s="74" t="n"/>
      <c r="M1546" s="74" t="n"/>
      <c r="O1546" s="78">
        <f>IF($A1546="","",YEAR($A1546)*100+MONTH($A1546))</f>
        <v/>
      </c>
      <c r="P1546" s="79">
        <f>IF(OR($F1546="",$D1546=""),"",IF($D1546="Receita",$F1546,IF($D1546="Transferência",0,-$F1546)))</f>
        <v/>
      </c>
    </row>
    <row r="1547">
      <c r="A1547" s="73" t="n"/>
      <c r="B1547" s="74" t="n"/>
      <c r="C1547" s="74" t="n"/>
      <c r="D1547" s="75">
        <f>IF($C1547="","",IFERROR(INDEX(CAT_TIPO,MATCH($C1547,CAT_NOME,0)),"Sem categoria"))</f>
        <v/>
      </c>
      <c r="E1547" s="75">
        <f>IF($C1547="","",IFERROR(INDEX(CAT_GRUPO,MATCH($C1547,CAT_NOME,0)),"Sem categoria"))</f>
        <v/>
      </c>
      <c r="F1547" s="76" t="n"/>
      <c r="G1547" s="74" t="n"/>
      <c r="H1547" s="74" t="n"/>
      <c r="I1547" s="74" t="n"/>
      <c r="J1547" s="77" t="n"/>
      <c r="K1547" s="77" t="n"/>
      <c r="L1547" s="74" t="n"/>
      <c r="M1547" s="74" t="n"/>
      <c r="O1547" s="78">
        <f>IF($A1547="","",YEAR($A1547)*100+MONTH($A1547))</f>
        <v/>
      </c>
      <c r="P1547" s="79">
        <f>IF(OR($F1547="",$D1547=""),"",IF($D1547="Receita",$F1547,IF($D1547="Transferência",0,-$F1547)))</f>
        <v/>
      </c>
    </row>
    <row r="1548">
      <c r="A1548" s="73" t="n"/>
      <c r="B1548" s="74" t="n"/>
      <c r="C1548" s="74" t="n"/>
      <c r="D1548" s="75">
        <f>IF($C1548="","",IFERROR(INDEX(CAT_TIPO,MATCH($C1548,CAT_NOME,0)),"Sem categoria"))</f>
        <v/>
      </c>
      <c r="E1548" s="75">
        <f>IF($C1548="","",IFERROR(INDEX(CAT_GRUPO,MATCH($C1548,CAT_NOME,0)),"Sem categoria"))</f>
        <v/>
      </c>
      <c r="F1548" s="76" t="n"/>
      <c r="G1548" s="74" t="n"/>
      <c r="H1548" s="74" t="n"/>
      <c r="I1548" s="74" t="n"/>
      <c r="J1548" s="77" t="n"/>
      <c r="K1548" s="77" t="n"/>
      <c r="L1548" s="74" t="n"/>
      <c r="M1548" s="74" t="n"/>
      <c r="O1548" s="78">
        <f>IF($A1548="","",YEAR($A1548)*100+MONTH($A1548))</f>
        <v/>
      </c>
      <c r="P1548" s="79">
        <f>IF(OR($F1548="",$D1548=""),"",IF($D1548="Receita",$F1548,IF($D1548="Transferência",0,-$F1548)))</f>
        <v/>
      </c>
    </row>
    <row r="1549">
      <c r="A1549" s="73" t="n"/>
      <c r="B1549" s="74" t="n"/>
      <c r="C1549" s="74" t="n"/>
      <c r="D1549" s="75">
        <f>IF($C1549="","",IFERROR(INDEX(CAT_TIPO,MATCH($C1549,CAT_NOME,0)),"Sem categoria"))</f>
        <v/>
      </c>
      <c r="E1549" s="75">
        <f>IF($C1549="","",IFERROR(INDEX(CAT_GRUPO,MATCH($C1549,CAT_NOME,0)),"Sem categoria"))</f>
        <v/>
      </c>
      <c r="F1549" s="76" t="n"/>
      <c r="G1549" s="74" t="n"/>
      <c r="H1549" s="74" t="n"/>
      <c r="I1549" s="74" t="n"/>
      <c r="J1549" s="77" t="n"/>
      <c r="K1549" s="77" t="n"/>
      <c r="L1549" s="74" t="n"/>
      <c r="M1549" s="74" t="n"/>
      <c r="O1549" s="78">
        <f>IF($A1549="","",YEAR($A1549)*100+MONTH($A1549))</f>
        <v/>
      </c>
      <c r="P1549" s="79">
        <f>IF(OR($F1549="",$D1549=""),"",IF($D1549="Receita",$F1549,IF($D1549="Transferência",0,-$F1549)))</f>
        <v/>
      </c>
    </row>
    <row r="1550">
      <c r="A1550" s="73" t="n"/>
      <c r="B1550" s="74" t="n"/>
      <c r="C1550" s="74" t="n"/>
      <c r="D1550" s="75">
        <f>IF($C1550="","",IFERROR(INDEX(CAT_TIPO,MATCH($C1550,CAT_NOME,0)),"Sem categoria"))</f>
        <v/>
      </c>
      <c r="E1550" s="75">
        <f>IF($C1550="","",IFERROR(INDEX(CAT_GRUPO,MATCH($C1550,CAT_NOME,0)),"Sem categoria"))</f>
        <v/>
      </c>
      <c r="F1550" s="76" t="n"/>
      <c r="G1550" s="74" t="n"/>
      <c r="H1550" s="74" t="n"/>
      <c r="I1550" s="74" t="n"/>
      <c r="J1550" s="77" t="n"/>
      <c r="K1550" s="77" t="n"/>
      <c r="L1550" s="74" t="n"/>
      <c r="M1550" s="74" t="n"/>
      <c r="O1550" s="78">
        <f>IF($A1550="","",YEAR($A1550)*100+MONTH($A1550))</f>
        <v/>
      </c>
      <c r="P1550" s="79">
        <f>IF(OR($F1550="",$D1550=""),"",IF($D1550="Receita",$F1550,IF($D1550="Transferência",0,-$F1550)))</f>
        <v/>
      </c>
    </row>
    <row r="1551">
      <c r="A1551" s="73" t="n"/>
      <c r="B1551" s="74" t="n"/>
      <c r="C1551" s="74" t="n"/>
      <c r="D1551" s="75">
        <f>IF($C1551="","",IFERROR(INDEX(CAT_TIPO,MATCH($C1551,CAT_NOME,0)),"Sem categoria"))</f>
        <v/>
      </c>
      <c r="E1551" s="75">
        <f>IF($C1551="","",IFERROR(INDEX(CAT_GRUPO,MATCH($C1551,CAT_NOME,0)),"Sem categoria"))</f>
        <v/>
      </c>
      <c r="F1551" s="76" t="n"/>
      <c r="G1551" s="74" t="n"/>
      <c r="H1551" s="74" t="n"/>
      <c r="I1551" s="74" t="n"/>
      <c r="J1551" s="77" t="n"/>
      <c r="K1551" s="77" t="n"/>
      <c r="L1551" s="74" t="n"/>
      <c r="M1551" s="74" t="n"/>
      <c r="O1551" s="78">
        <f>IF($A1551="","",YEAR($A1551)*100+MONTH($A1551))</f>
        <v/>
      </c>
      <c r="P1551" s="79">
        <f>IF(OR($F1551="",$D1551=""),"",IF($D1551="Receita",$F1551,IF($D1551="Transferência",0,-$F1551)))</f>
        <v/>
      </c>
    </row>
    <row r="1552">
      <c r="A1552" s="73" t="n"/>
      <c r="B1552" s="74" t="n"/>
      <c r="C1552" s="74" t="n"/>
      <c r="D1552" s="75">
        <f>IF($C1552="","",IFERROR(INDEX(CAT_TIPO,MATCH($C1552,CAT_NOME,0)),"Sem categoria"))</f>
        <v/>
      </c>
      <c r="E1552" s="75">
        <f>IF($C1552="","",IFERROR(INDEX(CAT_GRUPO,MATCH($C1552,CAT_NOME,0)),"Sem categoria"))</f>
        <v/>
      </c>
      <c r="F1552" s="76" t="n"/>
      <c r="G1552" s="74" t="n"/>
      <c r="H1552" s="74" t="n"/>
      <c r="I1552" s="74" t="n"/>
      <c r="J1552" s="77" t="n"/>
      <c r="K1552" s="77" t="n"/>
      <c r="L1552" s="74" t="n"/>
      <c r="M1552" s="74" t="n"/>
      <c r="O1552" s="78">
        <f>IF($A1552="","",YEAR($A1552)*100+MONTH($A1552))</f>
        <v/>
      </c>
      <c r="P1552" s="79">
        <f>IF(OR($F1552="",$D1552=""),"",IF($D1552="Receita",$F1552,IF($D1552="Transferência",0,-$F1552)))</f>
        <v/>
      </c>
    </row>
    <row r="1553">
      <c r="A1553" s="73" t="n"/>
      <c r="B1553" s="74" t="n"/>
      <c r="C1553" s="74" t="n"/>
      <c r="D1553" s="75">
        <f>IF($C1553="","",IFERROR(INDEX(CAT_TIPO,MATCH($C1553,CAT_NOME,0)),"Sem categoria"))</f>
        <v/>
      </c>
      <c r="E1553" s="75">
        <f>IF($C1553="","",IFERROR(INDEX(CAT_GRUPO,MATCH($C1553,CAT_NOME,0)),"Sem categoria"))</f>
        <v/>
      </c>
      <c r="F1553" s="76" t="n"/>
      <c r="G1553" s="74" t="n"/>
      <c r="H1553" s="74" t="n"/>
      <c r="I1553" s="74" t="n"/>
      <c r="J1553" s="77" t="n"/>
      <c r="K1553" s="77" t="n"/>
      <c r="L1553" s="74" t="n"/>
      <c r="M1553" s="74" t="n"/>
      <c r="O1553" s="78">
        <f>IF($A1553="","",YEAR($A1553)*100+MONTH($A1553))</f>
        <v/>
      </c>
      <c r="P1553" s="79">
        <f>IF(OR($F1553="",$D1553=""),"",IF($D1553="Receita",$F1553,IF($D1553="Transferência",0,-$F1553)))</f>
        <v/>
      </c>
    </row>
    <row r="1554">
      <c r="A1554" s="73" t="n"/>
      <c r="B1554" s="74" t="n"/>
      <c r="C1554" s="74" t="n"/>
      <c r="D1554" s="75">
        <f>IF($C1554="","",IFERROR(INDEX(CAT_TIPO,MATCH($C1554,CAT_NOME,0)),"Sem categoria"))</f>
        <v/>
      </c>
      <c r="E1554" s="75">
        <f>IF($C1554="","",IFERROR(INDEX(CAT_GRUPO,MATCH($C1554,CAT_NOME,0)),"Sem categoria"))</f>
        <v/>
      </c>
      <c r="F1554" s="76" t="n"/>
      <c r="G1554" s="74" t="n"/>
      <c r="H1554" s="74" t="n"/>
      <c r="I1554" s="74" t="n"/>
      <c r="J1554" s="77" t="n"/>
      <c r="K1554" s="77" t="n"/>
      <c r="L1554" s="74" t="n"/>
      <c r="M1554" s="74" t="n"/>
      <c r="O1554" s="78">
        <f>IF($A1554="","",YEAR($A1554)*100+MONTH($A1554))</f>
        <v/>
      </c>
      <c r="P1554" s="79">
        <f>IF(OR($F1554="",$D1554=""),"",IF($D1554="Receita",$F1554,IF($D1554="Transferência",0,-$F1554)))</f>
        <v/>
      </c>
    </row>
    <row r="1555">
      <c r="A1555" s="73" t="n"/>
      <c r="B1555" s="74" t="n"/>
      <c r="C1555" s="74" t="n"/>
      <c r="D1555" s="75">
        <f>IF($C1555="","",IFERROR(INDEX(CAT_TIPO,MATCH($C1555,CAT_NOME,0)),"Sem categoria"))</f>
        <v/>
      </c>
      <c r="E1555" s="75">
        <f>IF($C1555="","",IFERROR(INDEX(CAT_GRUPO,MATCH($C1555,CAT_NOME,0)),"Sem categoria"))</f>
        <v/>
      </c>
      <c r="F1555" s="76" t="n"/>
      <c r="G1555" s="74" t="n"/>
      <c r="H1555" s="74" t="n"/>
      <c r="I1555" s="74" t="n"/>
      <c r="J1555" s="77" t="n"/>
      <c r="K1555" s="77" t="n"/>
      <c r="L1555" s="74" t="n"/>
      <c r="M1555" s="74" t="n"/>
      <c r="O1555" s="78">
        <f>IF($A1555="","",YEAR($A1555)*100+MONTH($A1555))</f>
        <v/>
      </c>
      <c r="P1555" s="79">
        <f>IF(OR($F1555="",$D1555=""),"",IF($D1555="Receita",$F1555,IF($D1555="Transferência",0,-$F1555)))</f>
        <v/>
      </c>
    </row>
    <row r="1556">
      <c r="A1556" s="73" t="n"/>
      <c r="B1556" s="74" t="n"/>
      <c r="C1556" s="74" t="n"/>
      <c r="D1556" s="75">
        <f>IF($C1556="","",IFERROR(INDEX(CAT_TIPO,MATCH($C1556,CAT_NOME,0)),"Sem categoria"))</f>
        <v/>
      </c>
      <c r="E1556" s="75">
        <f>IF($C1556="","",IFERROR(INDEX(CAT_GRUPO,MATCH($C1556,CAT_NOME,0)),"Sem categoria"))</f>
        <v/>
      </c>
      <c r="F1556" s="76" t="n"/>
      <c r="G1556" s="74" t="n"/>
      <c r="H1556" s="74" t="n"/>
      <c r="I1556" s="74" t="n"/>
      <c r="J1556" s="77" t="n"/>
      <c r="K1556" s="77" t="n"/>
      <c r="L1556" s="74" t="n"/>
      <c r="M1556" s="74" t="n"/>
      <c r="O1556" s="78">
        <f>IF($A1556="","",YEAR($A1556)*100+MONTH($A1556))</f>
        <v/>
      </c>
      <c r="P1556" s="79">
        <f>IF(OR($F1556="",$D1556=""),"",IF($D1556="Receita",$F1556,IF($D1556="Transferência",0,-$F1556)))</f>
        <v/>
      </c>
    </row>
    <row r="1557">
      <c r="A1557" s="73" t="n"/>
      <c r="B1557" s="74" t="n"/>
      <c r="C1557" s="74" t="n"/>
      <c r="D1557" s="75">
        <f>IF($C1557="","",IFERROR(INDEX(CAT_TIPO,MATCH($C1557,CAT_NOME,0)),"Sem categoria"))</f>
        <v/>
      </c>
      <c r="E1557" s="75">
        <f>IF($C1557="","",IFERROR(INDEX(CAT_GRUPO,MATCH($C1557,CAT_NOME,0)),"Sem categoria"))</f>
        <v/>
      </c>
      <c r="F1557" s="76" t="n"/>
      <c r="G1557" s="74" t="n"/>
      <c r="H1557" s="74" t="n"/>
      <c r="I1557" s="74" t="n"/>
      <c r="J1557" s="77" t="n"/>
      <c r="K1557" s="77" t="n"/>
      <c r="L1557" s="74" t="n"/>
      <c r="M1557" s="74" t="n"/>
      <c r="O1557" s="78">
        <f>IF($A1557="","",YEAR($A1557)*100+MONTH($A1557))</f>
        <v/>
      </c>
      <c r="P1557" s="79">
        <f>IF(OR($F1557="",$D1557=""),"",IF($D1557="Receita",$F1557,IF($D1557="Transferência",0,-$F1557)))</f>
        <v/>
      </c>
    </row>
    <row r="1558">
      <c r="A1558" s="73" t="n"/>
      <c r="B1558" s="74" t="n"/>
      <c r="C1558" s="74" t="n"/>
      <c r="D1558" s="75">
        <f>IF($C1558="","",IFERROR(INDEX(CAT_TIPO,MATCH($C1558,CAT_NOME,0)),"Sem categoria"))</f>
        <v/>
      </c>
      <c r="E1558" s="75">
        <f>IF($C1558="","",IFERROR(INDEX(CAT_GRUPO,MATCH($C1558,CAT_NOME,0)),"Sem categoria"))</f>
        <v/>
      </c>
      <c r="F1558" s="76" t="n"/>
      <c r="G1558" s="74" t="n"/>
      <c r="H1558" s="74" t="n"/>
      <c r="I1558" s="74" t="n"/>
      <c r="J1558" s="77" t="n"/>
      <c r="K1558" s="77" t="n"/>
      <c r="L1558" s="74" t="n"/>
      <c r="M1558" s="74" t="n"/>
      <c r="O1558" s="78">
        <f>IF($A1558="","",YEAR($A1558)*100+MONTH($A1558))</f>
        <v/>
      </c>
      <c r="P1558" s="79">
        <f>IF(OR($F1558="",$D1558=""),"",IF($D1558="Receita",$F1558,IF($D1558="Transferência",0,-$F1558)))</f>
        <v/>
      </c>
    </row>
    <row r="1559">
      <c r="A1559" s="73" t="n"/>
      <c r="B1559" s="74" t="n"/>
      <c r="C1559" s="74" t="n"/>
      <c r="D1559" s="75">
        <f>IF($C1559="","",IFERROR(INDEX(CAT_TIPO,MATCH($C1559,CAT_NOME,0)),"Sem categoria"))</f>
        <v/>
      </c>
      <c r="E1559" s="75">
        <f>IF($C1559="","",IFERROR(INDEX(CAT_GRUPO,MATCH($C1559,CAT_NOME,0)),"Sem categoria"))</f>
        <v/>
      </c>
      <c r="F1559" s="76" t="n"/>
      <c r="G1559" s="74" t="n"/>
      <c r="H1559" s="74" t="n"/>
      <c r="I1559" s="74" t="n"/>
      <c r="J1559" s="77" t="n"/>
      <c r="K1559" s="77" t="n"/>
      <c r="L1559" s="74" t="n"/>
      <c r="M1559" s="74" t="n"/>
      <c r="O1559" s="78">
        <f>IF($A1559="","",YEAR($A1559)*100+MONTH($A1559))</f>
        <v/>
      </c>
      <c r="P1559" s="79">
        <f>IF(OR($F1559="",$D1559=""),"",IF($D1559="Receita",$F1559,IF($D1559="Transferência",0,-$F1559)))</f>
        <v/>
      </c>
    </row>
    <row r="1560">
      <c r="A1560" s="73" t="n"/>
      <c r="B1560" s="74" t="n"/>
      <c r="C1560" s="74" t="n"/>
      <c r="D1560" s="75">
        <f>IF($C1560="","",IFERROR(INDEX(CAT_TIPO,MATCH($C1560,CAT_NOME,0)),"Sem categoria"))</f>
        <v/>
      </c>
      <c r="E1560" s="75">
        <f>IF($C1560="","",IFERROR(INDEX(CAT_GRUPO,MATCH($C1560,CAT_NOME,0)),"Sem categoria"))</f>
        <v/>
      </c>
      <c r="F1560" s="76" t="n"/>
      <c r="G1560" s="74" t="n"/>
      <c r="H1560" s="74" t="n"/>
      <c r="I1560" s="74" t="n"/>
      <c r="J1560" s="77" t="n"/>
      <c r="K1560" s="77" t="n"/>
      <c r="L1560" s="74" t="n"/>
      <c r="M1560" s="74" t="n"/>
      <c r="O1560" s="78">
        <f>IF($A1560="","",YEAR($A1560)*100+MONTH($A1560))</f>
        <v/>
      </c>
      <c r="P1560" s="79">
        <f>IF(OR($F1560="",$D1560=""),"",IF($D1560="Receita",$F1560,IF($D1560="Transferência",0,-$F1560)))</f>
        <v/>
      </c>
    </row>
    <row r="1561">
      <c r="A1561" s="73" t="n"/>
      <c r="B1561" s="74" t="n"/>
      <c r="C1561" s="74" t="n"/>
      <c r="D1561" s="75">
        <f>IF($C1561="","",IFERROR(INDEX(CAT_TIPO,MATCH($C1561,CAT_NOME,0)),"Sem categoria"))</f>
        <v/>
      </c>
      <c r="E1561" s="75">
        <f>IF($C1561="","",IFERROR(INDEX(CAT_GRUPO,MATCH($C1561,CAT_NOME,0)),"Sem categoria"))</f>
        <v/>
      </c>
      <c r="F1561" s="76" t="n"/>
      <c r="G1561" s="74" t="n"/>
      <c r="H1561" s="74" t="n"/>
      <c r="I1561" s="74" t="n"/>
      <c r="J1561" s="77" t="n"/>
      <c r="K1561" s="77" t="n"/>
      <c r="L1561" s="74" t="n"/>
      <c r="M1561" s="74" t="n"/>
      <c r="O1561" s="78">
        <f>IF($A1561="","",YEAR($A1561)*100+MONTH($A1561))</f>
        <v/>
      </c>
      <c r="P1561" s="79">
        <f>IF(OR($F1561="",$D1561=""),"",IF($D1561="Receita",$F1561,IF($D1561="Transferência",0,-$F1561)))</f>
        <v/>
      </c>
    </row>
    <row r="1562">
      <c r="A1562" s="73" t="n"/>
      <c r="B1562" s="74" t="n"/>
      <c r="C1562" s="74" t="n"/>
      <c r="D1562" s="75">
        <f>IF($C1562="","",IFERROR(INDEX(CAT_TIPO,MATCH($C1562,CAT_NOME,0)),"Sem categoria"))</f>
        <v/>
      </c>
      <c r="E1562" s="75">
        <f>IF($C1562="","",IFERROR(INDEX(CAT_GRUPO,MATCH($C1562,CAT_NOME,0)),"Sem categoria"))</f>
        <v/>
      </c>
      <c r="F1562" s="76" t="n"/>
      <c r="G1562" s="74" t="n"/>
      <c r="H1562" s="74" t="n"/>
      <c r="I1562" s="74" t="n"/>
      <c r="J1562" s="77" t="n"/>
      <c r="K1562" s="77" t="n"/>
      <c r="L1562" s="74" t="n"/>
      <c r="M1562" s="74" t="n"/>
      <c r="O1562" s="78">
        <f>IF($A1562="","",YEAR($A1562)*100+MONTH($A1562))</f>
        <v/>
      </c>
      <c r="P1562" s="79">
        <f>IF(OR($F1562="",$D1562=""),"",IF($D1562="Receita",$F1562,IF($D1562="Transferência",0,-$F1562)))</f>
        <v/>
      </c>
    </row>
    <row r="1563">
      <c r="A1563" s="73" t="n"/>
      <c r="B1563" s="74" t="n"/>
      <c r="C1563" s="74" t="n"/>
      <c r="D1563" s="75">
        <f>IF($C1563="","",IFERROR(INDEX(CAT_TIPO,MATCH($C1563,CAT_NOME,0)),"Sem categoria"))</f>
        <v/>
      </c>
      <c r="E1563" s="75">
        <f>IF($C1563="","",IFERROR(INDEX(CAT_GRUPO,MATCH($C1563,CAT_NOME,0)),"Sem categoria"))</f>
        <v/>
      </c>
      <c r="F1563" s="76" t="n"/>
      <c r="G1563" s="74" t="n"/>
      <c r="H1563" s="74" t="n"/>
      <c r="I1563" s="74" t="n"/>
      <c r="J1563" s="77" t="n"/>
      <c r="K1563" s="77" t="n"/>
      <c r="L1563" s="74" t="n"/>
      <c r="M1563" s="74" t="n"/>
      <c r="O1563" s="78">
        <f>IF($A1563="","",YEAR($A1563)*100+MONTH($A1563))</f>
        <v/>
      </c>
      <c r="P1563" s="79">
        <f>IF(OR($F1563="",$D1563=""),"",IF($D1563="Receita",$F1563,IF($D1563="Transferência",0,-$F1563)))</f>
        <v/>
      </c>
    </row>
    <row r="1564">
      <c r="A1564" s="73" t="n"/>
      <c r="B1564" s="74" t="n"/>
      <c r="C1564" s="74" t="n"/>
      <c r="D1564" s="75">
        <f>IF($C1564="","",IFERROR(INDEX(CAT_TIPO,MATCH($C1564,CAT_NOME,0)),"Sem categoria"))</f>
        <v/>
      </c>
      <c r="E1564" s="75">
        <f>IF($C1564="","",IFERROR(INDEX(CAT_GRUPO,MATCH($C1564,CAT_NOME,0)),"Sem categoria"))</f>
        <v/>
      </c>
      <c r="F1564" s="76" t="n"/>
      <c r="G1564" s="74" t="n"/>
      <c r="H1564" s="74" t="n"/>
      <c r="I1564" s="74" t="n"/>
      <c r="J1564" s="77" t="n"/>
      <c r="K1564" s="77" t="n"/>
      <c r="L1564" s="74" t="n"/>
      <c r="M1564" s="74" t="n"/>
      <c r="O1564" s="78">
        <f>IF($A1564="","",YEAR($A1564)*100+MONTH($A1564))</f>
        <v/>
      </c>
      <c r="P1564" s="79">
        <f>IF(OR($F1564="",$D1564=""),"",IF($D1564="Receita",$F1564,IF($D1564="Transferência",0,-$F1564)))</f>
        <v/>
      </c>
    </row>
    <row r="1565">
      <c r="A1565" s="73" t="n"/>
      <c r="B1565" s="74" t="n"/>
      <c r="C1565" s="74" t="n"/>
      <c r="D1565" s="75">
        <f>IF($C1565="","",IFERROR(INDEX(CAT_TIPO,MATCH($C1565,CAT_NOME,0)),"Sem categoria"))</f>
        <v/>
      </c>
      <c r="E1565" s="75">
        <f>IF($C1565="","",IFERROR(INDEX(CAT_GRUPO,MATCH($C1565,CAT_NOME,0)),"Sem categoria"))</f>
        <v/>
      </c>
      <c r="F1565" s="76" t="n"/>
      <c r="G1565" s="74" t="n"/>
      <c r="H1565" s="74" t="n"/>
      <c r="I1565" s="74" t="n"/>
      <c r="J1565" s="77" t="n"/>
      <c r="K1565" s="77" t="n"/>
      <c r="L1565" s="74" t="n"/>
      <c r="M1565" s="74" t="n"/>
      <c r="O1565" s="78">
        <f>IF($A1565="","",YEAR($A1565)*100+MONTH($A1565))</f>
        <v/>
      </c>
      <c r="P1565" s="79">
        <f>IF(OR($F1565="",$D1565=""),"",IF($D1565="Receita",$F1565,IF($D1565="Transferência",0,-$F1565)))</f>
        <v/>
      </c>
    </row>
    <row r="1566">
      <c r="A1566" s="73" t="n"/>
      <c r="B1566" s="74" t="n"/>
      <c r="C1566" s="74" t="n"/>
      <c r="D1566" s="75">
        <f>IF($C1566="","",IFERROR(INDEX(CAT_TIPO,MATCH($C1566,CAT_NOME,0)),"Sem categoria"))</f>
        <v/>
      </c>
      <c r="E1566" s="75">
        <f>IF($C1566="","",IFERROR(INDEX(CAT_GRUPO,MATCH($C1566,CAT_NOME,0)),"Sem categoria"))</f>
        <v/>
      </c>
      <c r="F1566" s="76" t="n"/>
      <c r="G1566" s="74" t="n"/>
      <c r="H1566" s="74" t="n"/>
      <c r="I1566" s="74" t="n"/>
      <c r="J1566" s="77" t="n"/>
      <c r="K1566" s="77" t="n"/>
      <c r="L1566" s="74" t="n"/>
      <c r="M1566" s="74" t="n"/>
      <c r="O1566" s="78">
        <f>IF($A1566="","",YEAR($A1566)*100+MONTH($A1566))</f>
        <v/>
      </c>
      <c r="P1566" s="79">
        <f>IF(OR($F1566="",$D1566=""),"",IF($D1566="Receita",$F1566,IF($D1566="Transferência",0,-$F1566)))</f>
        <v/>
      </c>
    </row>
    <row r="1567">
      <c r="A1567" s="73" t="n"/>
      <c r="B1567" s="74" t="n"/>
      <c r="C1567" s="74" t="n"/>
      <c r="D1567" s="75">
        <f>IF($C1567="","",IFERROR(INDEX(CAT_TIPO,MATCH($C1567,CAT_NOME,0)),"Sem categoria"))</f>
        <v/>
      </c>
      <c r="E1567" s="75">
        <f>IF($C1567="","",IFERROR(INDEX(CAT_GRUPO,MATCH($C1567,CAT_NOME,0)),"Sem categoria"))</f>
        <v/>
      </c>
      <c r="F1567" s="76" t="n"/>
      <c r="G1567" s="74" t="n"/>
      <c r="H1567" s="74" t="n"/>
      <c r="I1567" s="74" t="n"/>
      <c r="J1567" s="77" t="n"/>
      <c r="K1567" s="77" t="n"/>
      <c r="L1567" s="74" t="n"/>
      <c r="M1567" s="74" t="n"/>
      <c r="O1567" s="78">
        <f>IF($A1567="","",YEAR($A1567)*100+MONTH($A1567))</f>
        <v/>
      </c>
      <c r="P1567" s="79">
        <f>IF(OR($F1567="",$D1567=""),"",IF($D1567="Receita",$F1567,IF($D1567="Transferência",0,-$F1567)))</f>
        <v/>
      </c>
    </row>
    <row r="1568">
      <c r="A1568" s="73" t="n"/>
      <c r="B1568" s="74" t="n"/>
      <c r="C1568" s="74" t="n"/>
      <c r="D1568" s="75">
        <f>IF($C1568="","",IFERROR(INDEX(CAT_TIPO,MATCH($C1568,CAT_NOME,0)),"Sem categoria"))</f>
        <v/>
      </c>
      <c r="E1568" s="75">
        <f>IF($C1568="","",IFERROR(INDEX(CAT_GRUPO,MATCH($C1568,CAT_NOME,0)),"Sem categoria"))</f>
        <v/>
      </c>
      <c r="F1568" s="76" t="n"/>
      <c r="G1568" s="74" t="n"/>
      <c r="H1568" s="74" t="n"/>
      <c r="I1568" s="74" t="n"/>
      <c r="J1568" s="77" t="n"/>
      <c r="K1568" s="77" t="n"/>
      <c r="L1568" s="74" t="n"/>
      <c r="M1568" s="74" t="n"/>
      <c r="O1568" s="78">
        <f>IF($A1568="","",YEAR($A1568)*100+MONTH($A1568))</f>
        <v/>
      </c>
      <c r="P1568" s="79">
        <f>IF(OR($F1568="",$D1568=""),"",IF($D1568="Receita",$F1568,IF($D1568="Transferência",0,-$F1568)))</f>
        <v/>
      </c>
    </row>
    <row r="1569">
      <c r="A1569" s="73" t="n"/>
      <c r="B1569" s="74" t="n"/>
      <c r="C1569" s="74" t="n"/>
      <c r="D1569" s="75">
        <f>IF($C1569="","",IFERROR(INDEX(CAT_TIPO,MATCH($C1569,CAT_NOME,0)),"Sem categoria"))</f>
        <v/>
      </c>
      <c r="E1569" s="75">
        <f>IF($C1569="","",IFERROR(INDEX(CAT_GRUPO,MATCH($C1569,CAT_NOME,0)),"Sem categoria"))</f>
        <v/>
      </c>
      <c r="F1569" s="76" t="n"/>
      <c r="G1569" s="74" t="n"/>
      <c r="H1569" s="74" t="n"/>
      <c r="I1569" s="74" t="n"/>
      <c r="J1569" s="77" t="n"/>
      <c r="K1569" s="77" t="n"/>
      <c r="L1569" s="74" t="n"/>
      <c r="M1569" s="74" t="n"/>
      <c r="O1569" s="78">
        <f>IF($A1569="","",YEAR($A1569)*100+MONTH($A1569))</f>
        <v/>
      </c>
      <c r="P1569" s="79">
        <f>IF(OR($F1569="",$D1569=""),"",IF($D1569="Receita",$F1569,IF($D1569="Transferência",0,-$F1569)))</f>
        <v/>
      </c>
    </row>
    <row r="1570">
      <c r="A1570" s="73" t="n"/>
      <c r="B1570" s="74" t="n"/>
      <c r="C1570" s="74" t="n"/>
      <c r="D1570" s="75">
        <f>IF($C1570="","",IFERROR(INDEX(CAT_TIPO,MATCH($C1570,CAT_NOME,0)),"Sem categoria"))</f>
        <v/>
      </c>
      <c r="E1570" s="75">
        <f>IF($C1570="","",IFERROR(INDEX(CAT_GRUPO,MATCH($C1570,CAT_NOME,0)),"Sem categoria"))</f>
        <v/>
      </c>
      <c r="F1570" s="76" t="n"/>
      <c r="G1570" s="74" t="n"/>
      <c r="H1570" s="74" t="n"/>
      <c r="I1570" s="74" t="n"/>
      <c r="J1570" s="77" t="n"/>
      <c r="K1570" s="77" t="n"/>
      <c r="L1570" s="74" t="n"/>
      <c r="M1570" s="74" t="n"/>
      <c r="O1570" s="78">
        <f>IF($A1570="","",YEAR($A1570)*100+MONTH($A1570))</f>
        <v/>
      </c>
      <c r="P1570" s="79">
        <f>IF(OR($F1570="",$D1570=""),"",IF($D1570="Receita",$F1570,IF($D1570="Transferência",0,-$F1570)))</f>
        <v/>
      </c>
    </row>
    <row r="1571">
      <c r="A1571" s="73" t="n"/>
      <c r="B1571" s="74" t="n"/>
      <c r="C1571" s="74" t="n"/>
      <c r="D1571" s="75">
        <f>IF($C1571="","",IFERROR(INDEX(CAT_TIPO,MATCH($C1571,CAT_NOME,0)),"Sem categoria"))</f>
        <v/>
      </c>
      <c r="E1571" s="75">
        <f>IF($C1571="","",IFERROR(INDEX(CAT_GRUPO,MATCH($C1571,CAT_NOME,0)),"Sem categoria"))</f>
        <v/>
      </c>
      <c r="F1571" s="76" t="n"/>
      <c r="G1571" s="74" t="n"/>
      <c r="H1571" s="74" t="n"/>
      <c r="I1571" s="74" t="n"/>
      <c r="J1571" s="77" t="n"/>
      <c r="K1571" s="77" t="n"/>
      <c r="L1571" s="74" t="n"/>
      <c r="M1571" s="74" t="n"/>
      <c r="O1571" s="78">
        <f>IF($A1571="","",YEAR($A1571)*100+MONTH($A1571))</f>
        <v/>
      </c>
      <c r="P1571" s="79">
        <f>IF(OR($F1571="",$D1571=""),"",IF($D1571="Receita",$F1571,IF($D1571="Transferência",0,-$F1571)))</f>
        <v/>
      </c>
    </row>
    <row r="1572">
      <c r="A1572" s="73" t="n"/>
      <c r="B1572" s="74" t="n"/>
      <c r="C1572" s="74" t="n"/>
      <c r="D1572" s="75">
        <f>IF($C1572="","",IFERROR(INDEX(CAT_TIPO,MATCH($C1572,CAT_NOME,0)),"Sem categoria"))</f>
        <v/>
      </c>
      <c r="E1572" s="75">
        <f>IF($C1572="","",IFERROR(INDEX(CAT_GRUPO,MATCH($C1572,CAT_NOME,0)),"Sem categoria"))</f>
        <v/>
      </c>
      <c r="F1572" s="76" t="n"/>
      <c r="G1572" s="74" t="n"/>
      <c r="H1572" s="74" t="n"/>
      <c r="I1572" s="74" t="n"/>
      <c r="J1572" s="77" t="n"/>
      <c r="K1572" s="77" t="n"/>
      <c r="L1572" s="74" t="n"/>
      <c r="M1572" s="74" t="n"/>
      <c r="O1572" s="78">
        <f>IF($A1572="","",YEAR($A1572)*100+MONTH($A1572))</f>
        <v/>
      </c>
      <c r="P1572" s="79">
        <f>IF(OR($F1572="",$D1572=""),"",IF($D1572="Receita",$F1572,IF($D1572="Transferência",0,-$F1572)))</f>
        <v/>
      </c>
    </row>
    <row r="1573">
      <c r="A1573" s="73" t="n"/>
      <c r="B1573" s="74" t="n"/>
      <c r="C1573" s="74" t="n"/>
      <c r="D1573" s="75">
        <f>IF($C1573="","",IFERROR(INDEX(CAT_TIPO,MATCH($C1573,CAT_NOME,0)),"Sem categoria"))</f>
        <v/>
      </c>
      <c r="E1573" s="75">
        <f>IF($C1573="","",IFERROR(INDEX(CAT_GRUPO,MATCH($C1573,CAT_NOME,0)),"Sem categoria"))</f>
        <v/>
      </c>
      <c r="F1573" s="76" t="n"/>
      <c r="G1573" s="74" t="n"/>
      <c r="H1573" s="74" t="n"/>
      <c r="I1573" s="74" t="n"/>
      <c r="J1573" s="77" t="n"/>
      <c r="K1573" s="77" t="n"/>
      <c r="L1573" s="74" t="n"/>
      <c r="M1573" s="74" t="n"/>
      <c r="O1573" s="78">
        <f>IF($A1573="","",YEAR($A1573)*100+MONTH($A1573))</f>
        <v/>
      </c>
      <c r="P1573" s="79">
        <f>IF(OR($F1573="",$D1573=""),"",IF($D1573="Receita",$F1573,IF($D1573="Transferência",0,-$F1573)))</f>
        <v/>
      </c>
    </row>
    <row r="1574">
      <c r="A1574" s="73" t="n"/>
      <c r="B1574" s="74" t="n"/>
      <c r="C1574" s="74" t="n"/>
      <c r="D1574" s="75">
        <f>IF($C1574="","",IFERROR(INDEX(CAT_TIPO,MATCH($C1574,CAT_NOME,0)),"Sem categoria"))</f>
        <v/>
      </c>
      <c r="E1574" s="75">
        <f>IF($C1574="","",IFERROR(INDEX(CAT_GRUPO,MATCH($C1574,CAT_NOME,0)),"Sem categoria"))</f>
        <v/>
      </c>
      <c r="F1574" s="76" t="n"/>
      <c r="G1574" s="74" t="n"/>
      <c r="H1574" s="74" t="n"/>
      <c r="I1574" s="74" t="n"/>
      <c r="J1574" s="77" t="n"/>
      <c r="K1574" s="77" t="n"/>
      <c r="L1574" s="74" t="n"/>
      <c r="M1574" s="74" t="n"/>
      <c r="O1574" s="78">
        <f>IF($A1574="","",YEAR($A1574)*100+MONTH($A1574))</f>
        <v/>
      </c>
      <c r="P1574" s="79">
        <f>IF(OR($F1574="",$D1574=""),"",IF($D1574="Receita",$F1574,IF($D1574="Transferência",0,-$F1574)))</f>
        <v/>
      </c>
    </row>
    <row r="1575">
      <c r="A1575" s="73" t="n"/>
      <c r="B1575" s="74" t="n"/>
      <c r="C1575" s="74" t="n"/>
      <c r="D1575" s="75">
        <f>IF($C1575="","",IFERROR(INDEX(CAT_TIPO,MATCH($C1575,CAT_NOME,0)),"Sem categoria"))</f>
        <v/>
      </c>
      <c r="E1575" s="75">
        <f>IF($C1575="","",IFERROR(INDEX(CAT_GRUPO,MATCH($C1575,CAT_NOME,0)),"Sem categoria"))</f>
        <v/>
      </c>
      <c r="F1575" s="76" t="n"/>
      <c r="G1575" s="74" t="n"/>
      <c r="H1575" s="74" t="n"/>
      <c r="I1575" s="74" t="n"/>
      <c r="J1575" s="77" t="n"/>
      <c r="K1575" s="77" t="n"/>
      <c r="L1575" s="74" t="n"/>
      <c r="M1575" s="74" t="n"/>
      <c r="O1575" s="78">
        <f>IF($A1575="","",YEAR($A1575)*100+MONTH($A1575))</f>
        <v/>
      </c>
      <c r="P1575" s="79">
        <f>IF(OR($F1575="",$D1575=""),"",IF($D1575="Receita",$F1575,IF($D1575="Transferência",0,-$F1575)))</f>
        <v/>
      </c>
    </row>
    <row r="1576">
      <c r="A1576" s="73" t="n"/>
      <c r="B1576" s="74" t="n"/>
      <c r="C1576" s="74" t="n"/>
      <c r="D1576" s="75">
        <f>IF($C1576="","",IFERROR(INDEX(CAT_TIPO,MATCH($C1576,CAT_NOME,0)),"Sem categoria"))</f>
        <v/>
      </c>
      <c r="E1576" s="75">
        <f>IF($C1576="","",IFERROR(INDEX(CAT_GRUPO,MATCH($C1576,CAT_NOME,0)),"Sem categoria"))</f>
        <v/>
      </c>
      <c r="F1576" s="76" t="n"/>
      <c r="G1576" s="74" t="n"/>
      <c r="H1576" s="74" t="n"/>
      <c r="I1576" s="74" t="n"/>
      <c r="J1576" s="77" t="n"/>
      <c r="K1576" s="77" t="n"/>
      <c r="L1576" s="74" t="n"/>
      <c r="M1576" s="74" t="n"/>
      <c r="O1576" s="78">
        <f>IF($A1576="","",YEAR($A1576)*100+MONTH($A1576))</f>
        <v/>
      </c>
      <c r="P1576" s="79">
        <f>IF(OR($F1576="",$D1576=""),"",IF($D1576="Receita",$F1576,IF($D1576="Transferência",0,-$F1576)))</f>
        <v/>
      </c>
    </row>
    <row r="1577">
      <c r="A1577" s="73" t="n"/>
      <c r="B1577" s="74" t="n"/>
      <c r="C1577" s="74" t="n"/>
      <c r="D1577" s="75">
        <f>IF($C1577="","",IFERROR(INDEX(CAT_TIPO,MATCH($C1577,CAT_NOME,0)),"Sem categoria"))</f>
        <v/>
      </c>
      <c r="E1577" s="75">
        <f>IF($C1577="","",IFERROR(INDEX(CAT_GRUPO,MATCH($C1577,CAT_NOME,0)),"Sem categoria"))</f>
        <v/>
      </c>
      <c r="F1577" s="76" t="n"/>
      <c r="G1577" s="74" t="n"/>
      <c r="H1577" s="74" t="n"/>
      <c r="I1577" s="74" t="n"/>
      <c r="J1577" s="77" t="n"/>
      <c r="K1577" s="77" t="n"/>
      <c r="L1577" s="74" t="n"/>
      <c r="M1577" s="74" t="n"/>
      <c r="O1577" s="78">
        <f>IF($A1577="","",YEAR($A1577)*100+MONTH($A1577))</f>
        <v/>
      </c>
      <c r="P1577" s="79">
        <f>IF(OR($F1577="",$D1577=""),"",IF($D1577="Receita",$F1577,IF($D1577="Transferência",0,-$F1577)))</f>
        <v/>
      </c>
    </row>
    <row r="1578">
      <c r="A1578" s="73" t="n"/>
      <c r="B1578" s="74" t="n"/>
      <c r="C1578" s="74" t="n"/>
      <c r="D1578" s="75">
        <f>IF($C1578="","",IFERROR(INDEX(CAT_TIPO,MATCH($C1578,CAT_NOME,0)),"Sem categoria"))</f>
        <v/>
      </c>
      <c r="E1578" s="75">
        <f>IF($C1578="","",IFERROR(INDEX(CAT_GRUPO,MATCH($C1578,CAT_NOME,0)),"Sem categoria"))</f>
        <v/>
      </c>
      <c r="F1578" s="76" t="n"/>
      <c r="G1578" s="74" t="n"/>
      <c r="H1578" s="74" t="n"/>
      <c r="I1578" s="74" t="n"/>
      <c r="J1578" s="77" t="n"/>
      <c r="K1578" s="77" t="n"/>
      <c r="L1578" s="74" t="n"/>
      <c r="M1578" s="74" t="n"/>
      <c r="O1578" s="78">
        <f>IF($A1578="","",YEAR($A1578)*100+MONTH($A1578))</f>
        <v/>
      </c>
      <c r="P1578" s="79">
        <f>IF(OR($F1578="",$D1578=""),"",IF($D1578="Receita",$F1578,IF($D1578="Transferência",0,-$F1578)))</f>
        <v/>
      </c>
    </row>
    <row r="1579">
      <c r="A1579" s="73" t="n"/>
      <c r="B1579" s="74" t="n"/>
      <c r="C1579" s="74" t="n"/>
      <c r="D1579" s="75">
        <f>IF($C1579="","",IFERROR(INDEX(CAT_TIPO,MATCH($C1579,CAT_NOME,0)),"Sem categoria"))</f>
        <v/>
      </c>
      <c r="E1579" s="75">
        <f>IF($C1579="","",IFERROR(INDEX(CAT_GRUPO,MATCH($C1579,CAT_NOME,0)),"Sem categoria"))</f>
        <v/>
      </c>
      <c r="F1579" s="76" t="n"/>
      <c r="G1579" s="74" t="n"/>
      <c r="H1579" s="74" t="n"/>
      <c r="I1579" s="74" t="n"/>
      <c r="J1579" s="77" t="n"/>
      <c r="K1579" s="77" t="n"/>
      <c r="L1579" s="74" t="n"/>
      <c r="M1579" s="74" t="n"/>
      <c r="O1579" s="78">
        <f>IF($A1579="","",YEAR($A1579)*100+MONTH($A1579))</f>
        <v/>
      </c>
      <c r="P1579" s="79">
        <f>IF(OR($F1579="",$D1579=""),"",IF($D1579="Receita",$F1579,IF($D1579="Transferência",0,-$F1579)))</f>
        <v/>
      </c>
    </row>
    <row r="1580">
      <c r="A1580" s="73" t="n"/>
      <c r="B1580" s="74" t="n"/>
      <c r="C1580" s="74" t="n"/>
      <c r="D1580" s="75">
        <f>IF($C1580="","",IFERROR(INDEX(CAT_TIPO,MATCH($C1580,CAT_NOME,0)),"Sem categoria"))</f>
        <v/>
      </c>
      <c r="E1580" s="75">
        <f>IF($C1580="","",IFERROR(INDEX(CAT_GRUPO,MATCH($C1580,CAT_NOME,0)),"Sem categoria"))</f>
        <v/>
      </c>
      <c r="F1580" s="76" t="n"/>
      <c r="G1580" s="74" t="n"/>
      <c r="H1580" s="74" t="n"/>
      <c r="I1580" s="74" t="n"/>
      <c r="J1580" s="77" t="n"/>
      <c r="K1580" s="77" t="n"/>
      <c r="L1580" s="74" t="n"/>
      <c r="M1580" s="74" t="n"/>
      <c r="O1580" s="78">
        <f>IF($A1580="","",YEAR($A1580)*100+MONTH($A1580))</f>
        <v/>
      </c>
      <c r="P1580" s="79">
        <f>IF(OR($F1580="",$D1580=""),"",IF($D1580="Receita",$F1580,IF($D1580="Transferência",0,-$F1580)))</f>
        <v/>
      </c>
    </row>
    <row r="1581">
      <c r="A1581" s="73" t="n"/>
      <c r="B1581" s="74" t="n"/>
      <c r="C1581" s="74" t="n"/>
      <c r="D1581" s="75">
        <f>IF($C1581="","",IFERROR(INDEX(CAT_TIPO,MATCH($C1581,CAT_NOME,0)),"Sem categoria"))</f>
        <v/>
      </c>
      <c r="E1581" s="75">
        <f>IF($C1581="","",IFERROR(INDEX(CAT_GRUPO,MATCH($C1581,CAT_NOME,0)),"Sem categoria"))</f>
        <v/>
      </c>
      <c r="F1581" s="76" t="n"/>
      <c r="G1581" s="74" t="n"/>
      <c r="H1581" s="74" t="n"/>
      <c r="I1581" s="74" t="n"/>
      <c r="J1581" s="77" t="n"/>
      <c r="K1581" s="77" t="n"/>
      <c r="L1581" s="74" t="n"/>
      <c r="M1581" s="74" t="n"/>
      <c r="O1581" s="78">
        <f>IF($A1581="","",YEAR($A1581)*100+MONTH($A1581))</f>
        <v/>
      </c>
      <c r="P1581" s="79">
        <f>IF(OR($F1581="",$D1581=""),"",IF($D1581="Receita",$F1581,IF($D1581="Transferência",0,-$F1581)))</f>
        <v/>
      </c>
    </row>
    <row r="1582">
      <c r="A1582" s="73" t="n"/>
      <c r="B1582" s="74" t="n"/>
      <c r="C1582" s="74" t="n"/>
      <c r="D1582" s="75">
        <f>IF($C1582="","",IFERROR(INDEX(CAT_TIPO,MATCH($C1582,CAT_NOME,0)),"Sem categoria"))</f>
        <v/>
      </c>
      <c r="E1582" s="75">
        <f>IF($C1582="","",IFERROR(INDEX(CAT_GRUPO,MATCH($C1582,CAT_NOME,0)),"Sem categoria"))</f>
        <v/>
      </c>
      <c r="F1582" s="76" t="n"/>
      <c r="G1582" s="74" t="n"/>
      <c r="H1582" s="74" t="n"/>
      <c r="I1582" s="74" t="n"/>
      <c r="J1582" s="77" t="n"/>
      <c r="K1582" s="77" t="n"/>
      <c r="L1582" s="74" t="n"/>
      <c r="M1582" s="74" t="n"/>
      <c r="O1582" s="78">
        <f>IF($A1582="","",YEAR($A1582)*100+MONTH($A1582))</f>
        <v/>
      </c>
      <c r="P1582" s="79">
        <f>IF(OR($F1582="",$D1582=""),"",IF($D1582="Receita",$F1582,IF($D1582="Transferência",0,-$F1582)))</f>
        <v/>
      </c>
    </row>
    <row r="1583">
      <c r="A1583" s="73" t="n"/>
      <c r="B1583" s="74" t="n"/>
      <c r="C1583" s="74" t="n"/>
      <c r="D1583" s="75">
        <f>IF($C1583="","",IFERROR(INDEX(CAT_TIPO,MATCH($C1583,CAT_NOME,0)),"Sem categoria"))</f>
        <v/>
      </c>
      <c r="E1583" s="75">
        <f>IF($C1583="","",IFERROR(INDEX(CAT_GRUPO,MATCH($C1583,CAT_NOME,0)),"Sem categoria"))</f>
        <v/>
      </c>
      <c r="F1583" s="76" t="n"/>
      <c r="G1583" s="74" t="n"/>
      <c r="H1583" s="74" t="n"/>
      <c r="I1583" s="74" t="n"/>
      <c r="J1583" s="77" t="n"/>
      <c r="K1583" s="77" t="n"/>
      <c r="L1583" s="74" t="n"/>
      <c r="M1583" s="74" t="n"/>
      <c r="O1583" s="78">
        <f>IF($A1583="","",YEAR($A1583)*100+MONTH($A1583))</f>
        <v/>
      </c>
      <c r="P1583" s="79">
        <f>IF(OR($F1583="",$D1583=""),"",IF($D1583="Receita",$F1583,IF($D1583="Transferência",0,-$F1583)))</f>
        <v/>
      </c>
    </row>
    <row r="1584">
      <c r="A1584" s="73" t="n"/>
      <c r="B1584" s="74" t="n"/>
      <c r="C1584" s="74" t="n"/>
      <c r="D1584" s="75">
        <f>IF($C1584="","",IFERROR(INDEX(CAT_TIPO,MATCH($C1584,CAT_NOME,0)),"Sem categoria"))</f>
        <v/>
      </c>
      <c r="E1584" s="75">
        <f>IF($C1584="","",IFERROR(INDEX(CAT_GRUPO,MATCH($C1584,CAT_NOME,0)),"Sem categoria"))</f>
        <v/>
      </c>
      <c r="F1584" s="76" t="n"/>
      <c r="G1584" s="74" t="n"/>
      <c r="H1584" s="74" t="n"/>
      <c r="I1584" s="74" t="n"/>
      <c r="J1584" s="77" t="n"/>
      <c r="K1584" s="77" t="n"/>
      <c r="L1584" s="74" t="n"/>
      <c r="M1584" s="74" t="n"/>
      <c r="O1584" s="78">
        <f>IF($A1584="","",YEAR($A1584)*100+MONTH($A1584))</f>
        <v/>
      </c>
      <c r="P1584" s="79">
        <f>IF(OR($F1584="",$D1584=""),"",IF($D1584="Receita",$F1584,IF($D1584="Transferência",0,-$F1584)))</f>
        <v/>
      </c>
    </row>
    <row r="1585">
      <c r="A1585" s="73" t="n"/>
      <c r="B1585" s="74" t="n"/>
      <c r="C1585" s="74" t="n"/>
      <c r="D1585" s="75">
        <f>IF($C1585="","",IFERROR(INDEX(CAT_TIPO,MATCH($C1585,CAT_NOME,0)),"Sem categoria"))</f>
        <v/>
      </c>
      <c r="E1585" s="75">
        <f>IF($C1585="","",IFERROR(INDEX(CAT_GRUPO,MATCH($C1585,CAT_NOME,0)),"Sem categoria"))</f>
        <v/>
      </c>
      <c r="F1585" s="76" t="n"/>
      <c r="G1585" s="74" t="n"/>
      <c r="H1585" s="74" t="n"/>
      <c r="I1585" s="74" t="n"/>
      <c r="J1585" s="77" t="n"/>
      <c r="K1585" s="77" t="n"/>
      <c r="L1585" s="74" t="n"/>
      <c r="M1585" s="74" t="n"/>
      <c r="O1585" s="78">
        <f>IF($A1585="","",YEAR($A1585)*100+MONTH($A1585))</f>
        <v/>
      </c>
      <c r="P1585" s="79">
        <f>IF(OR($F1585="",$D1585=""),"",IF($D1585="Receita",$F1585,IF($D1585="Transferência",0,-$F1585)))</f>
        <v/>
      </c>
    </row>
    <row r="1586">
      <c r="A1586" s="73" t="n"/>
      <c r="B1586" s="74" t="n"/>
      <c r="C1586" s="74" t="n"/>
      <c r="D1586" s="75">
        <f>IF($C1586="","",IFERROR(INDEX(CAT_TIPO,MATCH($C1586,CAT_NOME,0)),"Sem categoria"))</f>
        <v/>
      </c>
      <c r="E1586" s="75">
        <f>IF($C1586="","",IFERROR(INDEX(CAT_GRUPO,MATCH($C1586,CAT_NOME,0)),"Sem categoria"))</f>
        <v/>
      </c>
      <c r="F1586" s="76" t="n"/>
      <c r="G1586" s="74" t="n"/>
      <c r="H1586" s="74" t="n"/>
      <c r="I1586" s="74" t="n"/>
      <c r="J1586" s="77" t="n"/>
      <c r="K1586" s="77" t="n"/>
      <c r="L1586" s="74" t="n"/>
      <c r="M1586" s="74" t="n"/>
      <c r="O1586" s="78">
        <f>IF($A1586="","",YEAR($A1586)*100+MONTH($A1586))</f>
        <v/>
      </c>
      <c r="P1586" s="79">
        <f>IF(OR($F1586="",$D1586=""),"",IF($D1586="Receita",$F1586,IF($D1586="Transferência",0,-$F1586)))</f>
        <v/>
      </c>
    </row>
    <row r="1587">
      <c r="A1587" s="73" t="n"/>
      <c r="B1587" s="74" t="n"/>
      <c r="C1587" s="74" t="n"/>
      <c r="D1587" s="75">
        <f>IF($C1587="","",IFERROR(INDEX(CAT_TIPO,MATCH($C1587,CAT_NOME,0)),"Sem categoria"))</f>
        <v/>
      </c>
      <c r="E1587" s="75">
        <f>IF($C1587="","",IFERROR(INDEX(CAT_GRUPO,MATCH($C1587,CAT_NOME,0)),"Sem categoria"))</f>
        <v/>
      </c>
      <c r="F1587" s="76" t="n"/>
      <c r="G1587" s="74" t="n"/>
      <c r="H1587" s="74" t="n"/>
      <c r="I1587" s="74" t="n"/>
      <c r="J1587" s="77" t="n"/>
      <c r="K1587" s="77" t="n"/>
      <c r="L1587" s="74" t="n"/>
      <c r="M1587" s="74" t="n"/>
      <c r="O1587" s="78">
        <f>IF($A1587="","",YEAR($A1587)*100+MONTH($A1587))</f>
        <v/>
      </c>
      <c r="P1587" s="79">
        <f>IF(OR($F1587="",$D1587=""),"",IF($D1587="Receita",$F1587,IF($D1587="Transferência",0,-$F1587)))</f>
        <v/>
      </c>
    </row>
    <row r="1588">
      <c r="A1588" s="73" t="n"/>
      <c r="B1588" s="74" t="n"/>
      <c r="C1588" s="74" t="n"/>
      <c r="D1588" s="75">
        <f>IF($C1588="","",IFERROR(INDEX(CAT_TIPO,MATCH($C1588,CAT_NOME,0)),"Sem categoria"))</f>
        <v/>
      </c>
      <c r="E1588" s="75">
        <f>IF($C1588="","",IFERROR(INDEX(CAT_GRUPO,MATCH($C1588,CAT_NOME,0)),"Sem categoria"))</f>
        <v/>
      </c>
      <c r="F1588" s="76" t="n"/>
      <c r="G1588" s="74" t="n"/>
      <c r="H1588" s="74" t="n"/>
      <c r="I1588" s="74" t="n"/>
      <c r="J1588" s="77" t="n"/>
      <c r="K1588" s="77" t="n"/>
      <c r="L1588" s="74" t="n"/>
      <c r="M1588" s="74" t="n"/>
      <c r="O1588" s="78">
        <f>IF($A1588="","",YEAR($A1588)*100+MONTH($A1588))</f>
        <v/>
      </c>
      <c r="P1588" s="79">
        <f>IF(OR($F1588="",$D1588=""),"",IF($D1588="Receita",$F1588,IF($D1588="Transferência",0,-$F1588)))</f>
        <v/>
      </c>
    </row>
    <row r="1589">
      <c r="A1589" s="73" t="n"/>
      <c r="B1589" s="74" t="n"/>
      <c r="C1589" s="74" t="n"/>
      <c r="D1589" s="75">
        <f>IF($C1589="","",IFERROR(INDEX(CAT_TIPO,MATCH($C1589,CAT_NOME,0)),"Sem categoria"))</f>
        <v/>
      </c>
      <c r="E1589" s="75">
        <f>IF($C1589="","",IFERROR(INDEX(CAT_GRUPO,MATCH($C1589,CAT_NOME,0)),"Sem categoria"))</f>
        <v/>
      </c>
      <c r="F1589" s="76" t="n"/>
      <c r="G1589" s="74" t="n"/>
      <c r="H1589" s="74" t="n"/>
      <c r="I1589" s="74" t="n"/>
      <c r="J1589" s="77" t="n"/>
      <c r="K1589" s="77" t="n"/>
      <c r="L1589" s="74" t="n"/>
      <c r="M1589" s="74" t="n"/>
      <c r="O1589" s="78">
        <f>IF($A1589="","",YEAR($A1589)*100+MONTH($A1589))</f>
        <v/>
      </c>
      <c r="P1589" s="79">
        <f>IF(OR($F1589="",$D1589=""),"",IF($D1589="Receita",$F1589,IF($D1589="Transferência",0,-$F1589)))</f>
        <v/>
      </c>
    </row>
    <row r="1590">
      <c r="A1590" s="73" t="n"/>
      <c r="B1590" s="74" t="n"/>
      <c r="C1590" s="74" t="n"/>
      <c r="D1590" s="75">
        <f>IF($C1590="","",IFERROR(INDEX(CAT_TIPO,MATCH($C1590,CAT_NOME,0)),"Sem categoria"))</f>
        <v/>
      </c>
      <c r="E1590" s="75">
        <f>IF($C1590="","",IFERROR(INDEX(CAT_GRUPO,MATCH($C1590,CAT_NOME,0)),"Sem categoria"))</f>
        <v/>
      </c>
      <c r="F1590" s="76" t="n"/>
      <c r="G1590" s="74" t="n"/>
      <c r="H1590" s="74" t="n"/>
      <c r="I1590" s="74" t="n"/>
      <c r="J1590" s="77" t="n"/>
      <c r="K1590" s="77" t="n"/>
      <c r="L1590" s="74" t="n"/>
      <c r="M1590" s="74" t="n"/>
      <c r="O1590" s="78">
        <f>IF($A1590="","",YEAR($A1590)*100+MONTH($A1590))</f>
        <v/>
      </c>
      <c r="P1590" s="79">
        <f>IF(OR($F1590="",$D1590=""),"",IF($D1590="Receita",$F1590,IF($D1590="Transferência",0,-$F1590)))</f>
        <v/>
      </c>
    </row>
    <row r="1591">
      <c r="A1591" s="73" t="n"/>
      <c r="B1591" s="74" t="n"/>
      <c r="C1591" s="74" t="n"/>
      <c r="D1591" s="75">
        <f>IF($C1591="","",IFERROR(INDEX(CAT_TIPO,MATCH($C1591,CAT_NOME,0)),"Sem categoria"))</f>
        <v/>
      </c>
      <c r="E1591" s="75">
        <f>IF($C1591="","",IFERROR(INDEX(CAT_GRUPO,MATCH($C1591,CAT_NOME,0)),"Sem categoria"))</f>
        <v/>
      </c>
      <c r="F1591" s="76" t="n"/>
      <c r="G1591" s="74" t="n"/>
      <c r="H1591" s="74" t="n"/>
      <c r="I1591" s="74" t="n"/>
      <c r="J1591" s="77" t="n"/>
      <c r="K1591" s="77" t="n"/>
      <c r="L1591" s="74" t="n"/>
      <c r="M1591" s="74" t="n"/>
      <c r="O1591" s="78">
        <f>IF($A1591="","",YEAR($A1591)*100+MONTH($A1591))</f>
        <v/>
      </c>
      <c r="P1591" s="79">
        <f>IF(OR($F1591="",$D1591=""),"",IF($D1591="Receita",$F1591,IF($D1591="Transferência",0,-$F1591)))</f>
        <v/>
      </c>
    </row>
    <row r="1592">
      <c r="A1592" s="73" t="n"/>
      <c r="B1592" s="74" t="n"/>
      <c r="C1592" s="74" t="n"/>
      <c r="D1592" s="75">
        <f>IF($C1592="","",IFERROR(INDEX(CAT_TIPO,MATCH($C1592,CAT_NOME,0)),"Sem categoria"))</f>
        <v/>
      </c>
      <c r="E1592" s="75">
        <f>IF($C1592="","",IFERROR(INDEX(CAT_GRUPO,MATCH($C1592,CAT_NOME,0)),"Sem categoria"))</f>
        <v/>
      </c>
      <c r="F1592" s="76" t="n"/>
      <c r="G1592" s="74" t="n"/>
      <c r="H1592" s="74" t="n"/>
      <c r="I1592" s="74" t="n"/>
      <c r="J1592" s="77" t="n"/>
      <c r="K1592" s="77" t="n"/>
      <c r="L1592" s="74" t="n"/>
      <c r="M1592" s="74" t="n"/>
      <c r="O1592" s="78">
        <f>IF($A1592="","",YEAR($A1592)*100+MONTH($A1592))</f>
        <v/>
      </c>
      <c r="P1592" s="79">
        <f>IF(OR($F1592="",$D1592=""),"",IF($D1592="Receita",$F1592,IF($D1592="Transferência",0,-$F1592)))</f>
        <v/>
      </c>
    </row>
    <row r="1593">
      <c r="A1593" s="73" t="n"/>
      <c r="B1593" s="74" t="n"/>
      <c r="C1593" s="74" t="n"/>
      <c r="D1593" s="75">
        <f>IF($C1593="","",IFERROR(INDEX(CAT_TIPO,MATCH($C1593,CAT_NOME,0)),"Sem categoria"))</f>
        <v/>
      </c>
      <c r="E1593" s="75">
        <f>IF($C1593="","",IFERROR(INDEX(CAT_GRUPO,MATCH($C1593,CAT_NOME,0)),"Sem categoria"))</f>
        <v/>
      </c>
      <c r="F1593" s="76" t="n"/>
      <c r="G1593" s="74" t="n"/>
      <c r="H1593" s="74" t="n"/>
      <c r="I1593" s="74" t="n"/>
      <c r="J1593" s="77" t="n"/>
      <c r="K1593" s="77" t="n"/>
      <c r="L1593" s="74" t="n"/>
      <c r="M1593" s="74" t="n"/>
      <c r="O1593" s="78">
        <f>IF($A1593="","",YEAR($A1593)*100+MONTH($A1593))</f>
        <v/>
      </c>
      <c r="P1593" s="79">
        <f>IF(OR($F1593="",$D1593=""),"",IF($D1593="Receita",$F1593,IF($D1593="Transferência",0,-$F1593)))</f>
        <v/>
      </c>
    </row>
    <row r="1594">
      <c r="A1594" s="73" t="n"/>
      <c r="B1594" s="74" t="n"/>
      <c r="C1594" s="74" t="n"/>
      <c r="D1594" s="75">
        <f>IF($C1594="","",IFERROR(INDEX(CAT_TIPO,MATCH($C1594,CAT_NOME,0)),"Sem categoria"))</f>
        <v/>
      </c>
      <c r="E1594" s="75">
        <f>IF($C1594="","",IFERROR(INDEX(CAT_GRUPO,MATCH($C1594,CAT_NOME,0)),"Sem categoria"))</f>
        <v/>
      </c>
      <c r="F1594" s="76" t="n"/>
      <c r="G1594" s="74" t="n"/>
      <c r="H1594" s="74" t="n"/>
      <c r="I1594" s="74" t="n"/>
      <c r="J1594" s="77" t="n"/>
      <c r="K1594" s="77" t="n"/>
      <c r="L1594" s="74" t="n"/>
      <c r="M1594" s="74" t="n"/>
      <c r="O1594" s="78">
        <f>IF($A1594="","",YEAR($A1594)*100+MONTH($A1594))</f>
        <v/>
      </c>
      <c r="P1594" s="79">
        <f>IF(OR($F1594="",$D1594=""),"",IF($D1594="Receita",$F1594,IF($D1594="Transferência",0,-$F1594)))</f>
        <v/>
      </c>
    </row>
    <row r="1595">
      <c r="A1595" s="73" t="n"/>
      <c r="B1595" s="74" t="n"/>
      <c r="C1595" s="74" t="n"/>
      <c r="D1595" s="75">
        <f>IF($C1595="","",IFERROR(INDEX(CAT_TIPO,MATCH($C1595,CAT_NOME,0)),"Sem categoria"))</f>
        <v/>
      </c>
      <c r="E1595" s="75">
        <f>IF($C1595="","",IFERROR(INDEX(CAT_GRUPO,MATCH($C1595,CAT_NOME,0)),"Sem categoria"))</f>
        <v/>
      </c>
      <c r="F1595" s="76" t="n"/>
      <c r="G1595" s="74" t="n"/>
      <c r="H1595" s="74" t="n"/>
      <c r="I1595" s="74" t="n"/>
      <c r="J1595" s="77" t="n"/>
      <c r="K1595" s="77" t="n"/>
      <c r="L1595" s="74" t="n"/>
      <c r="M1595" s="74" t="n"/>
      <c r="O1595" s="78">
        <f>IF($A1595="","",YEAR($A1595)*100+MONTH($A1595))</f>
        <v/>
      </c>
      <c r="P1595" s="79">
        <f>IF(OR($F1595="",$D1595=""),"",IF($D1595="Receita",$F1595,IF($D1595="Transferência",0,-$F1595)))</f>
        <v/>
      </c>
    </row>
    <row r="1596">
      <c r="A1596" s="73" t="n"/>
      <c r="B1596" s="74" t="n"/>
      <c r="C1596" s="74" t="n"/>
      <c r="D1596" s="75">
        <f>IF($C1596="","",IFERROR(INDEX(CAT_TIPO,MATCH($C1596,CAT_NOME,0)),"Sem categoria"))</f>
        <v/>
      </c>
      <c r="E1596" s="75">
        <f>IF($C1596="","",IFERROR(INDEX(CAT_GRUPO,MATCH($C1596,CAT_NOME,0)),"Sem categoria"))</f>
        <v/>
      </c>
      <c r="F1596" s="76" t="n"/>
      <c r="G1596" s="74" t="n"/>
      <c r="H1596" s="74" t="n"/>
      <c r="I1596" s="74" t="n"/>
      <c r="J1596" s="77" t="n"/>
      <c r="K1596" s="77" t="n"/>
      <c r="L1596" s="74" t="n"/>
      <c r="M1596" s="74" t="n"/>
      <c r="O1596" s="78">
        <f>IF($A1596="","",YEAR($A1596)*100+MONTH($A1596))</f>
        <v/>
      </c>
      <c r="P1596" s="79">
        <f>IF(OR($F1596="",$D1596=""),"",IF($D1596="Receita",$F1596,IF($D1596="Transferência",0,-$F1596)))</f>
        <v/>
      </c>
    </row>
    <row r="1597">
      <c r="A1597" s="73" t="n"/>
      <c r="B1597" s="74" t="n"/>
      <c r="C1597" s="74" t="n"/>
      <c r="D1597" s="75">
        <f>IF($C1597="","",IFERROR(INDEX(CAT_TIPO,MATCH($C1597,CAT_NOME,0)),"Sem categoria"))</f>
        <v/>
      </c>
      <c r="E1597" s="75">
        <f>IF($C1597="","",IFERROR(INDEX(CAT_GRUPO,MATCH($C1597,CAT_NOME,0)),"Sem categoria"))</f>
        <v/>
      </c>
      <c r="F1597" s="76" t="n"/>
      <c r="G1597" s="74" t="n"/>
      <c r="H1597" s="74" t="n"/>
      <c r="I1597" s="74" t="n"/>
      <c r="J1597" s="77" t="n"/>
      <c r="K1597" s="77" t="n"/>
      <c r="L1597" s="74" t="n"/>
      <c r="M1597" s="74" t="n"/>
      <c r="O1597" s="78">
        <f>IF($A1597="","",YEAR($A1597)*100+MONTH($A1597))</f>
        <v/>
      </c>
      <c r="P1597" s="79">
        <f>IF(OR($F1597="",$D1597=""),"",IF($D1597="Receita",$F1597,IF($D1597="Transferência",0,-$F1597)))</f>
        <v/>
      </c>
    </row>
    <row r="1598">
      <c r="A1598" s="73" t="n"/>
      <c r="B1598" s="74" t="n"/>
      <c r="C1598" s="74" t="n"/>
      <c r="D1598" s="75">
        <f>IF($C1598="","",IFERROR(INDEX(CAT_TIPO,MATCH($C1598,CAT_NOME,0)),"Sem categoria"))</f>
        <v/>
      </c>
      <c r="E1598" s="75">
        <f>IF($C1598="","",IFERROR(INDEX(CAT_GRUPO,MATCH($C1598,CAT_NOME,0)),"Sem categoria"))</f>
        <v/>
      </c>
      <c r="F1598" s="76" t="n"/>
      <c r="G1598" s="74" t="n"/>
      <c r="H1598" s="74" t="n"/>
      <c r="I1598" s="74" t="n"/>
      <c r="J1598" s="77" t="n"/>
      <c r="K1598" s="77" t="n"/>
      <c r="L1598" s="74" t="n"/>
      <c r="M1598" s="74" t="n"/>
      <c r="O1598" s="78">
        <f>IF($A1598="","",YEAR($A1598)*100+MONTH($A1598))</f>
        <v/>
      </c>
      <c r="P1598" s="79">
        <f>IF(OR($F1598="",$D1598=""),"",IF($D1598="Receita",$F1598,IF($D1598="Transferência",0,-$F1598)))</f>
        <v/>
      </c>
    </row>
    <row r="1599">
      <c r="A1599" s="73" t="n"/>
      <c r="B1599" s="74" t="n"/>
      <c r="C1599" s="74" t="n"/>
      <c r="D1599" s="75">
        <f>IF($C1599="","",IFERROR(INDEX(CAT_TIPO,MATCH($C1599,CAT_NOME,0)),"Sem categoria"))</f>
        <v/>
      </c>
      <c r="E1599" s="75">
        <f>IF($C1599="","",IFERROR(INDEX(CAT_GRUPO,MATCH($C1599,CAT_NOME,0)),"Sem categoria"))</f>
        <v/>
      </c>
      <c r="F1599" s="76" t="n"/>
      <c r="G1599" s="74" t="n"/>
      <c r="H1599" s="74" t="n"/>
      <c r="I1599" s="74" t="n"/>
      <c r="J1599" s="77" t="n"/>
      <c r="K1599" s="77" t="n"/>
      <c r="L1599" s="74" t="n"/>
      <c r="M1599" s="74" t="n"/>
      <c r="O1599" s="78">
        <f>IF($A1599="","",YEAR($A1599)*100+MONTH($A1599))</f>
        <v/>
      </c>
      <c r="P1599" s="79">
        <f>IF(OR($F1599="",$D1599=""),"",IF($D1599="Receita",$F1599,IF($D1599="Transferência",0,-$F1599)))</f>
        <v/>
      </c>
    </row>
    <row r="1600">
      <c r="A1600" s="73" t="n"/>
      <c r="B1600" s="74" t="n"/>
      <c r="C1600" s="74" t="n"/>
      <c r="D1600" s="75">
        <f>IF($C1600="","",IFERROR(INDEX(CAT_TIPO,MATCH($C1600,CAT_NOME,0)),"Sem categoria"))</f>
        <v/>
      </c>
      <c r="E1600" s="75">
        <f>IF($C1600="","",IFERROR(INDEX(CAT_GRUPO,MATCH($C1600,CAT_NOME,0)),"Sem categoria"))</f>
        <v/>
      </c>
      <c r="F1600" s="76" t="n"/>
      <c r="G1600" s="74" t="n"/>
      <c r="H1600" s="74" t="n"/>
      <c r="I1600" s="74" t="n"/>
      <c r="J1600" s="77" t="n"/>
      <c r="K1600" s="77" t="n"/>
      <c r="L1600" s="74" t="n"/>
      <c r="M1600" s="74" t="n"/>
      <c r="O1600" s="78">
        <f>IF($A1600="","",YEAR($A1600)*100+MONTH($A1600))</f>
        <v/>
      </c>
      <c r="P1600" s="79">
        <f>IF(OR($F1600="",$D1600=""),"",IF($D1600="Receita",$F1600,IF($D1600="Transferência",0,-$F1600)))</f>
        <v/>
      </c>
    </row>
    <row r="1601">
      <c r="A1601" s="73" t="n"/>
      <c r="B1601" s="74" t="n"/>
      <c r="C1601" s="74" t="n"/>
      <c r="D1601" s="75">
        <f>IF($C1601="","",IFERROR(INDEX(CAT_TIPO,MATCH($C1601,CAT_NOME,0)),"Sem categoria"))</f>
        <v/>
      </c>
      <c r="E1601" s="75">
        <f>IF($C1601="","",IFERROR(INDEX(CAT_GRUPO,MATCH($C1601,CAT_NOME,0)),"Sem categoria"))</f>
        <v/>
      </c>
      <c r="F1601" s="76" t="n"/>
      <c r="G1601" s="74" t="n"/>
      <c r="H1601" s="74" t="n"/>
      <c r="I1601" s="74" t="n"/>
      <c r="J1601" s="77" t="n"/>
      <c r="K1601" s="77" t="n"/>
      <c r="L1601" s="74" t="n"/>
      <c r="M1601" s="74" t="n"/>
      <c r="O1601" s="78">
        <f>IF($A1601="","",YEAR($A1601)*100+MONTH($A1601))</f>
        <v/>
      </c>
      <c r="P1601" s="79">
        <f>IF(OR($F1601="",$D1601=""),"",IF($D1601="Receita",$F1601,IF($D1601="Transferência",0,-$F1601)))</f>
        <v/>
      </c>
    </row>
    <row r="1602">
      <c r="A1602" s="73" t="n"/>
      <c r="B1602" s="74" t="n"/>
      <c r="C1602" s="74" t="n"/>
      <c r="D1602" s="75">
        <f>IF($C1602="","",IFERROR(INDEX(CAT_TIPO,MATCH($C1602,CAT_NOME,0)),"Sem categoria"))</f>
        <v/>
      </c>
      <c r="E1602" s="75">
        <f>IF($C1602="","",IFERROR(INDEX(CAT_GRUPO,MATCH($C1602,CAT_NOME,0)),"Sem categoria"))</f>
        <v/>
      </c>
      <c r="F1602" s="76" t="n"/>
      <c r="G1602" s="74" t="n"/>
      <c r="H1602" s="74" t="n"/>
      <c r="I1602" s="74" t="n"/>
      <c r="J1602" s="77" t="n"/>
      <c r="K1602" s="77" t="n"/>
      <c r="L1602" s="74" t="n"/>
      <c r="M1602" s="74" t="n"/>
      <c r="O1602" s="78">
        <f>IF($A1602="","",YEAR($A1602)*100+MONTH($A1602))</f>
        <v/>
      </c>
      <c r="P1602" s="79">
        <f>IF(OR($F1602="",$D1602=""),"",IF($D1602="Receita",$F1602,IF($D1602="Transferência",0,-$F1602)))</f>
        <v/>
      </c>
    </row>
    <row r="1603">
      <c r="A1603" s="73" t="n"/>
      <c r="B1603" s="74" t="n"/>
      <c r="C1603" s="74" t="n"/>
      <c r="D1603" s="75">
        <f>IF($C1603="","",IFERROR(INDEX(CAT_TIPO,MATCH($C1603,CAT_NOME,0)),"Sem categoria"))</f>
        <v/>
      </c>
      <c r="E1603" s="75">
        <f>IF($C1603="","",IFERROR(INDEX(CAT_GRUPO,MATCH($C1603,CAT_NOME,0)),"Sem categoria"))</f>
        <v/>
      </c>
      <c r="F1603" s="76" t="n"/>
      <c r="G1603" s="74" t="n"/>
      <c r="H1603" s="74" t="n"/>
      <c r="I1603" s="74" t="n"/>
      <c r="J1603" s="77" t="n"/>
      <c r="K1603" s="77" t="n"/>
      <c r="L1603" s="74" t="n"/>
      <c r="M1603" s="74" t="n"/>
      <c r="O1603" s="78">
        <f>IF($A1603="","",YEAR($A1603)*100+MONTH($A1603))</f>
        <v/>
      </c>
      <c r="P1603" s="79">
        <f>IF(OR($F1603="",$D1603=""),"",IF($D1603="Receita",$F1603,IF($D1603="Transferência",0,-$F1603)))</f>
        <v/>
      </c>
    </row>
    <row r="1604">
      <c r="A1604" s="73" t="n"/>
      <c r="B1604" s="74" t="n"/>
      <c r="C1604" s="74" t="n"/>
      <c r="D1604" s="75">
        <f>IF($C1604="","",IFERROR(INDEX(CAT_TIPO,MATCH($C1604,CAT_NOME,0)),"Sem categoria"))</f>
        <v/>
      </c>
      <c r="E1604" s="75">
        <f>IF($C1604="","",IFERROR(INDEX(CAT_GRUPO,MATCH($C1604,CAT_NOME,0)),"Sem categoria"))</f>
        <v/>
      </c>
      <c r="F1604" s="76" t="n"/>
      <c r="G1604" s="74" t="n"/>
      <c r="H1604" s="74" t="n"/>
      <c r="I1604" s="74" t="n"/>
      <c r="J1604" s="77" t="n"/>
      <c r="K1604" s="77" t="n"/>
      <c r="L1604" s="74" t="n"/>
      <c r="M1604" s="74" t="n"/>
      <c r="O1604" s="78">
        <f>IF($A1604="","",YEAR($A1604)*100+MONTH($A1604))</f>
        <v/>
      </c>
      <c r="P1604" s="79">
        <f>IF(OR($F1604="",$D1604=""),"",IF($D1604="Receita",$F1604,IF($D1604="Transferência",0,-$F1604)))</f>
        <v/>
      </c>
    </row>
    <row r="1605">
      <c r="A1605" s="73" t="n"/>
      <c r="B1605" s="74" t="n"/>
      <c r="C1605" s="74" t="n"/>
      <c r="D1605" s="75">
        <f>IF($C1605="","",IFERROR(INDEX(CAT_TIPO,MATCH($C1605,CAT_NOME,0)),"Sem categoria"))</f>
        <v/>
      </c>
      <c r="E1605" s="75">
        <f>IF($C1605="","",IFERROR(INDEX(CAT_GRUPO,MATCH($C1605,CAT_NOME,0)),"Sem categoria"))</f>
        <v/>
      </c>
      <c r="F1605" s="76" t="n"/>
      <c r="G1605" s="74" t="n"/>
      <c r="H1605" s="74" t="n"/>
      <c r="I1605" s="74" t="n"/>
      <c r="J1605" s="77" t="n"/>
      <c r="K1605" s="77" t="n"/>
      <c r="L1605" s="74" t="n"/>
      <c r="M1605" s="74" t="n"/>
      <c r="O1605" s="78">
        <f>IF($A1605="","",YEAR($A1605)*100+MONTH($A1605))</f>
        <v/>
      </c>
      <c r="P1605" s="79">
        <f>IF(OR($F1605="",$D1605=""),"",IF($D1605="Receita",$F1605,IF($D1605="Transferência",0,-$F1605)))</f>
        <v/>
      </c>
    </row>
    <row r="1606">
      <c r="A1606" s="73" t="n"/>
      <c r="B1606" s="74" t="n"/>
      <c r="C1606" s="74" t="n"/>
      <c r="D1606" s="75">
        <f>IF($C1606="","",IFERROR(INDEX(CAT_TIPO,MATCH($C1606,CAT_NOME,0)),"Sem categoria"))</f>
        <v/>
      </c>
      <c r="E1606" s="75">
        <f>IF($C1606="","",IFERROR(INDEX(CAT_GRUPO,MATCH($C1606,CAT_NOME,0)),"Sem categoria"))</f>
        <v/>
      </c>
      <c r="F1606" s="76" t="n"/>
      <c r="G1606" s="74" t="n"/>
      <c r="H1606" s="74" t="n"/>
      <c r="I1606" s="74" t="n"/>
      <c r="J1606" s="77" t="n"/>
      <c r="K1606" s="77" t="n"/>
      <c r="L1606" s="74" t="n"/>
      <c r="M1606" s="74" t="n"/>
      <c r="O1606" s="78">
        <f>IF($A1606="","",YEAR($A1606)*100+MONTH($A1606))</f>
        <v/>
      </c>
      <c r="P1606" s="79">
        <f>IF(OR($F1606="",$D1606=""),"",IF($D1606="Receita",$F1606,IF($D1606="Transferência",0,-$F1606)))</f>
        <v/>
      </c>
    </row>
    <row r="1607">
      <c r="A1607" s="73" t="n"/>
      <c r="B1607" s="74" t="n"/>
      <c r="C1607" s="74" t="n"/>
      <c r="D1607" s="75">
        <f>IF($C1607="","",IFERROR(INDEX(CAT_TIPO,MATCH($C1607,CAT_NOME,0)),"Sem categoria"))</f>
        <v/>
      </c>
      <c r="E1607" s="75">
        <f>IF($C1607="","",IFERROR(INDEX(CAT_GRUPO,MATCH($C1607,CAT_NOME,0)),"Sem categoria"))</f>
        <v/>
      </c>
      <c r="F1607" s="76" t="n"/>
      <c r="G1607" s="74" t="n"/>
      <c r="H1607" s="74" t="n"/>
      <c r="I1607" s="74" t="n"/>
      <c r="J1607" s="77" t="n"/>
      <c r="K1607" s="77" t="n"/>
      <c r="L1607" s="74" t="n"/>
      <c r="M1607" s="74" t="n"/>
      <c r="O1607" s="78">
        <f>IF($A1607="","",YEAR($A1607)*100+MONTH($A1607))</f>
        <v/>
      </c>
      <c r="P1607" s="79">
        <f>IF(OR($F1607="",$D1607=""),"",IF($D1607="Receita",$F1607,IF($D1607="Transferência",0,-$F1607)))</f>
        <v/>
      </c>
    </row>
    <row r="1608">
      <c r="A1608" s="73" t="n"/>
      <c r="B1608" s="74" t="n"/>
      <c r="C1608" s="74" t="n"/>
      <c r="D1608" s="75">
        <f>IF($C1608="","",IFERROR(INDEX(CAT_TIPO,MATCH($C1608,CAT_NOME,0)),"Sem categoria"))</f>
        <v/>
      </c>
      <c r="E1608" s="75">
        <f>IF($C1608="","",IFERROR(INDEX(CAT_GRUPO,MATCH($C1608,CAT_NOME,0)),"Sem categoria"))</f>
        <v/>
      </c>
      <c r="F1608" s="76" t="n"/>
      <c r="G1608" s="74" t="n"/>
      <c r="H1608" s="74" t="n"/>
      <c r="I1608" s="74" t="n"/>
      <c r="J1608" s="77" t="n"/>
      <c r="K1608" s="77" t="n"/>
      <c r="L1608" s="74" t="n"/>
      <c r="M1608" s="74" t="n"/>
      <c r="O1608" s="78">
        <f>IF($A1608="","",YEAR($A1608)*100+MONTH($A1608))</f>
        <v/>
      </c>
      <c r="P1608" s="79">
        <f>IF(OR($F1608="",$D1608=""),"",IF($D1608="Receita",$F1608,IF($D1608="Transferência",0,-$F1608)))</f>
        <v/>
      </c>
    </row>
    <row r="1609">
      <c r="A1609" s="73" t="n"/>
      <c r="B1609" s="74" t="n"/>
      <c r="C1609" s="74" t="n"/>
      <c r="D1609" s="75">
        <f>IF($C1609="","",IFERROR(INDEX(CAT_TIPO,MATCH($C1609,CAT_NOME,0)),"Sem categoria"))</f>
        <v/>
      </c>
      <c r="E1609" s="75">
        <f>IF($C1609="","",IFERROR(INDEX(CAT_GRUPO,MATCH($C1609,CAT_NOME,0)),"Sem categoria"))</f>
        <v/>
      </c>
      <c r="F1609" s="76" t="n"/>
      <c r="G1609" s="74" t="n"/>
      <c r="H1609" s="74" t="n"/>
      <c r="I1609" s="74" t="n"/>
      <c r="J1609" s="77" t="n"/>
      <c r="K1609" s="77" t="n"/>
      <c r="L1609" s="74" t="n"/>
      <c r="M1609" s="74" t="n"/>
      <c r="O1609" s="78">
        <f>IF($A1609="","",YEAR($A1609)*100+MONTH($A1609))</f>
        <v/>
      </c>
      <c r="P1609" s="79">
        <f>IF(OR($F1609="",$D1609=""),"",IF($D1609="Receita",$F1609,IF($D1609="Transferência",0,-$F1609)))</f>
        <v/>
      </c>
    </row>
    <row r="1610">
      <c r="A1610" s="73" t="n"/>
      <c r="B1610" s="74" t="n"/>
      <c r="C1610" s="74" t="n"/>
      <c r="D1610" s="75">
        <f>IF($C1610="","",IFERROR(INDEX(CAT_TIPO,MATCH($C1610,CAT_NOME,0)),"Sem categoria"))</f>
        <v/>
      </c>
      <c r="E1610" s="75">
        <f>IF($C1610="","",IFERROR(INDEX(CAT_GRUPO,MATCH($C1610,CAT_NOME,0)),"Sem categoria"))</f>
        <v/>
      </c>
      <c r="F1610" s="76" t="n"/>
      <c r="G1610" s="74" t="n"/>
      <c r="H1610" s="74" t="n"/>
      <c r="I1610" s="74" t="n"/>
      <c r="J1610" s="77" t="n"/>
      <c r="K1610" s="77" t="n"/>
      <c r="L1610" s="74" t="n"/>
      <c r="M1610" s="74" t="n"/>
      <c r="O1610" s="78">
        <f>IF($A1610="","",YEAR($A1610)*100+MONTH($A1610))</f>
        <v/>
      </c>
      <c r="P1610" s="79">
        <f>IF(OR($F1610="",$D1610=""),"",IF($D1610="Receita",$F1610,IF($D1610="Transferência",0,-$F1610)))</f>
        <v/>
      </c>
    </row>
    <row r="1611">
      <c r="A1611" s="73" t="n"/>
      <c r="B1611" s="74" t="n"/>
      <c r="C1611" s="74" t="n"/>
      <c r="D1611" s="75">
        <f>IF($C1611="","",IFERROR(INDEX(CAT_TIPO,MATCH($C1611,CAT_NOME,0)),"Sem categoria"))</f>
        <v/>
      </c>
      <c r="E1611" s="75">
        <f>IF($C1611="","",IFERROR(INDEX(CAT_GRUPO,MATCH($C1611,CAT_NOME,0)),"Sem categoria"))</f>
        <v/>
      </c>
      <c r="F1611" s="76" t="n"/>
      <c r="G1611" s="74" t="n"/>
      <c r="H1611" s="74" t="n"/>
      <c r="I1611" s="74" t="n"/>
      <c r="J1611" s="77" t="n"/>
      <c r="K1611" s="77" t="n"/>
      <c r="L1611" s="74" t="n"/>
      <c r="M1611" s="74" t="n"/>
      <c r="O1611" s="78">
        <f>IF($A1611="","",YEAR($A1611)*100+MONTH($A1611))</f>
        <v/>
      </c>
      <c r="P1611" s="79">
        <f>IF(OR($F1611="",$D1611=""),"",IF($D1611="Receita",$F1611,IF($D1611="Transferência",0,-$F1611)))</f>
        <v/>
      </c>
    </row>
    <row r="1612">
      <c r="A1612" s="73" t="n"/>
      <c r="B1612" s="74" t="n"/>
      <c r="C1612" s="74" t="n"/>
      <c r="D1612" s="75">
        <f>IF($C1612="","",IFERROR(INDEX(CAT_TIPO,MATCH($C1612,CAT_NOME,0)),"Sem categoria"))</f>
        <v/>
      </c>
      <c r="E1612" s="75">
        <f>IF($C1612="","",IFERROR(INDEX(CAT_GRUPO,MATCH($C1612,CAT_NOME,0)),"Sem categoria"))</f>
        <v/>
      </c>
      <c r="F1612" s="76" t="n"/>
      <c r="G1612" s="74" t="n"/>
      <c r="H1612" s="74" t="n"/>
      <c r="I1612" s="74" t="n"/>
      <c r="J1612" s="77" t="n"/>
      <c r="K1612" s="77" t="n"/>
      <c r="L1612" s="74" t="n"/>
      <c r="M1612" s="74" t="n"/>
      <c r="O1612" s="78">
        <f>IF($A1612="","",YEAR($A1612)*100+MONTH($A1612))</f>
        <v/>
      </c>
      <c r="P1612" s="79">
        <f>IF(OR($F1612="",$D1612=""),"",IF($D1612="Receita",$F1612,IF($D1612="Transferência",0,-$F1612)))</f>
        <v/>
      </c>
    </row>
    <row r="1613">
      <c r="A1613" s="73" t="n"/>
      <c r="B1613" s="74" t="n"/>
      <c r="C1613" s="74" t="n"/>
      <c r="D1613" s="75">
        <f>IF($C1613="","",IFERROR(INDEX(CAT_TIPO,MATCH($C1613,CAT_NOME,0)),"Sem categoria"))</f>
        <v/>
      </c>
      <c r="E1613" s="75">
        <f>IF($C1613="","",IFERROR(INDEX(CAT_GRUPO,MATCH($C1613,CAT_NOME,0)),"Sem categoria"))</f>
        <v/>
      </c>
      <c r="F1613" s="76" t="n"/>
      <c r="G1613" s="74" t="n"/>
      <c r="H1613" s="74" t="n"/>
      <c r="I1613" s="74" t="n"/>
      <c r="J1613" s="77" t="n"/>
      <c r="K1613" s="77" t="n"/>
      <c r="L1613" s="74" t="n"/>
      <c r="M1613" s="74" t="n"/>
      <c r="O1613" s="78">
        <f>IF($A1613="","",YEAR($A1613)*100+MONTH($A1613))</f>
        <v/>
      </c>
      <c r="P1613" s="79">
        <f>IF(OR($F1613="",$D1613=""),"",IF($D1613="Receita",$F1613,IF($D1613="Transferência",0,-$F1613)))</f>
        <v/>
      </c>
    </row>
    <row r="1614">
      <c r="A1614" s="73" t="n"/>
      <c r="B1614" s="74" t="n"/>
      <c r="C1614" s="74" t="n"/>
      <c r="D1614" s="75">
        <f>IF($C1614="","",IFERROR(INDEX(CAT_TIPO,MATCH($C1614,CAT_NOME,0)),"Sem categoria"))</f>
        <v/>
      </c>
      <c r="E1614" s="75">
        <f>IF($C1614="","",IFERROR(INDEX(CAT_GRUPO,MATCH($C1614,CAT_NOME,0)),"Sem categoria"))</f>
        <v/>
      </c>
      <c r="F1614" s="76" t="n"/>
      <c r="G1614" s="74" t="n"/>
      <c r="H1614" s="74" t="n"/>
      <c r="I1614" s="74" t="n"/>
      <c r="J1614" s="77" t="n"/>
      <c r="K1614" s="77" t="n"/>
      <c r="L1614" s="74" t="n"/>
      <c r="M1614" s="74" t="n"/>
      <c r="O1614" s="78">
        <f>IF($A1614="","",YEAR($A1614)*100+MONTH($A1614))</f>
        <v/>
      </c>
      <c r="P1614" s="79">
        <f>IF(OR($F1614="",$D1614=""),"",IF($D1614="Receita",$F1614,IF($D1614="Transferência",0,-$F1614)))</f>
        <v/>
      </c>
    </row>
    <row r="1615">
      <c r="A1615" s="73" t="n"/>
      <c r="B1615" s="74" t="n"/>
      <c r="C1615" s="74" t="n"/>
      <c r="D1615" s="75">
        <f>IF($C1615="","",IFERROR(INDEX(CAT_TIPO,MATCH($C1615,CAT_NOME,0)),"Sem categoria"))</f>
        <v/>
      </c>
      <c r="E1615" s="75">
        <f>IF($C1615="","",IFERROR(INDEX(CAT_GRUPO,MATCH($C1615,CAT_NOME,0)),"Sem categoria"))</f>
        <v/>
      </c>
      <c r="F1615" s="76" t="n"/>
      <c r="G1615" s="74" t="n"/>
      <c r="H1615" s="74" t="n"/>
      <c r="I1615" s="74" t="n"/>
      <c r="J1615" s="77" t="n"/>
      <c r="K1615" s="77" t="n"/>
      <c r="L1615" s="74" t="n"/>
      <c r="M1615" s="74" t="n"/>
      <c r="O1615" s="78">
        <f>IF($A1615="","",YEAR($A1615)*100+MONTH($A1615))</f>
        <v/>
      </c>
      <c r="P1615" s="79">
        <f>IF(OR($F1615="",$D1615=""),"",IF($D1615="Receita",$F1615,IF($D1615="Transferência",0,-$F1615)))</f>
        <v/>
      </c>
    </row>
    <row r="1616">
      <c r="A1616" s="73" t="n"/>
      <c r="B1616" s="74" t="n"/>
      <c r="C1616" s="74" t="n"/>
      <c r="D1616" s="75">
        <f>IF($C1616="","",IFERROR(INDEX(CAT_TIPO,MATCH($C1616,CAT_NOME,0)),"Sem categoria"))</f>
        <v/>
      </c>
      <c r="E1616" s="75">
        <f>IF($C1616="","",IFERROR(INDEX(CAT_GRUPO,MATCH($C1616,CAT_NOME,0)),"Sem categoria"))</f>
        <v/>
      </c>
      <c r="F1616" s="76" t="n"/>
      <c r="G1616" s="74" t="n"/>
      <c r="H1616" s="74" t="n"/>
      <c r="I1616" s="74" t="n"/>
      <c r="J1616" s="77" t="n"/>
      <c r="K1616" s="77" t="n"/>
      <c r="L1616" s="74" t="n"/>
      <c r="M1616" s="74" t="n"/>
      <c r="O1616" s="78">
        <f>IF($A1616="","",YEAR($A1616)*100+MONTH($A1616))</f>
        <v/>
      </c>
      <c r="P1616" s="79">
        <f>IF(OR($F1616="",$D1616=""),"",IF($D1616="Receita",$F1616,IF($D1616="Transferência",0,-$F1616)))</f>
        <v/>
      </c>
    </row>
    <row r="1617">
      <c r="A1617" s="73" t="n"/>
      <c r="B1617" s="74" t="n"/>
      <c r="C1617" s="74" t="n"/>
      <c r="D1617" s="75">
        <f>IF($C1617="","",IFERROR(INDEX(CAT_TIPO,MATCH($C1617,CAT_NOME,0)),"Sem categoria"))</f>
        <v/>
      </c>
      <c r="E1617" s="75">
        <f>IF($C1617="","",IFERROR(INDEX(CAT_GRUPO,MATCH($C1617,CAT_NOME,0)),"Sem categoria"))</f>
        <v/>
      </c>
      <c r="F1617" s="76" t="n"/>
      <c r="G1617" s="74" t="n"/>
      <c r="H1617" s="74" t="n"/>
      <c r="I1617" s="74" t="n"/>
      <c r="J1617" s="77" t="n"/>
      <c r="K1617" s="77" t="n"/>
      <c r="L1617" s="74" t="n"/>
      <c r="M1617" s="74" t="n"/>
      <c r="O1617" s="78">
        <f>IF($A1617="","",YEAR($A1617)*100+MONTH($A1617))</f>
        <v/>
      </c>
      <c r="P1617" s="79">
        <f>IF(OR($F1617="",$D1617=""),"",IF($D1617="Receita",$F1617,IF($D1617="Transferência",0,-$F1617)))</f>
        <v/>
      </c>
    </row>
    <row r="1618">
      <c r="A1618" s="73" t="n"/>
      <c r="B1618" s="74" t="n"/>
      <c r="C1618" s="74" t="n"/>
      <c r="D1618" s="75">
        <f>IF($C1618="","",IFERROR(INDEX(CAT_TIPO,MATCH($C1618,CAT_NOME,0)),"Sem categoria"))</f>
        <v/>
      </c>
      <c r="E1618" s="75">
        <f>IF($C1618="","",IFERROR(INDEX(CAT_GRUPO,MATCH($C1618,CAT_NOME,0)),"Sem categoria"))</f>
        <v/>
      </c>
      <c r="F1618" s="76" t="n"/>
      <c r="G1618" s="74" t="n"/>
      <c r="H1618" s="74" t="n"/>
      <c r="I1618" s="74" t="n"/>
      <c r="J1618" s="77" t="n"/>
      <c r="K1618" s="77" t="n"/>
      <c r="L1618" s="74" t="n"/>
      <c r="M1618" s="74" t="n"/>
      <c r="O1618" s="78">
        <f>IF($A1618="","",YEAR($A1618)*100+MONTH($A1618))</f>
        <v/>
      </c>
      <c r="P1618" s="79">
        <f>IF(OR($F1618="",$D1618=""),"",IF($D1618="Receita",$F1618,IF($D1618="Transferência",0,-$F1618)))</f>
        <v/>
      </c>
    </row>
    <row r="1619">
      <c r="A1619" s="73" t="n"/>
      <c r="B1619" s="74" t="n"/>
      <c r="C1619" s="74" t="n"/>
      <c r="D1619" s="75">
        <f>IF($C1619="","",IFERROR(INDEX(CAT_TIPO,MATCH($C1619,CAT_NOME,0)),"Sem categoria"))</f>
        <v/>
      </c>
      <c r="E1619" s="75">
        <f>IF($C1619="","",IFERROR(INDEX(CAT_GRUPO,MATCH($C1619,CAT_NOME,0)),"Sem categoria"))</f>
        <v/>
      </c>
      <c r="F1619" s="76" t="n"/>
      <c r="G1619" s="74" t="n"/>
      <c r="H1619" s="74" t="n"/>
      <c r="I1619" s="74" t="n"/>
      <c r="J1619" s="77" t="n"/>
      <c r="K1619" s="77" t="n"/>
      <c r="L1619" s="74" t="n"/>
      <c r="M1619" s="74" t="n"/>
      <c r="O1619" s="78">
        <f>IF($A1619="","",YEAR($A1619)*100+MONTH($A1619))</f>
        <v/>
      </c>
      <c r="P1619" s="79">
        <f>IF(OR($F1619="",$D1619=""),"",IF($D1619="Receita",$F1619,IF($D1619="Transferência",0,-$F1619)))</f>
        <v/>
      </c>
    </row>
    <row r="1620">
      <c r="A1620" s="73" t="n"/>
      <c r="B1620" s="74" t="n"/>
      <c r="C1620" s="74" t="n"/>
      <c r="D1620" s="75">
        <f>IF($C1620="","",IFERROR(INDEX(CAT_TIPO,MATCH($C1620,CAT_NOME,0)),"Sem categoria"))</f>
        <v/>
      </c>
      <c r="E1620" s="75">
        <f>IF($C1620="","",IFERROR(INDEX(CAT_GRUPO,MATCH($C1620,CAT_NOME,0)),"Sem categoria"))</f>
        <v/>
      </c>
      <c r="F1620" s="76" t="n"/>
      <c r="G1620" s="74" t="n"/>
      <c r="H1620" s="74" t="n"/>
      <c r="I1620" s="74" t="n"/>
      <c r="J1620" s="77" t="n"/>
      <c r="K1620" s="77" t="n"/>
      <c r="L1620" s="74" t="n"/>
      <c r="M1620" s="74" t="n"/>
      <c r="O1620" s="78">
        <f>IF($A1620="","",YEAR($A1620)*100+MONTH($A1620))</f>
        <v/>
      </c>
      <c r="P1620" s="79">
        <f>IF(OR($F1620="",$D1620=""),"",IF($D1620="Receita",$F1620,IF($D1620="Transferência",0,-$F1620)))</f>
        <v/>
      </c>
    </row>
    <row r="1621">
      <c r="A1621" s="73" t="n"/>
      <c r="B1621" s="74" t="n"/>
      <c r="C1621" s="74" t="n"/>
      <c r="D1621" s="75">
        <f>IF($C1621="","",IFERROR(INDEX(CAT_TIPO,MATCH($C1621,CAT_NOME,0)),"Sem categoria"))</f>
        <v/>
      </c>
      <c r="E1621" s="75">
        <f>IF($C1621="","",IFERROR(INDEX(CAT_GRUPO,MATCH($C1621,CAT_NOME,0)),"Sem categoria"))</f>
        <v/>
      </c>
      <c r="F1621" s="76" t="n"/>
      <c r="G1621" s="74" t="n"/>
      <c r="H1621" s="74" t="n"/>
      <c r="I1621" s="74" t="n"/>
      <c r="J1621" s="77" t="n"/>
      <c r="K1621" s="77" t="n"/>
      <c r="L1621" s="74" t="n"/>
      <c r="M1621" s="74" t="n"/>
      <c r="O1621" s="78">
        <f>IF($A1621="","",YEAR($A1621)*100+MONTH($A1621))</f>
        <v/>
      </c>
      <c r="P1621" s="79">
        <f>IF(OR($F1621="",$D1621=""),"",IF($D1621="Receita",$F1621,IF($D1621="Transferência",0,-$F1621)))</f>
        <v/>
      </c>
    </row>
    <row r="1622">
      <c r="A1622" s="73" t="n"/>
      <c r="B1622" s="74" t="n"/>
      <c r="C1622" s="74" t="n"/>
      <c r="D1622" s="75">
        <f>IF($C1622="","",IFERROR(INDEX(CAT_TIPO,MATCH($C1622,CAT_NOME,0)),"Sem categoria"))</f>
        <v/>
      </c>
      <c r="E1622" s="75">
        <f>IF($C1622="","",IFERROR(INDEX(CAT_GRUPO,MATCH($C1622,CAT_NOME,0)),"Sem categoria"))</f>
        <v/>
      </c>
      <c r="F1622" s="76" t="n"/>
      <c r="G1622" s="74" t="n"/>
      <c r="H1622" s="74" t="n"/>
      <c r="I1622" s="74" t="n"/>
      <c r="J1622" s="77" t="n"/>
      <c r="K1622" s="77" t="n"/>
      <c r="L1622" s="74" t="n"/>
      <c r="M1622" s="74" t="n"/>
      <c r="O1622" s="78">
        <f>IF($A1622="","",YEAR($A1622)*100+MONTH($A1622))</f>
        <v/>
      </c>
      <c r="P1622" s="79">
        <f>IF(OR($F1622="",$D1622=""),"",IF($D1622="Receita",$F1622,IF($D1622="Transferência",0,-$F1622)))</f>
        <v/>
      </c>
    </row>
    <row r="1623">
      <c r="A1623" s="73" t="n"/>
      <c r="B1623" s="74" t="n"/>
      <c r="C1623" s="74" t="n"/>
      <c r="D1623" s="75">
        <f>IF($C1623="","",IFERROR(INDEX(CAT_TIPO,MATCH($C1623,CAT_NOME,0)),"Sem categoria"))</f>
        <v/>
      </c>
      <c r="E1623" s="75">
        <f>IF($C1623="","",IFERROR(INDEX(CAT_GRUPO,MATCH($C1623,CAT_NOME,0)),"Sem categoria"))</f>
        <v/>
      </c>
      <c r="F1623" s="76" t="n"/>
      <c r="G1623" s="74" t="n"/>
      <c r="H1623" s="74" t="n"/>
      <c r="I1623" s="74" t="n"/>
      <c r="J1623" s="77" t="n"/>
      <c r="K1623" s="77" t="n"/>
      <c r="L1623" s="74" t="n"/>
      <c r="M1623" s="74" t="n"/>
      <c r="O1623" s="78">
        <f>IF($A1623="","",YEAR($A1623)*100+MONTH($A1623))</f>
        <v/>
      </c>
      <c r="P1623" s="79">
        <f>IF(OR($F1623="",$D1623=""),"",IF($D1623="Receita",$F1623,IF($D1623="Transferência",0,-$F1623)))</f>
        <v/>
      </c>
    </row>
    <row r="1624">
      <c r="A1624" s="73" t="n"/>
      <c r="B1624" s="74" t="n"/>
      <c r="C1624" s="74" t="n"/>
      <c r="D1624" s="75">
        <f>IF($C1624="","",IFERROR(INDEX(CAT_TIPO,MATCH($C1624,CAT_NOME,0)),"Sem categoria"))</f>
        <v/>
      </c>
      <c r="E1624" s="75">
        <f>IF($C1624="","",IFERROR(INDEX(CAT_GRUPO,MATCH($C1624,CAT_NOME,0)),"Sem categoria"))</f>
        <v/>
      </c>
      <c r="F1624" s="76" t="n"/>
      <c r="G1624" s="74" t="n"/>
      <c r="H1624" s="74" t="n"/>
      <c r="I1624" s="74" t="n"/>
      <c r="J1624" s="77" t="n"/>
      <c r="K1624" s="77" t="n"/>
      <c r="L1624" s="74" t="n"/>
      <c r="M1624" s="74" t="n"/>
      <c r="O1624" s="78">
        <f>IF($A1624="","",YEAR($A1624)*100+MONTH($A1624))</f>
        <v/>
      </c>
      <c r="P1624" s="79">
        <f>IF(OR($F1624="",$D1624=""),"",IF($D1624="Receita",$F1624,IF($D1624="Transferência",0,-$F1624)))</f>
        <v/>
      </c>
    </row>
    <row r="1625">
      <c r="A1625" s="73" t="n"/>
      <c r="B1625" s="74" t="n"/>
      <c r="C1625" s="74" t="n"/>
      <c r="D1625" s="75">
        <f>IF($C1625="","",IFERROR(INDEX(CAT_TIPO,MATCH($C1625,CAT_NOME,0)),"Sem categoria"))</f>
        <v/>
      </c>
      <c r="E1625" s="75">
        <f>IF($C1625="","",IFERROR(INDEX(CAT_GRUPO,MATCH($C1625,CAT_NOME,0)),"Sem categoria"))</f>
        <v/>
      </c>
      <c r="F1625" s="76" t="n"/>
      <c r="G1625" s="74" t="n"/>
      <c r="H1625" s="74" t="n"/>
      <c r="I1625" s="74" t="n"/>
      <c r="J1625" s="77" t="n"/>
      <c r="K1625" s="77" t="n"/>
      <c r="L1625" s="74" t="n"/>
      <c r="M1625" s="74" t="n"/>
      <c r="O1625" s="78">
        <f>IF($A1625="","",YEAR($A1625)*100+MONTH($A1625))</f>
        <v/>
      </c>
      <c r="P1625" s="79">
        <f>IF(OR($F1625="",$D1625=""),"",IF($D1625="Receita",$F1625,IF($D1625="Transferência",0,-$F1625)))</f>
        <v/>
      </c>
    </row>
    <row r="1626">
      <c r="A1626" s="73" t="n"/>
      <c r="B1626" s="74" t="n"/>
      <c r="C1626" s="74" t="n"/>
      <c r="D1626" s="75">
        <f>IF($C1626="","",IFERROR(INDEX(CAT_TIPO,MATCH($C1626,CAT_NOME,0)),"Sem categoria"))</f>
        <v/>
      </c>
      <c r="E1626" s="75">
        <f>IF($C1626="","",IFERROR(INDEX(CAT_GRUPO,MATCH($C1626,CAT_NOME,0)),"Sem categoria"))</f>
        <v/>
      </c>
      <c r="F1626" s="76" t="n"/>
      <c r="G1626" s="74" t="n"/>
      <c r="H1626" s="74" t="n"/>
      <c r="I1626" s="74" t="n"/>
      <c r="J1626" s="77" t="n"/>
      <c r="K1626" s="77" t="n"/>
      <c r="L1626" s="74" t="n"/>
      <c r="M1626" s="74" t="n"/>
      <c r="O1626" s="78">
        <f>IF($A1626="","",YEAR($A1626)*100+MONTH($A1626))</f>
        <v/>
      </c>
      <c r="P1626" s="79">
        <f>IF(OR($F1626="",$D1626=""),"",IF($D1626="Receita",$F1626,IF($D1626="Transferência",0,-$F1626)))</f>
        <v/>
      </c>
    </row>
    <row r="1627">
      <c r="A1627" s="73" t="n"/>
      <c r="B1627" s="74" t="n"/>
      <c r="C1627" s="74" t="n"/>
      <c r="D1627" s="75">
        <f>IF($C1627="","",IFERROR(INDEX(CAT_TIPO,MATCH($C1627,CAT_NOME,0)),"Sem categoria"))</f>
        <v/>
      </c>
      <c r="E1627" s="75">
        <f>IF($C1627="","",IFERROR(INDEX(CAT_GRUPO,MATCH($C1627,CAT_NOME,0)),"Sem categoria"))</f>
        <v/>
      </c>
      <c r="F1627" s="76" t="n"/>
      <c r="G1627" s="74" t="n"/>
      <c r="H1627" s="74" t="n"/>
      <c r="I1627" s="74" t="n"/>
      <c r="J1627" s="77" t="n"/>
      <c r="K1627" s="77" t="n"/>
      <c r="L1627" s="74" t="n"/>
      <c r="M1627" s="74" t="n"/>
      <c r="O1627" s="78">
        <f>IF($A1627="","",YEAR($A1627)*100+MONTH($A1627))</f>
        <v/>
      </c>
      <c r="P1627" s="79">
        <f>IF(OR($F1627="",$D1627=""),"",IF($D1627="Receita",$F1627,IF($D1627="Transferência",0,-$F1627)))</f>
        <v/>
      </c>
    </row>
    <row r="1628">
      <c r="A1628" s="73" t="n"/>
      <c r="B1628" s="74" t="n"/>
      <c r="C1628" s="74" t="n"/>
      <c r="D1628" s="75">
        <f>IF($C1628="","",IFERROR(INDEX(CAT_TIPO,MATCH($C1628,CAT_NOME,0)),"Sem categoria"))</f>
        <v/>
      </c>
      <c r="E1628" s="75">
        <f>IF($C1628="","",IFERROR(INDEX(CAT_GRUPO,MATCH($C1628,CAT_NOME,0)),"Sem categoria"))</f>
        <v/>
      </c>
      <c r="F1628" s="76" t="n"/>
      <c r="G1628" s="74" t="n"/>
      <c r="H1628" s="74" t="n"/>
      <c r="I1628" s="74" t="n"/>
      <c r="J1628" s="77" t="n"/>
      <c r="K1628" s="77" t="n"/>
      <c r="L1628" s="74" t="n"/>
      <c r="M1628" s="74" t="n"/>
      <c r="O1628" s="78">
        <f>IF($A1628="","",YEAR($A1628)*100+MONTH($A1628))</f>
        <v/>
      </c>
      <c r="P1628" s="79">
        <f>IF(OR($F1628="",$D1628=""),"",IF($D1628="Receita",$F1628,IF($D1628="Transferência",0,-$F1628)))</f>
        <v/>
      </c>
    </row>
    <row r="1629">
      <c r="A1629" s="73" t="n"/>
      <c r="B1629" s="74" t="n"/>
      <c r="C1629" s="74" t="n"/>
      <c r="D1629" s="75">
        <f>IF($C1629="","",IFERROR(INDEX(CAT_TIPO,MATCH($C1629,CAT_NOME,0)),"Sem categoria"))</f>
        <v/>
      </c>
      <c r="E1629" s="75">
        <f>IF($C1629="","",IFERROR(INDEX(CAT_GRUPO,MATCH($C1629,CAT_NOME,0)),"Sem categoria"))</f>
        <v/>
      </c>
      <c r="F1629" s="76" t="n"/>
      <c r="G1629" s="74" t="n"/>
      <c r="H1629" s="74" t="n"/>
      <c r="I1629" s="74" t="n"/>
      <c r="J1629" s="77" t="n"/>
      <c r="K1629" s="77" t="n"/>
      <c r="L1629" s="74" t="n"/>
      <c r="M1629" s="74" t="n"/>
      <c r="O1629" s="78">
        <f>IF($A1629="","",YEAR($A1629)*100+MONTH($A1629))</f>
        <v/>
      </c>
      <c r="P1629" s="79">
        <f>IF(OR($F1629="",$D1629=""),"",IF($D1629="Receita",$F1629,IF($D1629="Transferência",0,-$F1629)))</f>
        <v/>
      </c>
    </row>
    <row r="1630">
      <c r="A1630" s="73" t="n"/>
      <c r="B1630" s="74" t="n"/>
      <c r="C1630" s="74" t="n"/>
      <c r="D1630" s="75">
        <f>IF($C1630="","",IFERROR(INDEX(CAT_TIPO,MATCH($C1630,CAT_NOME,0)),"Sem categoria"))</f>
        <v/>
      </c>
      <c r="E1630" s="75">
        <f>IF($C1630="","",IFERROR(INDEX(CAT_GRUPO,MATCH($C1630,CAT_NOME,0)),"Sem categoria"))</f>
        <v/>
      </c>
      <c r="F1630" s="76" t="n"/>
      <c r="G1630" s="74" t="n"/>
      <c r="H1630" s="74" t="n"/>
      <c r="I1630" s="74" t="n"/>
      <c r="J1630" s="77" t="n"/>
      <c r="K1630" s="77" t="n"/>
      <c r="L1630" s="74" t="n"/>
      <c r="M1630" s="74" t="n"/>
      <c r="O1630" s="78">
        <f>IF($A1630="","",YEAR($A1630)*100+MONTH($A1630))</f>
        <v/>
      </c>
      <c r="P1630" s="79">
        <f>IF(OR($F1630="",$D1630=""),"",IF($D1630="Receita",$F1630,IF($D1630="Transferência",0,-$F1630)))</f>
        <v/>
      </c>
    </row>
    <row r="1631">
      <c r="A1631" s="73" t="n"/>
      <c r="B1631" s="74" t="n"/>
      <c r="C1631" s="74" t="n"/>
      <c r="D1631" s="75">
        <f>IF($C1631="","",IFERROR(INDEX(CAT_TIPO,MATCH($C1631,CAT_NOME,0)),"Sem categoria"))</f>
        <v/>
      </c>
      <c r="E1631" s="75">
        <f>IF($C1631="","",IFERROR(INDEX(CAT_GRUPO,MATCH($C1631,CAT_NOME,0)),"Sem categoria"))</f>
        <v/>
      </c>
      <c r="F1631" s="76" t="n"/>
      <c r="G1631" s="74" t="n"/>
      <c r="H1631" s="74" t="n"/>
      <c r="I1631" s="74" t="n"/>
      <c r="J1631" s="77" t="n"/>
      <c r="K1631" s="77" t="n"/>
      <c r="L1631" s="74" t="n"/>
      <c r="M1631" s="74" t="n"/>
      <c r="O1631" s="78">
        <f>IF($A1631="","",YEAR($A1631)*100+MONTH($A1631))</f>
        <v/>
      </c>
      <c r="P1631" s="79">
        <f>IF(OR($F1631="",$D1631=""),"",IF($D1631="Receita",$F1631,IF($D1631="Transferência",0,-$F1631)))</f>
        <v/>
      </c>
    </row>
    <row r="1632">
      <c r="A1632" s="73" t="n"/>
      <c r="B1632" s="74" t="n"/>
      <c r="C1632" s="74" t="n"/>
      <c r="D1632" s="75">
        <f>IF($C1632="","",IFERROR(INDEX(CAT_TIPO,MATCH($C1632,CAT_NOME,0)),"Sem categoria"))</f>
        <v/>
      </c>
      <c r="E1632" s="75">
        <f>IF($C1632="","",IFERROR(INDEX(CAT_GRUPO,MATCH($C1632,CAT_NOME,0)),"Sem categoria"))</f>
        <v/>
      </c>
      <c r="F1632" s="76" t="n"/>
      <c r="G1632" s="74" t="n"/>
      <c r="H1632" s="74" t="n"/>
      <c r="I1632" s="74" t="n"/>
      <c r="J1632" s="77" t="n"/>
      <c r="K1632" s="77" t="n"/>
      <c r="L1632" s="74" t="n"/>
      <c r="M1632" s="74" t="n"/>
      <c r="O1632" s="78">
        <f>IF($A1632="","",YEAR($A1632)*100+MONTH($A1632))</f>
        <v/>
      </c>
      <c r="P1632" s="79">
        <f>IF(OR($F1632="",$D1632=""),"",IF($D1632="Receita",$F1632,IF($D1632="Transferência",0,-$F1632)))</f>
        <v/>
      </c>
    </row>
    <row r="1633">
      <c r="A1633" s="73" t="n"/>
      <c r="B1633" s="74" t="n"/>
      <c r="C1633" s="74" t="n"/>
      <c r="D1633" s="75">
        <f>IF($C1633="","",IFERROR(INDEX(CAT_TIPO,MATCH($C1633,CAT_NOME,0)),"Sem categoria"))</f>
        <v/>
      </c>
      <c r="E1633" s="75">
        <f>IF($C1633="","",IFERROR(INDEX(CAT_GRUPO,MATCH($C1633,CAT_NOME,0)),"Sem categoria"))</f>
        <v/>
      </c>
      <c r="F1633" s="76" t="n"/>
      <c r="G1633" s="74" t="n"/>
      <c r="H1633" s="74" t="n"/>
      <c r="I1633" s="74" t="n"/>
      <c r="J1633" s="77" t="n"/>
      <c r="K1633" s="77" t="n"/>
      <c r="L1633" s="74" t="n"/>
      <c r="M1633" s="74" t="n"/>
      <c r="O1633" s="78">
        <f>IF($A1633="","",YEAR($A1633)*100+MONTH($A1633))</f>
        <v/>
      </c>
      <c r="P1633" s="79">
        <f>IF(OR($F1633="",$D1633=""),"",IF($D1633="Receita",$F1633,IF($D1633="Transferência",0,-$F1633)))</f>
        <v/>
      </c>
    </row>
    <row r="1634">
      <c r="A1634" s="73" t="n"/>
      <c r="B1634" s="74" t="n"/>
      <c r="C1634" s="74" t="n"/>
      <c r="D1634" s="75">
        <f>IF($C1634="","",IFERROR(INDEX(CAT_TIPO,MATCH($C1634,CAT_NOME,0)),"Sem categoria"))</f>
        <v/>
      </c>
      <c r="E1634" s="75">
        <f>IF($C1634="","",IFERROR(INDEX(CAT_GRUPO,MATCH($C1634,CAT_NOME,0)),"Sem categoria"))</f>
        <v/>
      </c>
      <c r="F1634" s="76" t="n"/>
      <c r="G1634" s="74" t="n"/>
      <c r="H1634" s="74" t="n"/>
      <c r="I1634" s="74" t="n"/>
      <c r="J1634" s="77" t="n"/>
      <c r="K1634" s="77" t="n"/>
      <c r="L1634" s="74" t="n"/>
      <c r="M1634" s="74" t="n"/>
      <c r="O1634" s="78">
        <f>IF($A1634="","",YEAR($A1634)*100+MONTH($A1634))</f>
        <v/>
      </c>
      <c r="P1634" s="79">
        <f>IF(OR($F1634="",$D1634=""),"",IF($D1634="Receita",$F1634,IF($D1634="Transferência",0,-$F1634)))</f>
        <v/>
      </c>
    </row>
    <row r="1635">
      <c r="A1635" s="73" t="n"/>
      <c r="B1635" s="74" t="n"/>
      <c r="C1635" s="74" t="n"/>
      <c r="D1635" s="75">
        <f>IF($C1635="","",IFERROR(INDEX(CAT_TIPO,MATCH($C1635,CAT_NOME,0)),"Sem categoria"))</f>
        <v/>
      </c>
      <c r="E1635" s="75">
        <f>IF($C1635="","",IFERROR(INDEX(CAT_GRUPO,MATCH($C1635,CAT_NOME,0)),"Sem categoria"))</f>
        <v/>
      </c>
      <c r="F1635" s="76" t="n"/>
      <c r="G1635" s="74" t="n"/>
      <c r="H1635" s="74" t="n"/>
      <c r="I1635" s="74" t="n"/>
      <c r="J1635" s="77" t="n"/>
      <c r="K1635" s="77" t="n"/>
      <c r="L1635" s="74" t="n"/>
      <c r="M1635" s="74" t="n"/>
      <c r="O1635" s="78">
        <f>IF($A1635="","",YEAR($A1635)*100+MONTH($A1635))</f>
        <v/>
      </c>
      <c r="P1635" s="79">
        <f>IF(OR($F1635="",$D1635=""),"",IF($D1635="Receita",$F1635,IF($D1635="Transferência",0,-$F1635)))</f>
        <v/>
      </c>
    </row>
    <row r="1636">
      <c r="A1636" s="73" t="n"/>
      <c r="B1636" s="74" t="n"/>
      <c r="C1636" s="74" t="n"/>
      <c r="D1636" s="75">
        <f>IF($C1636="","",IFERROR(INDEX(CAT_TIPO,MATCH($C1636,CAT_NOME,0)),"Sem categoria"))</f>
        <v/>
      </c>
      <c r="E1636" s="75">
        <f>IF($C1636="","",IFERROR(INDEX(CAT_GRUPO,MATCH($C1636,CAT_NOME,0)),"Sem categoria"))</f>
        <v/>
      </c>
      <c r="F1636" s="76" t="n"/>
      <c r="G1636" s="74" t="n"/>
      <c r="H1636" s="74" t="n"/>
      <c r="I1636" s="74" t="n"/>
      <c r="J1636" s="77" t="n"/>
      <c r="K1636" s="77" t="n"/>
      <c r="L1636" s="74" t="n"/>
      <c r="M1636" s="74" t="n"/>
      <c r="O1636" s="78">
        <f>IF($A1636="","",YEAR($A1636)*100+MONTH($A1636))</f>
        <v/>
      </c>
      <c r="P1636" s="79">
        <f>IF(OR($F1636="",$D1636=""),"",IF($D1636="Receita",$F1636,IF($D1636="Transferência",0,-$F1636)))</f>
        <v/>
      </c>
    </row>
    <row r="1637">
      <c r="A1637" s="73" t="n"/>
      <c r="B1637" s="74" t="n"/>
      <c r="C1637" s="74" t="n"/>
      <c r="D1637" s="75">
        <f>IF($C1637="","",IFERROR(INDEX(CAT_TIPO,MATCH($C1637,CAT_NOME,0)),"Sem categoria"))</f>
        <v/>
      </c>
      <c r="E1637" s="75">
        <f>IF($C1637="","",IFERROR(INDEX(CAT_GRUPO,MATCH($C1637,CAT_NOME,0)),"Sem categoria"))</f>
        <v/>
      </c>
      <c r="F1637" s="76" t="n"/>
      <c r="G1637" s="74" t="n"/>
      <c r="H1637" s="74" t="n"/>
      <c r="I1637" s="74" t="n"/>
      <c r="J1637" s="77" t="n"/>
      <c r="K1637" s="77" t="n"/>
      <c r="L1637" s="74" t="n"/>
      <c r="M1637" s="74" t="n"/>
      <c r="O1637" s="78">
        <f>IF($A1637="","",YEAR($A1637)*100+MONTH($A1637))</f>
        <v/>
      </c>
      <c r="P1637" s="79">
        <f>IF(OR($F1637="",$D1637=""),"",IF($D1637="Receita",$F1637,IF($D1637="Transferência",0,-$F1637)))</f>
        <v/>
      </c>
    </row>
    <row r="1638">
      <c r="A1638" s="73" t="n"/>
      <c r="B1638" s="74" t="n"/>
      <c r="C1638" s="74" t="n"/>
      <c r="D1638" s="75">
        <f>IF($C1638="","",IFERROR(INDEX(CAT_TIPO,MATCH($C1638,CAT_NOME,0)),"Sem categoria"))</f>
        <v/>
      </c>
      <c r="E1638" s="75">
        <f>IF($C1638="","",IFERROR(INDEX(CAT_GRUPO,MATCH($C1638,CAT_NOME,0)),"Sem categoria"))</f>
        <v/>
      </c>
      <c r="F1638" s="76" t="n"/>
      <c r="G1638" s="74" t="n"/>
      <c r="H1638" s="74" t="n"/>
      <c r="I1638" s="74" t="n"/>
      <c r="J1638" s="77" t="n"/>
      <c r="K1638" s="77" t="n"/>
      <c r="L1638" s="74" t="n"/>
      <c r="M1638" s="74" t="n"/>
      <c r="O1638" s="78">
        <f>IF($A1638="","",YEAR($A1638)*100+MONTH($A1638))</f>
        <v/>
      </c>
      <c r="P1638" s="79">
        <f>IF(OR($F1638="",$D1638=""),"",IF($D1638="Receita",$F1638,IF($D1638="Transferência",0,-$F1638)))</f>
        <v/>
      </c>
    </row>
    <row r="1639">
      <c r="A1639" s="73" t="n"/>
      <c r="B1639" s="74" t="n"/>
      <c r="C1639" s="74" t="n"/>
      <c r="D1639" s="75">
        <f>IF($C1639="","",IFERROR(INDEX(CAT_TIPO,MATCH($C1639,CAT_NOME,0)),"Sem categoria"))</f>
        <v/>
      </c>
      <c r="E1639" s="75">
        <f>IF($C1639="","",IFERROR(INDEX(CAT_GRUPO,MATCH($C1639,CAT_NOME,0)),"Sem categoria"))</f>
        <v/>
      </c>
      <c r="F1639" s="76" t="n"/>
      <c r="G1639" s="74" t="n"/>
      <c r="H1639" s="74" t="n"/>
      <c r="I1639" s="74" t="n"/>
      <c r="J1639" s="77" t="n"/>
      <c r="K1639" s="77" t="n"/>
      <c r="L1639" s="74" t="n"/>
      <c r="M1639" s="74" t="n"/>
      <c r="O1639" s="78">
        <f>IF($A1639="","",YEAR($A1639)*100+MONTH($A1639))</f>
        <v/>
      </c>
      <c r="P1639" s="79">
        <f>IF(OR($F1639="",$D1639=""),"",IF($D1639="Receita",$F1639,IF($D1639="Transferência",0,-$F1639)))</f>
        <v/>
      </c>
    </row>
    <row r="1640">
      <c r="A1640" s="73" t="n"/>
      <c r="B1640" s="74" t="n"/>
      <c r="C1640" s="74" t="n"/>
      <c r="D1640" s="75">
        <f>IF($C1640="","",IFERROR(INDEX(CAT_TIPO,MATCH($C1640,CAT_NOME,0)),"Sem categoria"))</f>
        <v/>
      </c>
      <c r="E1640" s="75">
        <f>IF($C1640="","",IFERROR(INDEX(CAT_GRUPO,MATCH($C1640,CAT_NOME,0)),"Sem categoria"))</f>
        <v/>
      </c>
      <c r="F1640" s="76" t="n"/>
      <c r="G1640" s="74" t="n"/>
      <c r="H1640" s="74" t="n"/>
      <c r="I1640" s="74" t="n"/>
      <c r="J1640" s="77" t="n"/>
      <c r="K1640" s="77" t="n"/>
      <c r="L1640" s="74" t="n"/>
      <c r="M1640" s="74" t="n"/>
      <c r="O1640" s="78">
        <f>IF($A1640="","",YEAR($A1640)*100+MONTH($A1640))</f>
        <v/>
      </c>
      <c r="P1640" s="79">
        <f>IF(OR($F1640="",$D1640=""),"",IF($D1640="Receita",$F1640,IF($D1640="Transferência",0,-$F1640)))</f>
        <v/>
      </c>
    </row>
    <row r="1641">
      <c r="A1641" s="73" t="n"/>
      <c r="B1641" s="74" t="n"/>
      <c r="C1641" s="74" t="n"/>
      <c r="D1641" s="75">
        <f>IF($C1641="","",IFERROR(INDEX(CAT_TIPO,MATCH($C1641,CAT_NOME,0)),"Sem categoria"))</f>
        <v/>
      </c>
      <c r="E1641" s="75">
        <f>IF($C1641="","",IFERROR(INDEX(CAT_GRUPO,MATCH($C1641,CAT_NOME,0)),"Sem categoria"))</f>
        <v/>
      </c>
      <c r="F1641" s="76" t="n"/>
      <c r="G1641" s="74" t="n"/>
      <c r="H1641" s="74" t="n"/>
      <c r="I1641" s="74" t="n"/>
      <c r="J1641" s="77" t="n"/>
      <c r="K1641" s="77" t="n"/>
      <c r="L1641" s="74" t="n"/>
      <c r="M1641" s="74" t="n"/>
      <c r="O1641" s="78">
        <f>IF($A1641="","",YEAR($A1641)*100+MONTH($A1641))</f>
        <v/>
      </c>
      <c r="P1641" s="79">
        <f>IF(OR($F1641="",$D1641=""),"",IF($D1641="Receita",$F1641,IF($D1641="Transferência",0,-$F1641)))</f>
        <v/>
      </c>
    </row>
    <row r="1642">
      <c r="A1642" s="73" t="n"/>
      <c r="B1642" s="74" t="n"/>
      <c r="C1642" s="74" t="n"/>
      <c r="D1642" s="75">
        <f>IF($C1642="","",IFERROR(INDEX(CAT_TIPO,MATCH($C1642,CAT_NOME,0)),"Sem categoria"))</f>
        <v/>
      </c>
      <c r="E1642" s="75">
        <f>IF($C1642="","",IFERROR(INDEX(CAT_GRUPO,MATCH($C1642,CAT_NOME,0)),"Sem categoria"))</f>
        <v/>
      </c>
      <c r="F1642" s="76" t="n"/>
      <c r="G1642" s="74" t="n"/>
      <c r="H1642" s="74" t="n"/>
      <c r="I1642" s="74" t="n"/>
      <c r="J1642" s="77" t="n"/>
      <c r="K1642" s="77" t="n"/>
      <c r="L1642" s="74" t="n"/>
      <c r="M1642" s="74" t="n"/>
      <c r="O1642" s="78">
        <f>IF($A1642="","",YEAR($A1642)*100+MONTH($A1642))</f>
        <v/>
      </c>
      <c r="P1642" s="79">
        <f>IF(OR($F1642="",$D1642=""),"",IF($D1642="Receita",$F1642,IF($D1642="Transferência",0,-$F1642)))</f>
        <v/>
      </c>
    </row>
    <row r="1643">
      <c r="A1643" s="73" t="n"/>
      <c r="B1643" s="74" t="n"/>
      <c r="C1643" s="74" t="n"/>
      <c r="D1643" s="75">
        <f>IF($C1643="","",IFERROR(INDEX(CAT_TIPO,MATCH($C1643,CAT_NOME,0)),"Sem categoria"))</f>
        <v/>
      </c>
      <c r="E1643" s="75">
        <f>IF($C1643="","",IFERROR(INDEX(CAT_GRUPO,MATCH($C1643,CAT_NOME,0)),"Sem categoria"))</f>
        <v/>
      </c>
      <c r="F1643" s="76" t="n"/>
      <c r="G1643" s="74" t="n"/>
      <c r="H1643" s="74" t="n"/>
      <c r="I1643" s="74" t="n"/>
      <c r="J1643" s="77" t="n"/>
      <c r="K1643" s="77" t="n"/>
      <c r="L1643" s="74" t="n"/>
      <c r="M1643" s="74" t="n"/>
      <c r="O1643" s="78">
        <f>IF($A1643="","",YEAR($A1643)*100+MONTH($A1643))</f>
        <v/>
      </c>
      <c r="P1643" s="79">
        <f>IF(OR($F1643="",$D1643=""),"",IF($D1643="Receita",$F1643,IF($D1643="Transferência",0,-$F1643)))</f>
        <v/>
      </c>
    </row>
    <row r="1644">
      <c r="A1644" s="73" t="n"/>
      <c r="B1644" s="74" t="n"/>
      <c r="C1644" s="74" t="n"/>
      <c r="D1644" s="75">
        <f>IF($C1644="","",IFERROR(INDEX(CAT_TIPO,MATCH($C1644,CAT_NOME,0)),"Sem categoria"))</f>
        <v/>
      </c>
      <c r="E1644" s="75">
        <f>IF($C1644="","",IFERROR(INDEX(CAT_GRUPO,MATCH($C1644,CAT_NOME,0)),"Sem categoria"))</f>
        <v/>
      </c>
      <c r="F1644" s="76" t="n"/>
      <c r="G1644" s="74" t="n"/>
      <c r="H1644" s="74" t="n"/>
      <c r="I1644" s="74" t="n"/>
      <c r="J1644" s="77" t="n"/>
      <c r="K1644" s="77" t="n"/>
      <c r="L1644" s="74" t="n"/>
      <c r="M1644" s="74" t="n"/>
      <c r="O1644" s="78">
        <f>IF($A1644="","",YEAR($A1644)*100+MONTH($A1644))</f>
        <v/>
      </c>
      <c r="P1644" s="79">
        <f>IF(OR($F1644="",$D1644=""),"",IF($D1644="Receita",$F1644,IF($D1644="Transferência",0,-$F1644)))</f>
        <v/>
      </c>
    </row>
    <row r="1645">
      <c r="A1645" s="73" t="n"/>
      <c r="B1645" s="74" t="n"/>
      <c r="C1645" s="74" t="n"/>
      <c r="D1645" s="75">
        <f>IF($C1645="","",IFERROR(INDEX(CAT_TIPO,MATCH($C1645,CAT_NOME,0)),"Sem categoria"))</f>
        <v/>
      </c>
      <c r="E1645" s="75">
        <f>IF($C1645="","",IFERROR(INDEX(CAT_GRUPO,MATCH($C1645,CAT_NOME,0)),"Sem categoria"))</f>
        <v/>
      </c>
      <c r="F1645" s="76" t="n"/>
      <c r="G1645" s="74" t="n"/>
      <c r="H1645" s="74" t="n"/>
      <c r="I1645" s="74" t="n"/>
      <c r="J1645" s="77" t="n"/>
      <c r="K1645" s="77" t="n"/>
      <c r="L1645" s="74" t="n"/>
      <c r="M1645" s="74" t="n"/>
      <c r="O1645" s="78">
        <f>IF($A1645="","",YEAR($A1645)*100+MONTH($A1645))</f>
        <v/>
      </c>
      <c r="P1645" s="79">
        <f>IF(OR($F1645="",$D1645=""),"",IF($D1645="Receita",$F1645,IF($D1645="Transferência",0,-$F1645)))</f>
        <v/>
      </c>
    </row>
    <row r="1646">
      <c r="A1646" s="73" t="n"/>
      <c r="B1646" s="74" t="n"/>
      <c r="C1646" s="74" t="n"/>
      <c r="D1646" s="75">
        <f>IF($C1646="","",IFERROR(INDEX(CAT_TIPO,MATCH($C1646,CAT_NOME,0)),"Sem categoria"))</f>
        <v/>
      </c>
      <c r="E1646" s="75">
        <f>IF($C1646="","",IFERROR(INDEX(CAT_GRUPO,MATCH($C1646,CAT_NOME,0)),"Sem categoria"))</f>
        <v/>
      </c>
      <c r="F1646" s="76" t="n"/>
      <c r="G1646" s="74" t="n"/>
      <c r="H1646" s="74" t="n"/>
      <c r="I1646" s="74" t="n"/>
      <c r="J1646" s="77" t="n"/>
      <c r="K1646" s="77" t="n"/>
      <c r="L1646" s="74" t="n"/>
      <c r="M1646" s="74" t="n"/>
      <c r="O1646" s="78">
        <f>IF($A1646="","",YEAR($A1646)*100+MONTH($A1646))</f>
        <v/>
      </c>
      <c r="P1646" s="79">
        <f>IF(OR($F1646="",$D1646=""),"",IF($D1646="Receita",$F1646,IF($D1646="Transferência",0,-$F1646)))</f>
        <v/>
      </c>
    </row>
    <row r="1647">
      <c r="A1647" s="73" t="n"/>
      <c r="B1647" s="74" t="n"/>
      <c r="C1647" s="74" t="n"/>
      <c r="D1647" s="75">
        <f>IF($C1647="","",IFERROR(INDEX(CAT_TIPO,MATCH($C1647,CAT_NOME,0)),"Sem categoria"))</f>
        <v/>
      </c>
      <c r="E1647" s="75">
        <f>IF($C1647="","",IFERROR(INDEX(CAT_GRUPO,MATCH($C1647,CAT_NOME,0)),"Sem categoria"))</f>
        <v/>
      </c>
      <c r="F1647" s="76" t="n"/>
      <c r="G1647" s="74" t="n"/>
      <c r="H1647" s="74" t="n"/>
      <c r="I1647" s="74" t="n"/>
      <c r="J1647" s="77" t="n"/>
      <c r="K1647" s="77" t="n"/>
      <c r="L1647" s="74" t="n"/>
      <c r="M1647" s="74" t="n"/>
      <c r="O1647" s="78">
        <f>IF($A1647="","",YEAR($A1647)*100+MONTH($A1647))</f>
        <v/>
      </c>
      <c r="P1647" s="79">
        <f>IF(OR($F1647="",$D1647=""),"",IF($D1647="Receita",$F1647,IF($D1647="Transferência",0,-$F1647)))</f>
        <v/>
      </c>
    </row>
    <row r="1648">
      <c r="A1648" s="73" t="n"/>
      <c r="B1648" s="74" t="n"/>
      <c r="C1648" s="74" t="n"/>
      <c r="D1648" s="75">
        <f>IF($C1648="","",IFERROR(INDEX(CAT_TIPO,MATCH($C1648,CAT_NOME,0)),"Sem categoria"))</f>
        <v/>
      </c>
      <c r="E1648" s="75">
        <f>IF($C1648="","",IFERROR(INDEX(CAT_GRUPO,MATCH($C1648,CAT_NOME,0)),"Sem categoria"))</f>
        <v/>
      </c>
      <c r="F1648" s="76" t="n"/>
      <c r="G1648" s="74" t="n"/>
      <c r="H1648" s="74" t="n"/>
      <c r="I1648" s="74" t="n"/>
      <c r="J1648" s="77" t="n"/>
      <c r="K1648" s="77" t="n"/>
      <c r="L1648" s="74" t="n"/>
      <c r="M1648" s="74" t="n"/>
      <c r="O1648" s="78">
        <f>IF($A1648="","",YEAR($A1648)*100+MONTH($A1648))</f>
        <v/>
      </c>
      <c r="P1648" s="79">
        <f>IF(OR($F1648="",$D1648=""),"",IF($D1648="Receita",$F1648,IF($D1648="Transferência",0,-$F1648)))</f>
        <v/>
      </c>
    </row>
    <row r="1649">
      <c r="A1649" s="73" t="n"/>
      <c r="B1649" s="74" t="n"/>
      <c r="C1649" s="74" t="n"/>
      <c r="D1649" s="75">
        <f>IF($C1649="","",IFERROR(INDEX(CAT_TIPO,MATCH($C1649,CAT_NOME,0)),"Sem categoria"))</f>
        <v/>
      </c>
      <c r="E1649" s="75">
        <f>IF($C1649="","",IFERROR(INDEX(CAT_GRUPO,MATCH($C1649,CAT_NOME,0)),"Sem categoria"))</f>
        <v/>
      </c>
      <c r="F1649" s="76" t="n"/>
      <c r="G1649" s="74" t="n"/>
      <c r="H1649" s="74" t="n"/>
      <c r="I1649" s="74" t="n"/>
      <c r="J1649" s="77" t="n"/>
      <c r="K1649" s="77" t="n"/>
      <c r="L1649" s="74" t="n"/>
      <c r="M1649" s="74" t="n"/>
      <c r="O1649" s="78">
        <f>IF($A1649="","",YEAR($A1649)*100+MONTH($A1649))</f>
        <v/>
      </c>
      <c r="P1649" s="79">
        <f>IF(OR($F1649="",$D1649=""),"",IF($D1649="Receita",$F1649,IF($D1649="Transferência",0,-$F1649)))</f>
        <v/>
      </c>
    </row>
    <row r="1650">
      <c r="A1650" s="73" t="n"/>
      <c r="B1650" s="74" t="n"/>
      <c r="C1650" s="74" t="n"/>
      <c r="D1650" s="75">
        <f>IF($C1650="","",IFERROR(INDEX(CAT_TIPO,MATCH($C1650,CAT_NOME,0)),"Sem categoria"))</f>
        <v/>
      </c>
      <c r="E1650" s="75">
        <f>IF($C1650="","",IFERROR(INDEX(CAT_GRUPO,MATCH($C1650,CAT_NOME,0)),"Sem categoria"))</f>
        <v/>
      </c>
      <c r="F1650" s="76" t="n"/>
      <c r="G1650" s="74" t="n"/>
      <c r="H1650" s="74" t="n"/>
      <c r="I1650" s="74" t="n"/>
      <c r="J1650" s="77" t="n"/>
      <c r="K1650" s="77" t="n"/>
      <c r="L1650" s="74" t="n"/>
      <c r="M1650" s="74" t="n"/>
      <c r="O1650" s="78">
        <f>IF($A1650="","",YEAR($A1650)*100+MONTH($A1650))</f>
        <v/>
      </c>
      <c r="P1650" s="79">
        <f>IF(OR($F1650="",$D1650=""),"",IF($D1650="Receita",$F1650,IF($D1650="Transferência",0,-$F1650)))</f>
        <v/>
      </c>
    </row>
    <row r="1651">
      <c r="A1651" s="73" t="n"/>
      <c r="B1651" s="74" t="n"/>
      <c r="C1651" s="74" t="n"/>
      <c r="D1651" s="75">
        <f>IF($C1651="","",IFERROR(INDEX(CAT_TIPO,MATCH($C1651,CAT_NOME,0)),"Sem categoria"))</f>
        <v/>
      </c>
      <c r="E1651" s="75">
        <f>IF($C1651="","",IFERROR(INDEX(CAT_GRUPO,MATCH($C1651,CAT_NOME,0)),"Sem categoria"))</f>
        <v/>
      </c>
      <c r="F1651" s="76" t="n"/>
      <c r="G1651" s="74" t="n"/>
      <c r="H1651" s="74" t="n"/>
      <c r="I1651" s="74" t="n"/>
      <c r="J1651" s="77" t="n"/>
      <c r="K1651" s="77" t="n"/>
      <c r="L1651" s="74" t="n"/>
      <c r="M1651" s="74" t="n"/>
      <c r="O1651" s="78">
        <f>IF($A1651="","",YEAR($A1651)*100+MONTH($A1651))</f>
        <v/>
      </c>
      <c r="P1651" s="79">
        <f>IF(OR($F1651="",$D1651=""),"",IF($D1651="Receita",$F1651,IF($D1651="Transferência",0,-$F1651)))</f>
        <v/>
      </c>
    </row>
    <row r="1652">
      <c r="A1652" s="73" t="n"/>
      <c r="B1652" s="74" t="n"/>
      <c r="C1652" s="74" t="n"/>
      <c r="D1652" s="75">
        <f>IF($C1652="","",IFERROR(INDEX(CAT_TIPO,MATCH($C1652,CAT_NOME,0)),"Sem categoria"))</f>
        <v/>
      </c>
      <c r="E1652" s="75">
        <f>IF($C1652="","",IFERROR(INDEX(CAT_GRUPO,MATCH($C1652,CAT_NOME,0)),"Sem categoria"))</f>
        <v/>
      </c>
      <c r="F1652" s="76" t="n"/>
      <c r="G1652" s="74" t="n"/>
      <c r="H1652" s="74" t="n"/>
      <c r="I1652" s="74" t="n"/>
      <c r="J1652" s="77" t="n"/>
      <c r="K1652" s="77" t="n"/>
      <c r="L1652" s="74" t="n"/>
      <c r="M1652" s="74" t="n"/>
      <c r="O1652" s="78">
        <f>IF($A1652="","",YEAR($A1652)*100+MONTH($A1652))</f>
        <v/>
      </c>
      <c r="P1652" s="79">
        <f>IF(OR($F1652="",$D1652=""),"",IF($D1652="Receita",$F1652,IF($D1652="Transferência",0,-$F1652)))</f>
        <v/>
      </c>
    </row>
    <row r="1653">
      <c r="A1653" s="73" t="n"/>
      <c r="B1653" s="74" t="n"/>
      <c r="C1653" s="74" t="n"/>
      <c r="D1653" s="75">
        <f>IF($C1653="","",IFERROR(INDEX(CAT_TIPO,MATCH($C1653,CAT_NOME,0)),"Sem categoria"))</f>
        <v/>
      </c>
      <c r="E1653" s="75">
        <f>IF($C1653="","",IFERROR(INDEX(CAT_GRUPO,MATCH($C1653,CAT_NOME,0)),"Sem categoria"))</f>
        <v/>
      </c>
      <c r="F1653" s="76" t="n"/>
      <c r="G1653" s="74" t="n"/>
      <c r="H1653" s="74" t="n"/>
      <c r="I1653" s="74" t="n"/>
      <c r="J1653" s="77" t="n"/>
      <c r="K1653" s="77" t="n"/>
      <c r="L1653" s="74" t="n"/>
      <c r="M1653" s="74" t="n"/>
      <c r="O1653" s="78">
        <f>IF($A1653="","",YEAR($A1653)*100+MONTH($A1653))</f>
        <v/>
      </c>
      <c r="P1653" s="79">
        <f>IF(OR($F1653="",$D1653=""),"",IF($D1653="Receita",$F1653,IF($D1653="Transferência",0,-$F1653)))</f>
        <v/>
      </c>
    </row>
    <row r="1654">
      <c r="A1654" s="73" t="n"/>
      <c r="B1654" s="74" t="n"/>
      <c r="C1654" s="74" t="n"/>
      <c r="D1654" s="75">
        <f>IF($C1654="","",IFERROR(INDEX(CAT_TIPO,MATCH($C1654,CAT_NOME,0)),"Sem categoria"))</f>
        <v/>
      </c>
      <c r="E1654" s="75">
        <f>IF($C1654="","",IFERROR(INDEX(CAT_GRUPO,MATCH($C1654,CAT_NOME,0)),"Sem categoria"))</f>
        <v/>
      </c>
      <c r="F1654" s="76" t="n"/>
      <c r="G1654" s="74" t="n"/>
      <c r="H1654" s="74" t="n"/>
      <c r="I1654" s="74" t="n"/>
      <c r="J1654" s="77" t="n"/>
      <c r="K1654" s="77" t="n"/>
      <c r="L1654" s="74" t="n"/>
      <c r="M1654" s="74" t="n"/>
      <c r="O1654" s="78">
        <f>IF($A1654="","",YEAR($A1654)*100+MONTH($A1654))</f>
        <v/>
      </c>
      <c r="P1654" s="79">
        <f>IF(OR($F1654="",$D1654=""),"",IF($D1654="Receita",$F1654,IF($D1654="Transferência",0,-$F1654)))</f>
        <v/>
      </c>
    </row>
    <row r="1655">
      <c r="A1655" s="73" t="n"/>
      <c r="B1655" s="74" t="n"/>
      <c r="C1655" s="74" t="n"/>
      <c r="D1655" s="75">
        <f>IF($C1655="","",IFERROR(INDEX(CAT_TIPO,MATCH($C1655,CAT_NOME,0)),"Sem categoria"))</f>
        <v/>
      </c>
      <c r="E1655" s="75">
        <f>IF($C1655="","",IFERROR(INDEX(CAT_GRUPO,MATCH($C1655,CAT_NOME,0)),"Sem categoria"))</f>
        <v/>
      </c>
      <c r="F1655" s="76" t="n"/>
      <c r="G1655" s="74" t="n"/>
      <c r="H1655" s="74" t="n"/>
      <c r="I1655" s="74" t="n"/>
      <c r="J1655" s="77" t="n"/>
      <c r="K1655" s="77" t="n"/>
      <c r="L1655" s="74" t="n"/>
      <c r="M1655" s="74" t="n"/>
      <c r="O1655" s="78">
        <f>IF($A1655="","",YEAR($A1655)*100+MONTH($A1655))</f>
        <v/>
      </c>
      <c r="P1655" s="79">
        <f>IF(OR($F1655="",$D1655=""),"",IF($D1655="Receita",$F1655,IF($D1655="Transferência",0,-$F1655)))</f>
        <v/>
      </c>
    </row>
    <row r="1656">
      <c r="A1656" s="73" t="n"/>
      <c r="B1656" s="74" t="n"/>
      <c r="C1656" s="74" t="n"/>
      <c r="D1656" s="75">
        <f>IF($C1656="","",IFERROR(INDEX(CAT_TIPO,MATCH($C1656,CAT_NOME,0)),"Sem categoria"))</f>
        <v/>
      </c>
      <c r="E1656" s="75">
        <f>IF($C1656="","",IFERROR(INDEX(CAT_GRUPO,MATCH($C1656,CAT_NOME,0)),"Sem categoria"))</f>
        <v/>
      </c>
      <c r="F1656" s="76" t="n"/>
      <c r="G1656" s="74" t="n"/>
      <c r="H1656" s="74" t="n"/>
      <c r="I1656" s="74" t="n"/>
      <c r="J1656" s="77" t="n"/>
      <c r="K1656" s="77" t="n"/>
      <c r="L1656" s="74" t="n"/>
      <c r="M1656" s="74" t="n"/>
      <c r="O1656" s="78">
        <f>IF($A1656="","",YEAR($A1656)*100+MONTH($A1656))</f>
        <v/>
      </c>
      <c r="P1656" s="79">
        <f>IF(OR($F1656="",$D1656=""),"",IF($D1656="Receita",$F1656,IF($D1656="Transferência",0,-$F1656)))</f>
        <v/>
      </c>
    </row>
    <row r="1657">
      <c r="A1657" s="73" t="n"/>
      <c r="B1657" s="74" t="n"/>
      <c r="C1657" s="74" t="n"/>
      <c r="D1657" s="75">
        <f>IF($C1657="","",IFERROR(INDEX(CAT_TIPO,MATCH($C1657,CAT_NOME,0)),"Sem categoria"))</f>
        <v/>
      </c>
      <c r="E1657" s="75">
        <f>IF($C1657="","",IFERROR(INDEX(CAT_GRUPO,MATCH($C1657,CAT_NOME,0)),"Sem categoria"))</f>
        <v/>
      </c>
      <c r="F1657" s="76" t="n"/>
      <c r="G1657" s="74" t="n"/>
      <c r="H1657" s="74" t="n"/>
      <c r="I1657" s="74" t="n"/>
      <c r="J1657" s="77" t="n"/>
      <c r="K1657" s="77" t="n"/>
      <c r="L1657" s="74" t="n"/>
      <c r="M1657" s="74" t="n"/>
      <c r="O1657" s="78">
        <f>IF($A1657="","",YEAR($A1657)*100+MONTH($A1657))</f>
        <v/>
      </c>
      <c r="P1657" s="79">
        <f>IF(OR($F1657="",$D1657=""),"",IF($D1657="Receita",$F1657,IF($D1657="Transferência",0,-$F1657)))</f>
        <v/>
      </c>
    </row>
    <row r="1658">
      <c r="A1658" s="73" t="n"/>
      <c r="B1658" s="74" t="n"/>
      <c r="C1658" s="74" t="n"/>
      <c r="D1658" s="75">
        <f>IF($C1658="","",IFERROR(INDEX(CAT_TIPO,MATCH($C1658,CAT_NOME,0)),"Sem categoria"))</f>
        <v/>
      </c>
      <c r="E1658" s="75">
        <f>IF($C1658="","",IFERROR(INDEX(CAT_GRUPO,MATCH($C1658,CAT_NOME,0)),"Sem categoria"))</f>
        <v/>
      </c>
      <c r="F1658" s="76" t="n"/>
      <c r="G1658" s="74" t="n"/>
      <c r="H1658" s="74" t="n"/>
      <c r="I1658" s="74" t="n"/>
      <c r="J1658" s="77" t="n"/>
      <c r="K1658" s="77" t="n"/>
      <c r="L1658" s="74" t="n"/>
      <c r="M1658" s="74" t="n"/>
      <c r="O1658" s="78">
        <f>IF($A1658="","",YEAR($A1658)*100+MONTH($A1658))</f>
        <v/>
      </c>
      <c r="P1658" s="79">
        <f>IF(OR($F1658="",$D1658=""),"",IF($D1658="Receita",$F1658,IF($D1658="Transferência",0,-$F1658)))</f>
        <v/>
      </c>
    </row>
    <row r="1659">
      <c r="A1659" s="73" t="n"/>
      <c r="B1659" s="74" t="n"/>
      <c r="C1659" s="74" t="n"/>
      <c r="D1659" s="75">
        <f>IF($C1659="","",IFERROR(INDEX(CAT_TIPO,MATCH($C1659,CAT_NOME,0)),"Sem categoria"))</f>
        <v/>
      </c>
      <c r="E1659" s="75">
        <f>IF($C1659="","",IFERROR(INDEX(CAT_GRUPO,MATCH($C1659,CAT_NOME,0)),"Sem categoria"))</f>
        <v/>
      </c>
      <c r="F1659" s="76" t="n"/>
      <c r="G1659" s="74" t="n"/>
      <c r="H1659" s="74" t="n"/>
      <c r="I1659" s="74" t="n"/>
      <c r="J1659" s="77" t="n"/>
      <c r="K1659" s="77" t="n"/>
      <c r="L1659" s="74" t="n"/>
      <c r="M1659" s="74" t="n"/>
      <c r="O1659" s="78">
        <f>IF($A1659="","",YEAR($A1659)*100+MONTH($A1659))</f>
        <v/>
      </c>
      <c r="P1659" s="79">
        <f>IF(OR($F1659="",$D1659=""),"",IF($D1659="Receita",$F1659,IF($D1659="Transferência",0,-$F1659)))</f>
        <v/>
      </c>
    </row>
    <row r="1660">
      <c r="A1660" s="73" t="n"/>
      <c r="B1660" s="74" t="n"/>
      <c r="C1660" s="74" t="n"/>
      <c r="D1660" s="75">
        <f>IF($C1660="","",IFERROR(INDEX(CAT_TIPO,MATCH($C1660,CAT_NOME,0)),"Sem categoria"))</f>
        <v/>
      </c>
      <c r="E1660" s="75">
        <f>IF($C1660="","",IFERROR(INDEX(CAT_GRUPO,MATCH($C1660,CAT_NOME,0)),"Sem categoria"))</f>
        <v/>
      </c>
      <c r="F1660" s="76" t="n"/>
      <c r="G1660" s="74" t="n"/>
      <c r="H1660" s="74" t="n"/>
      <c r="I1660" s="74" t="n"/>
      <c r="J1660" s="77" t="n"/>
      <c r="K1660" s="77" t="n"/>
      <c r="L1660" s="74" t="n"/>
      <c r="M1660" s="74" t="n"/>
      <c r="O1660" s="78">
        <f>IF($A1660="","",YEAR($A1660)*100+MONTH($A1660))</f>
        <v/>
      </c>
      <c r="P1660" s="79">
        <f>IF(OR($F1660="",$D1660=""),"",IF($D1660="Receita",$F1660,IF($D1660="Transferência",0,-$F1660)))</f>
        <v/>
      </c>
    </row>
    <row r="1661">
      <c r="A1661" s="73" t="n"/>
      <c r="B1661" s="74" t="n"/>
      <c r="C1661" s="74" t="n"/>
      <c r="D1661" s="75">
        <f>IF($C1661="","",IFERROR(INDEX(CAT_TIPO,MATCH($C1661,CAT_NOME,0)),"Sem categoria"))</f>
        <v/>
      </c>
      <c r="E1661" s="75">
        <f>IF($C1661="","",IFERROR(INDEX(CAT_GRUPO,MATCH($C1661,CAT_NOME,0)),"Sem categoria"))</f>
        <v/>
      </c>
      <c r="F1661" s="76" t="n"/>
      <c r="G1661" s="74" t="n"/>
      <c r="H1661" s="74" t="n"/>
      <c r="I1661" s="74" t="n"/>
      <c r="J1661" s="77" t="n"/>
      <c r="K1661" s="77" t="n"/>
      <c r="L1661" s="74" t="n"/>
      <c r="M1661" s="74" t="n"/>
      <c r="O1661" s="78">
        <f>IF($A1661="","",YEAR($A1661)*100+MONTH($A1661))</f>
        <v/>
      </c>
      <c r="P1661" s="79">
        <f>IF(OR($F1661="",$D1661=""),"",IF($D1661="Receita",$F1661,IF($D1661="Transferência",0,-$F1661)))</f>
        <v/>
      </c>
    </row>
    <row r="1662">
      <c r="A1662" s="73" t="n"/>
      <c r="B1662" s="74" t="n"/>
      <c r="C1662" s="74" t="n"/>
      <c r="D1662" s="75">
        <f>IF($C1662="","",IFERROR(INDEX(CAT_TIPO,MATCH($C1662,CAT_NOME,0)),"Sem categoria"))</f>
        <v/>
      </c>
      <c r="E1662" s="75">
        <f>IF($C1662="","",IFERROR(INDEX(CAT_GRUPO,MATCH($C1662,CAT_NOME,0)),"Sem categoria"))</f>
        <v/>
      </c>
      <c r="F1662" s="76" t="n"/>
      <c r="G1662" s="74" t="n"/>
      <c r="H1662" s="74" t="n"/>
      <c r="I1662" s="74" t="n"/>
      <c r="J1662" s="77" t="n"/>
      <c r="K1662" s="77" t="n"/>
      <c r="L1662" s="74" t="n"/>
      <c r="M1662" s="74" t="n"/>
      <c r="O1662" s="78">
        <f>IF($A1662="","",YEAR($A1662)*100+MONTH($A1662))</f>
        <v/>
      </c>
      <c r="P1662" s="79">
        <f>IF(OR($F1662="",$D1662=""),"",IF($D1662="Receita",$F1662,IF($D1662="Transferência",0,-$F1662)))</f>
        <v/>
      </c>
    </row>
    <row r="1663">
      <c r="A1663" s="73" t="n"/>
      <c r="B1663" s="74" t="n"/>
      <c r="C1663" s="74" t="n"/>
      <c r="D1663" s="75">
        <f>IF($C1663="","",IFERROR(INDEX(CAT_TIPO,MATCH($C1663,CAT_NOME,0)),"Sem categoria"))</f>
        <v/>
      </c>
      <c r="E1663" s="75">
        <f>IF($C1663="","",IFERROR(INDEX(CAT_GRUPO,MATCH($C1663,CAT_NOME,0)),"Sem categoria"))</f>
        <v/>
      </c>
      <c r="F1663" s="76" t="n"/>
      <c r="G1663" s="74" t="n"/>
      <c r="H1663" s="74" t="n"/>
      <c r="I1663" s="74" t="n"/>
      <c r="J1663" s="77" t="n"/>
      <c r="K1663" s="77" t="n"/>
      <c r="L1663" s="74" t="n"/>
      <c r="M1663" s="74" t="n"/>
      <c r="O1663" s="78">
        <f>IF($A1663="","",YEAR($A1663)*100+MONTH($A1663))</f>
        <v/>
      </c>
      <c r="P1663" s="79">
        <f>IF(OR($F1663="",$D1663=""),"",IF($D1663="Receita",$F1663,IF($D1663="Transferência",0,-$F1663)))</f>
        <v/>
      </c>
    </row>
    <row r="1664">
      <c r="A1664" s="73" t="n"/>
      <c r="B1664" s="74" t="n"/>
      <c r="C1664" s="74" t="n"/>
      <c r="D1664" s="75">
        <f>IF($C1664="","",IFERROR(INDEX(CAT_TIPO,MATCH($C1664,CAT_NOME,0)),"Sem categoria"))</f>
        <v/>
      </c>
      <c r="E1664" s="75">
        <f>IF($C1664="","",IFERROR(INDEX(CAT_GRUPO,MATCH($C1664,CAT_NOME,0)),"Sem categoria"))</f>
        <v/>
      </c>
      <c r="F1664" s="76" t="n"/>
      <c r="G1664" s="74" t="n"/>
      <c r="H1664" s="74" t="n"/>
      <c r="I1664" s="74" t="n"/>
      <c r="J1664" s="77" t="n"/>
      <c r="K1664" s="77" t="n"/>
      <c r="L1664" s="74" t="n"/>
      <c r="M1664" s="74" t="n"/>
      <c r="O1664" s="78">
        <f>IF($A1664="","",YEAR($A1664)*100+MONTH($A1664))</f>
        <v/>
      </c>
      <c r="P1664" s="79">
        <f>IF(OR($F1664="",$D1664=""),"",IF($D1664="Receita",$F1664,IF($D1664="Transferência",0,-$F1664)))</f>
        <v/>
      </c>
    </row>
    <row r="1665">
      <c r="A1665" s="73" t="n"/>
      <c r="B1665" s="74" t="n"/>
      <c r="C1665" s="74" t="n"/>
      <c r="D1665" s="75">
        <f>IF($C1665="","",IFERROR(INDEX(CAT_TIPO,MATCH($C1665,CAT_NOME,0)),"Sem categoria"))</f>
        <v/>
      </c>
      <c r="E1665" s="75">
        <f>IF($C1665="","",IFERROR(INDEX(CAT_GRUPO,MATCH($C1665,CAT_NOME,0)),"Sem categoria"))</f>
        <v/>
      </c>
      <c r="F1665" s="76" t="n"/>
      <c r="G1665" s="74" t="n"/>
      <c r="H1665" s="74" t="n"/>
      <c r="I1665" s="74" t="n"/>
      <c r="J1665" s="77" t="n"/>
      <c r="K1665" s="77" t="n"/>
      <c r="L1665" s="74" t="n"/>
      <c r="M1665" s="74" t="n"/>
      <c r="O1665" s="78">
        <f>IF($A1665="","",YEAR($A1665)*100+MONTH($A1665))</f>
        <v/>
      </c>
      <c r="P1665" s="79">
        <f>IF(OR($F1665="",$D1665=""),"",IF($D1665="Receita",$F1665,IF($D1665="Transferência",0,-$F1665)))</f>
        <v/>
      </c>
    </row>
    <row r="1666">
      <c r="A1666" s="73" t="n"/>
      <c r="B1666" s="74" t="n"/>
      <c r="C1666" s="74" t="n"/>
      <c r="D1666" s="75">
        <f>IF($C1666="","",IFERROR(INDEX(CAT_TIPO,MATCH($C1666,CAT_NOME,0)),"Sem categoria"))</f>
        <v/>
      </c>
      <c r="E1666" s="75">
        <f>IF($C1666="","",IFERROR(INDEX(CAT_GRUPO,MATCH($C1666,CAT_NOME,0)),"Sem categoria"))</f>
        <v/>
      </c>
      <c r="F1666" s="76" t="n"/>
      <c r="G1666" s="74" t="n"/>
      <c r="H1666" s="74" t="n"/>
      <c r="I1666" s="74" t="n"/>
      <c r="J1666" s="77" t="n"/>
      <c r="K1666" s="77" t="n"/>
      <c r="L1666" s="74" t="n"/>
      <c r="M1666" s="74" t="n"/>
      <c r="O1666" s="78">
        <f>IF($A1666="","",YEAR($A1666)*100+MONTH($A1666))</f>
        <v/>
      </c>
      <c r="P1666" s="79">
        <f>IF(OR($F1666="",$D1666=""),"",IF($D1666="Receita",$F1666,IF($D1666="Transferência",0,-$F1666)))</f>
        <v/>
      </c>
    </row>
    <row r="1667">
      <c r="A1667" s="73" t="n"/>
      <c r="B1667" s="74" t="n"/>
      <c r="C1667" s="74" t="n"/>
      <c r="D1667" s="75">
        <f>IF($C1667="","",IFERROR(INDEX(CAT_TIPO,MATCH($C1667,CAT_NOME,0)),"Sem categoria"))</f>
        <v/>
      </c>
      <c r="E1667" s="75">
        <f>IF($C1667="","",IFERROR(INDEX(CAT_GRUPO,MATCH($C1667,CAT_NOME,0)),"Sem categoria"))</f>
        <v/>
      </c>
      <c r="F1667" s="76" t="n"/>
      <c r="G1667" s="74" t="n"/>
      <c r="H1667" s="74" t="n"/>
      <c r="I1667" s="74" t="n"/>
      <c r="J1667" s="77" t="n"/>
      <c r="K1667" s="77" t="n"/>
      <c r="L1667" s="74" t="n"/>
      <c r="M1667" s="74" t="n"/>
      <c r="O1667" s="78">
        <f>IF($A1667="","",YEAR($A1667)*100+MONTH($A1667))</f>
        <v/>
      </c>
      <c r="P1667" s="79">
        <f>IF(OR($F1667="",$D1667=""),"",IF($D1667="Receita",$F1667,IF($D1667="Transferência",0,-$F1667)))</f>
        <v/>
      </c>
    </row>
    <row r="1668">
      <c r="A1668" s="73" t="n"/>
      <c r="B1668" s="74" t="n"/>
      <c r="C1668" s="74" t="n"/>
      <c r="D1668" s="75">
        <f>IF($C1668="","",IFERROR(INDEX(CAT_TIPO,MATCH($C1668,CAT_NOME,0)),"Sem categoria"))</f>
        <v/>
      </c>
      <c r="E1668" s="75">
        <f>IF($C1668="","",IFERROR(INDEX(CAT_GRUPO,MATCH($C1668,CAT_NOME,0)),"Sem categoria"))</f>
        <v/>
      </c>
      <c r="F1668" s="76" t="n"/>
      <c r="G1668" s="74" t="n"/>
      <c r="H1668" s="74" t="n"/>
      <c r="I1668" s="74" t="n"/>
      <c r="J1668" s="77" t="n"/>
      <c r="K1668" s="77" t="n"/>
      <c r="L1668" s="74" t="n"/>
      <c r="M1668" s="74" t="n"/>
      <c r="O1668" s="78">
        <f>IF($A1668="","",YEAR($A1668)*100+MONTH($A1668))</f>
        <v/>
      </c>
      <c r="P1668" s="79">
        <f>IF(OR($F1668="",$D1668=""),"",IF($D1668="Receita",$F1668,IF($D1668="Transferência",0,-$F1668)))</f>
        <v/>
      </c>
    </row>
    <row r="1669">
      <c r="A1669" s="73" t="n"/>
      <c r="B1669" s="74" t="n"/>
      <c r="C1669" s="74" t="n"/>
      <c r="D1669" s="75">
        <f>IF($C1669="","",IFERROR(INDEX(CAT_TIPO,MATCH($C1669,CAT_NOME,0)),"Sem categoria"))</f>
        <v/>
      </c>
      <c r="E1669" s="75">
        <f>IF($C1669="","",IFERROR(INDEX(CAT_GRUPO,MATCH($C1669,CAT_NOME,0)),"Sem categoria"))</f>
        <v/>
      </c>
      <c r="F1669" s="76" t="n"/>
      <c r="G1669" s="74" t="n"/>
      <c r="H1669" s="74" t="n"/>
      <c r="I1669" s="74" t="n"/>
      <c r="J1669" s="77" t="n"/>
      <c r="K1669" s="77" t="n"/>
      <c r="L1669" s="74" t="n"/>
      <c r="M1669" s="74" t="n"/>
      <c r="O1669" s="78">
        <f>IF($A1669="","",YEAR($A1669)*100+MONTH($A1669))</f>
        <v/>
      </c>
      <c r="P1669" s="79">
        <f>IF(OR($F1669="",$D1669=""),"",IF($D1669="Receita",$F1669,IF($D1669="Transferência",0,-$F1669)))</f>
        <v/>
      </c>
    </row>
    <row r="1670">
      <c r="A1670" s="73" t="n"/>
      <c r="B1670" s="74" t="n"/>
      <c r="C1670" s="74" t="n"/>
      <c r="D1670" s="75">
        <f>IF($C1670="","",IFERROR(INDEX(CAT_TIPO,MATCH($C1670,CAT_NOME,0)),"Sem categoria"))</f>
        <v/>
      </c>
      <c r="E1670" s="75">
        <f>IF($C1670="","",IFERROR(INDEX(CAT_GRUPO,MATCH($C1670,CAT_NOME,0)),"Sem categoria"))</f>
        <v/>
      </c>
      <c r="F1670" s="76" t="n"/>
      <c r="G1670" s="74" t="n"/>
      <c r="H1670" s="74" t="n"/>
      <c r="I1670" s="74" t="n"/>
      <c r="J1670" s="77" t="n"/>
      <c r="K1670" s="77" t="n"/>
      <c r="L1670" s="74" t="n"/>
      <c r="M1670" s="74" t="n"/>
      <c r="O1670" s="78">
        <f>IF($A1670="","",YEAR($A1670)*100+MONTH($A1670))</f>
        <v/>
      </c>
      <c r="P1670" s="79">
        <f>IF(OR($F1670="",$D1670=""),"",IF($D1670="Receita",$F1670,IF($D1670="Transferência",0,-$F1670)))</f>
        <v/>
      </c>
    </row>
    <row r="1671">
      <c r="A1671" s="73" t="n"/>
      <c r="B1671" s="74" t="n"/>
      <c r="C1671" s="74" t="n"/>
      <c r="D1671" s="75">
        <f>IF($C1671="","",IFERROR(INDEX(CAT_TIPO,MATCH($C1671,CAT_NOME,0)),"Sem categoria"))</f>
        <v/>
      </c>
      <c r="E1671" s="75">
        <f>IF($C1671="","",IFERROR(INDEX(CAT_GRUPO,MATCH($C1671,CAT_NOME,0)),"Sem categoria"))</f>
        <v/>
      </c>
      <c r="F1671" s="76" t="n"/>
      <c r="G1671" s="74" t="n"/>
      <c r="H1671" s="74" t="n"/>
      <c r="I1671" s="74" t="n"/>
      <c r="J1671" s="77" t="n"/>
      <c r="K1671" s="77" t="n"/>
      <c r="L1671" s="74" t="n"/>
      <c r="M1671" s="74" t="n"/>
      <c r="O1671" s="78">
        <f>IF($A1671="","",YEAR($A1671)*100+MONTH($A1671))</f>
        <v/>
      </c>
      <c r="P1671" s="79">
        <f>IF(OR($F1671="",$D1671=""),"",IF($D1671="Receita",$F1671,IF($D1671="Transferência",0,-$F1671)))</f>
        <v/>
      </c>
    </row>
    <row r="1672">
      <c r="A1672" s="73" t="n"/>
      <c r="B1672" s="74" t="n"/>
      <c r="C1672" s="74" t="n"/>
      <c r="D1672" s="75">
        <f>IF($C1672="","",IFERROR(INDEX(CAT_TIPO,MATCH($C1672,CAT_NOME,0)),"Sem categoria"))</f>
        <v/>
      </c>
      <c r="E1672" s="75">
        <f>IF($C1672="","",IFERROR(INDEX(CAT_GRUPO,MATCH($C1672,CAT_NOME,0)),"Sem categoria"))</f>
        <v/>
      </c>
      <c r="F1672" s="76" t="n"/>
      <c r="G1672" s="74" t="n"/>
      <c r="H1672" s="74" t="n"/>
      <c r="I1672" s="74" t="n"/>
      <c r="J1672" s="77" t="n"/>
      <c r="K1672" s="77" t="n"/>
      <c r="L1672" s="74" t="n"/>
      <c r="M1672" s="74" t="n"/>
      <c r="O1672" s="78">
        <f>IF($A1672="","",YEAR($A1672)*100+MONTH($A1672))</f>
        <v/>
      </c>
      <c r="P1672" s="79">
        <f>IF(OR($F1672="",$D1672=""),"",IF($D1672="Receita",$F1672,IF($D1672="Transferência",0,-$F1672)))</f>
        <v/>
      </c>
    </row>
    <row r="1673">
      <c r="A1673" s="73" t="n"/>
      <c r="B1673" s="74" t="n"/>
      <c r="C1673" s="74" t="n"/>
      <c r="D1673" s="75">
        <f>IF($C1673="","",IFERROR(INDEX(CAT_TIPO,MATCH($C1673,CAT_NOME,0)),"Sem categoria"))</f>
        <v/>
      </c>
      <c r="E1673" s="75">
        <f>IF($C1673="","",IFERROR(INDEX(CAT_GRUPO,MATCH($C1673,CAT_NOME,0)),"Sem categoria"))</f>
        <v/>
      </c>
      <c r="F1673" s="76" t="n"/>
      <c r="G1673" s="74" t="n"/>
      <c r="H1673" s="74" t="n"/>
      <c r="I1673" s="74" t="n"/>
      <c r="J1673" s="77" t="n"/>
      <c r="K1673" s="77" t="n"/>
      <c r="L1673" s="74" t="n"/>
      <c r="M1673" s="74" t="n"/>
      <c r="O1673" s="78">
        <f>IF($A1673="","",YEAR($A1673)*100+MONTH($A1673))</f>
        <v/>
      </c>
      <c r="P1673" s="79">
        <f>IF(OR($F1673="",$D1673=""),"",IF($D1673="Receita",$F1673,IF($D1673="Transferência",0,-$F1673)))</f>
        <v/>
      </c>
    </row>
    <row r="1674">
      <c r="A1674" s="73" t="n"/>
      <c r="B1674" s="74" t="n"/>
      <c r="C1674" s="74" t="n"/>
      <c r="D1674" s="75">
        <f>IF($C1674="","",IFERROR(INDEX(CAT_TIPO,MATCH($C1674,CAT_NOME,0)),"Sem categoria"))</f>
        <v/>
      </c>
      <c r="E1674" s="75">
        <f>IF($C1674="","",IFERROR(INDEX(CAT_GRUPO,MATCH($C1674,CAT_NOME,0)),"Sem categoria"))</f>
        <v/>
      </c>
      <c r="F1674" s="76" t="n"/>
      <c r="G1674" s="74" t="n"/>
      <c r="H1674" s="74" t="n"/>
      <c r="I1674" s="74" t="n"/>
      <c r="J1674" s="77" t="n"/>
      <c r="K1674" s="77" t="n"/>
      <c r="L1674" s="74" t="n"/>
      <c r="M1674" s="74" t="n"/>
      <c r="O1674" s="78">
        <f>IF($A1674="","",YEAR($A1674)*100+MONTH($A1674))</f>
        <v/>
      </c>
      <c r="P1674" s="79">
        <f>IF(OR($F1674="",$D1674=""),"",IF($D1674="Receita",$F1674,IF($D1674="Transferência",0,-$F1674)))</f>
        <v/>
      </c>
    </row>
    <row r="1675">
      <c r="A1675" s="73" t="n"/>
      <c r="B1675" s="74" t="n"/>
      <c r="C1675" s="74" t="n"/>
      <c r="D1675" s="75">
        <f>IF($C1675="","",IFERROR(INDEX(CAT_TIPO,MATCH($C1675,CAT_NOME,0)),"Sem categoria"))</f>
        <v/>
      </c>
      <c r="E1675" s="75">
        <f>IF($C1675="","",IFERROR(INDEX(CAT_GRUPO,MATCH($C1675,CAT_NOME,0)),"Sem categoria"))</f>
        <v/>
      </c>
      <c r="F1675" s="76" t="n"/>
      <c r="G1675" s="74" t="n"/>
      <c r="H1675" s="74" t="n"/>
      <c r="I1675" s="74" t="n"/>
      <c r="J1675" s="77" t="n"/>
      <c r="K1675" s="77" t="n"/>
      <c r="L1675" s="74" t="n"/>
      <c r="M1675" s="74" t="n"/>
      <c r="O1675" s="78">
        <f>IF($A1675="","",YEAR($A1675)*100+MONTH($A1675))</f>
        <v/>
      </c>
      <c r="P1675" s="79">
        <f>IF(OR($F1675="",$D1675=""),"",IF($D1675="Receita",$F1675,IF($D1675="Transferência",0,-$F1675)))</f>
        <v/>
      </c>
    </row>
    <row r="1676">
      <c r="A1676" s="73" t="n"/>
      <c r="B1676" s="74" t="n"/>
      <c r="C1676" s="74" t="n"/>
      <c r="D1676" s="75">
        <f>IF($C1676="","",IFERROR(INDEX(CAT_TIPO,MATCH($C1676,CAT_NOME,0)),"Sem categoria"))</f>
        <v/>
      </c>
      <c r="E1676" s="75">
        <f>IF($C1676="","",IFERROR(INDEX(CAT_GRUPO,MATCH($C1676,CAT_NOME,0)),"Sem categoria"))</f>
        <v/>
      </c>
      <c r="F1676" s="76" t="n"/>
      <c r="G1676" s="74" t="n"/>
      <c r="H1676" s="74" t="n"/>
      <c r="I1676" s="74" t="n"/>
      <c r="J1676" s="77" t="n"/>
      <c r="K1676" s="77" t="n"/>
      <c r="L1676" s="74" t="n"/>
      <c r="M1676" s="74" t="n"/>
      <c r="O1676" s="78">
        <f>IF($A1676="","",YEAR($A1676)*100+MONTH($A1676))</f>
        <v/>
      </c>
      <c r="P1676" s="79">
        <f>IF(OR($F1676="",$D1676=""),"",IF($D1676="Receita",$F1676,IF($D1676="Transferência",0,-$F1676)))</f>
        <v/>
      </c>
    </row>
    <row r="1677">
      <c r="A1677" s="73" t="n"/>
      <c r="B1677" s="74" t="n"/>
      <c r="C1677" s="74" t="n"/>
      <c r="D1677" s="75">
        <f>IF($C1677="","",IFERROR(INDEX(CAT_TIPO,MATCH($C1677,CAT_NOME,0)),"Sem categoria"))</f>
        <v/>
      </c>
      <c r="E1677" s="75">
        <f>IF($C1677="","",IFERROR(INDEX(CAT_GRUPO,MATCH($C1677,CAT_NOME,0)),"Sem categoria"))</f>
        <v/>
      </c>
      <c r="F1677" s="76" t="n"/>
      <c r="G1677" s="74" t="n"/>
      <c r="H1677" s="74" t="n"/>
      <c r="I1677" s="74" t="n"/>
      <c r="J1677" s="77" t="n"/>
      <c r="K1677" s="77" t="n"/>
      <c r="L1677" s="74" t="n"/>
      <c r="M1677" s="74" t="n"/>
      <c r="O1677" s="78">
        <f>IF($A1677="","",YEAR($A1677)*100+MONTH($A1677))</f>
        <v/>
      </c>
      <c r="P1677" s="79">
        <f>IF(OR($F1677="",$D1677=""),"",IF($D1677="Receita",$F1677,IF($D1677="Transferência",0,-$F1677)))</f>
        <v/>
      </c>
    </row>
    <row r="1678">
      <c r="A1678" s="73" t="n"/>
      <c r="B1678" s="74" t="n"/>
      <c r="C1678" s="74" t="n"/>
      <c r="D1678" s="75">
        <f>IF($C1678="","",IFERROR(INDEX(CAT_TIPO,MATCH($C1678,CAT_NOME,0)),"Sem categoria"))</f>
        <v/>
      </c>
      <c r="E1678" s="75">
        <f>IF($C1678="","",IFERROR(INDEX(CAT_GRUPO,MATCH($C1678,CAT_NOME,0)),"Sem categoria"))</f>
        <v/>
      </c>
      <c r="F1678" s="76" t="n"/>
      <c r="G1678" s="74" t="n"/>
      <c r="H1678" s="74" t="n"/>
      <c r="I1678" s="74" t="n"/>
      <c r="J1678" s="77" t="n"/>
      <c r="K1678" s="77" t="n"/>
      <c r="L1678" s="74" t="n"/>
      <c r="M1678" s="74" t="n"/>
      <c r="O1678" s="78">
        <f>IF($A1678="","",YEAR($A1678)*100+MONTH($A1678))</f>
        <v/>
      </c>
      <c r="P1678" s="79">
        <f>IF(OR($F1678="",$D1678=""),"",IF($D1678="Receita",$F1678,IF($D1678="Transferência",0,-$F1678)))</f>
        <v/>
      </c>
    </row>
    <row r="1679">
      <c r="A1679" s="73" t="n"/>
      <c r="B1679" s="74" t="n"/>
      <c r="C1679" s="74" t="n"/>
      <c r="D1679" s="75">
        <f>IF($C1679="","",IFERROR(INDEX(CAT_TIPO,MATCH($C1679,CAT_NOME,0)),"Sem categoria"))</f>
        <v/>
      </c>
      <c r="E1679" s="75">
        <f>IF($C1679="","",IFERROR(INDEX(CAT_GRUPO,MATCH($C1679,CAT_NOME,0)),"Sem categoria"))</f>
        <v/>
      </c>
      <c r="F1679" s="76" t="n"/>
      <c r="G1679" s="74" t="n"/>
      <c r="H1679" s="74" t="n"/>
      <c r="I1679" s="74" t="n"/>
      <c r="J1679" s="77" t="n"/>
      <c r="K1679" s="77" t="n"/>
      <c r="L1679" s="74" t="n"/>
      <c r="M1679" s="74" t="n"/>
      <c r="O1679" s="78">
        <f>IF($A1679="","",YEAR($A1679)*100+MONTH($A1679))</f>
        <v/>
      </c>
      <c r="P1679" s="79">
        <f>IF(OR($F1679="",$D1679=""),"",IF($D1679="Receita",$F1679,IF($D1679="Transferência",0,-$F1679)))</f>
        <v/>
      </c>
    </row>
    <row r="1680">
      <c r="A1680" s="73" t="n"/>
      <c r="B1680" s="74" t="n"/>
      <c r="C1680" s="74" t="n"/>
      <c r="D1680" s="75">
        <f>IF($C1680="","",IFERROR(INDEX(CAT_TIPO,MATCH($C1680,CAT_NOME,0)),"Sem categoria"))</f>
        <v/>
      </c>
      <c r="E1680" s="75">
        <f>IF($C1680="","",IFERROR(INDEX(CAT_GRUPO,MATCH($C1680,CAT_NOME,0)),"Sem categoria"))</f>
        <v/>
      </c>
      <c r="F1680" s="76" t="n"/>
      <c r="G1680" s="74" t="n"/>
      <c r="H1680" s="74" t="n"/>
      <c r="I1680" s="74" t="n"/>
      <c r="J1680" s="77" t="n"/>
      <c r="K1680" s="77" t="n"/>
      <c r="L1680" s="74" t="n"/>
      <c r="M1680" s="74" t="n"/>
      <c r="O1680" s="78">
        <f>IF($A1680="","",YEAR($A1680)*100+MONTH($A1680))</f>
        <v/>
      </c>
      <c r="P1680" s="79">
        <f>IF(OR($F1680="",$D1680=""),"",IF($D1680="Receita",$F1680,IF($D1680="Transferência",0,-$F1680)))</f>
        <v/>
      </c>
    </row>
    <row r="1681">
      <c r="A1681" s="73" t="n"/>
      <c r="B1681" s="74" t="n"/>
      <c r="C1681" s="74" t="n"/>
      <c r="D1681" s="75">
        <f>IF($C1681="","",IFERROR(INDEX(CAT_TIPO,MATCH($C1681,CAT_NOME,0)),"Sem categoria"))</f>
        <v/>
      </c>
      <c r="E1681" s="75">
        <f>IF($C1681="","",IFERROR(INDEX(CAT_GRUPO,MATCH($C1681,CAT_NOME,0)),"Sem categoria"))</f>
        <v/>
      </c>
      <c r="F1681" s="76" t="n"/>
      <c r="G1681" s="74" t="n"/>
      <c r="H1681" s="74" t="n"/>
      <c r="I1681" s="74" t="n"/>
      <c r="J1681" s="77" t="n"/>
      <c r="K1681" s="77" t="n"/>
      <c r="L1681" s="74" t="n"/>
      <c r="M1681" s="74" t="n"/>
      <c r="O1681" s="78">
        <f>IF($A1681="","",YEAR($A1681)*100+MONTH($A1681))</f>
        <v/>
      </c>
      <c r="P1681" s="79">
        <f>IF(OR($F1681="",$D1681=""),"",IF($D1681="Receita",$F1681,IF($D1681="Transferência",0,-$F1681)))</f>
        <v/>
      </c>
    </row>
    <row r="1682">
      <c r="A1682" s="73" t="n"/>
      <c r="B1682" s="74" t="n"/>
      <c r="C1682" s="74" t="n"/>
      <c r="D1682" s="75">
        <f>IF($C1682="","",IFERROR(INDEX(CAT_TIPO,MATCH($C1682,CAT_NOME,0)),"Sem categoria"))</f>
        <v/>
      </c>
      <c r="E1682" s="75">
        <f>IF($C1682="","",IFERROR(INDEX(CAT_GRUPO,MATCH($C1682,CAT_NOME,0)),"Sem categoria"))</f>
        <v/>
      </c>
      <c r="F1682" s="76" t="n"/>
      <c r="G1682" s="74" t="n"/>
      <c r="H1682" s="74" t="n"/>
      <c r="I1682" s="74" t="n"/>
      <c r="J1682" s="77" t="n"/>
      <c r="K1682" s="77" t="n"/>
      <c r="L1682" s="74" t="n"/>
      <c r="M1682" s="74" t="n"/>
      <c r="O1682" s="78">
        <f>IF($A1682="","",YEAR($A1682)*100+MONTH($A1682))</f>
        <v/>
      </c>
      <c r="P1682" s="79">
        <f>IF(OR($F1682="",$D1682=""),"",IF($D1682="Receita",$F1682,IF($D1682="Transferência",0,-$F1682)))</f>
        <v/>
      </c>
    </row>
    <row r="1683">
      <c r="A1683" s="73" t="n"/>
      <c r="B1683" s="74" t="n"/>
      <c r="C1683" s="74" t="n"/>
      <c r="D1683" s="75">
        <f>IF($C1683="","",IFERROR(INDEX(CAT_TIPO,MATCH($C1683,CAT_NOME,0)),"Sem categoria"))</f>
        <v/>
      </c>
      <c r="E1683" s="75">
        <f>IF($C1683="","",IFERROR(INDEX(CAT_GRUPO,MATCH($C1683,CAT_NOME,0)),"Sem categoria"))</f>
        <v/>
      </c>
      <c r="F1683" s="76" t="n"/>
      <c r="G1683" s="74" t="n"/>
      <c r="H1683" s="74" t="n"/>
      <c r="I1683" s="74" t="n"/>
      <c r="J1683" s="77" t="n"/>
      <c r="K1683" s="77" t="n"/>
      <c r="L1683" s="74" t="n"/>
      <c r="M1683" s="74" t="n"/>
      <c r="O1683" s="78">
        <f>IF($A1683="","",YEAR($A1683)*100+MONTH($A1683))</f>
        <v/>
      </c>
      <c r="P1683" s="79">
        <f>IF(OR($F1683="",$D1683=""),"",IF($D1683="Receita",$F1683,IF($D1683="Transferência",0,-$F1683)))</f>
        <v/>
      </c>
    </row>
    <row r="1684">
      <c r="A1684" s="73" t="n"/>
      <c r="B1684" s="74" t="n"/>
      <c r="C1684" s="74" t="n"/>
      <c r="D1684" s="75">
        <f>IF($C1684="","",IFERROR(INDEX(CAT_TIPO,MATCH($C1684,CAT_NOME,0)),"Sem categoria"))</f>
        <v/>
      </c>
      <c r="E1684" s="75">
        <f>IF($C1684="","",IFERROR(INDEX(CAT_GRUPO,MATCH($C1684,CAT_NOME,0)),"Sem categoria"))</f>
        <v/>
      </c>
      <c r="F1684" s="76" t="n"/>
      <c r="G1684" s="74" t="n"/>
      <c r="H1684" s="74" t="n"/>
      <c r="I1684" s="74" t="n"/>
      <c r="J1684" s="77" t="n"/>
      <c r="K1684" s="77" t="n"/>
      <c r="L1684" s="74" t="n"/>
      <c r="M1684" s="74" t="n"/>
      <c r="O1684" s="78">
        <f>IF($A1684="","",YEAR($A1684)*100+MONTH($A1684))</f>
        <v/>
      </c>
      <c r="P1684" s="79">
        <f>IF(OR($F1684="",$D1684=""),"",IF($D1684="Receita",$F1684,IF($D1684="Transferência",0,-$F1684)))</f>
        <v/>
      </c>
    </row>
    <row r="1685">
      <c r="A1685" s="73" t="n"/>
      <c r="B1685" s="74" t="n"/>
      <c r="C1685" s="74" t="n"/>
      <c r="D1685" s="75">
        <f>IF($C1685="","",IFERROR(INDEX(CAT_TIPO,MATCH($C1685,CAT_NOME,0)),"Sem categoria"))</f>
        <v/>
      </c>
      <c r="E1685" s="75">
        <f>IF($C1685="","",IFERROR(INDEX(CAT_GRUPO,MATCH($C1685,CAT_NOME,0)),"Sem categoria"))</f>
        <v/>
      </c>
      <c r="F1685" s="76" t="n"/>
      <c r="G1685" s="74" t="n"/>
      <c r="H1685" s="74" t="n"/>
      <c r="I1685" s="74" t="n"/>
      <c r="J1685" s="77" t="n"/>
      <c r="K1685" s="77" t="n"/>
      <c r="L1685" s="74" t="n"/>
      <c r="M1685" s="74" t="n"/>
      <c r="O1685" s="78">
        <f>IF($A1685="","",YEAR($A1685)*100+MONTH($A1685))</f>
        <v/>
      </c>
      <c r="P1685" s="79">
        <f>IF(OR($F1685="",$D1685=""),"",IF($D1685="Receita",$F1685,IF($D1685="Transferência",0,-$F1685)))</f>
        <v/>
      </c>
    </row>
    <row r="1686">
      <c r="A1686" s="73" t="n"/>
      <c r="B1686" s="74" t="n"/>
      <c r="C1686" s="74" t="n"/>
      <c r="D1686" s="75">
        <f>IF($C1686="","",IFERROR(INDEX(CAT_TIPO,MATCH($C1686,CAT_NOME,0)),"Sem categoria"))</f>
        <v/>
      </c>
      <c r="E1686" s="75">
        <f>IF($C1686="","",IFERROR(INDEX(CAT_GRUPO,MATCH($C1686,CAT_NOME,0)),"Sem categoria"))</f>
        <v/>
      </c>
      <c r="F1686" s="76" t="n"/>
      <c r="G1686" s="74" t="n"/>
      <c r="H1686" s="74" t="n"/>
      <c r="I1686" s="74" t="n"/>
      <c r="J1686" s="77" t="n"/>
      <c r="K1686" s="77" t="n"/>
      <c r="L1686" s="74" t="n"/>
      <c r="M1686" s="74" t="n"/>
      <c r="O1686" s="78">
        <f>IF($A1686="","",YEAR($A1686)*100+MONTH($A1686))</f>
        <v/>
      </c>
      <c r="P1686" s="79">
        <f>IF(OR($F1686="",$D1686=""),"",IF($D1686="Receita",$F1686,IF($D1686="Transferência",0,-$F1686)))</f>
        <v/>
      </c>
    </row>
    <row r="1687">
      <c r="A1687" s="73" t="n"/>
      <c r="B1687" s="74" t="n"/>
      <c r="C1687" s="74" t="n"/>
      <c r="D1687" s="75">
        <f>IF($C1687="","",IFERROR(INDEX(CAT_TIPO,MATCH($C1687,CAT_NOME,0)),"Sem categoria"))</f>
        <v/>
      </c>
      <c r="E1687" s="75">
        <f>IF($C1687="","",IFERROR(INDEX(CAT_GRUPO,MATCH($C1687,CAT_NOME,0)),"Sem categoria"))</f>
        <v/>
      </c>
      <c r="F1687" s="76" t="n"/>
      <c r="G1687" s="74" t="n"/>
      <c r="H1687" s="74" t="n"/>
      <c r="I1687" s="74" t="n"/>
      <c r="J1687" s="77" t="n"/>
      <c r="K1687" s="77" t="n"/>
      <c r="L1687" s="74" t="n"/>
      <c r="M1687" s="74" t="n"/>
      <c r="O1687" s="78">
        <f>IF($A1687="","",YEAR($A1687)*100+MONTH($A1687))</f>
        <v/>
      </c>
      <c r="P1687" s="79">
        <f>IF(OR($F1687="",$D1687=""),"",IF($D1687="Receita",$F1687,IF($D1687="Transferência",0,-$F1687)))</f>
        <v/>
      </c>
    </row>
    <row r="1688">
      <c r="A1688" s="73" t="n"/>
      <c r="B1688" s="74" t="n"/>
      <c r="C1688" s="74" t="n"/>
      <c r="D1688" s="75">
        <f>IF($C1688="","",IFERROR(INDEX(CAT_TIPO,MATCH($C1688,CAT_NOME,0)),"Sem categoria"))</f>
        <v/>
      </c>
      <c r="E1688" s="75">
        <f>IF($C1688="","",IFERROR(INDEX(CAT_GRUPO,MATCH($C1688,CAT_NOME,0)),"Sem categoria"))</f>
        <v/>
      </c>
      <c r="F1688" s="76" t="n"/>
      <c r="G1688" s="74" t="n"/>
      <c r="H1688" s="74" t="n"/>
      <c r="I1688" s="74" t="n"/>
      <c r="J1688" s="77" t="n"/>
      <c r="K1688" s="77" t="n"/>
      <c r="L1688" s="74" t="n"/>
      <c r="M1688" s="74" t="n"/>
      <c r="O1688" s="78">
        <f>IF($A1688="","",YEAR($A1688)*100+MONTH($A1688))</f>
        <v/>
      </c>
      <c r="P1688" s="79">
        <f>IF(OR($F1688="",$D1688=""),"",IF($D1688="Receita",$F1688,IF($D1688="Transferência",0,-$F1688)))</f>
        <v/>
      </c>
    </row>
    <row r="1689">
      <c r="A1689" s="73" t="n"/>
      <c r="B1689" s="74" t="n"/>
      <c r="C1689" s="74" t="n"/>
      <c r="D1689" s="75">
        <f>IF($C1689="","",IFERROR(INDEX(CAT_TIPO,MATCH($C1689,CAT_NOME,0)),"Sem categoria"))</f>
        <v/>
      </c>
      <c r="E1689" s="75">
        <f>IF($C1689="","",IFERROR(INDEX(CAT_GRUPO,MATCH($C1689,CAT_NOME,0)),"Sem categoria"))</f>
        <v/>
      </c>
      <c r="F1689" s="76" t="n"/>
      <c r="G1689" s="74" t="n"/>
      <c r="H1689" s="74" t="n"/>
      <c r="I1689" s="74" t="n"/>
      <c r="J1689" s="77" t="n"/>
      <c r="K1689" s="77" t="n"/>
      <c r="L1689" s="74" t="n"/>
      <c r="M1689" s="74" t="n"/>
      <c r="O1689" s="78">
        <f>IF($A1689="","",YEAR($A1689)*100+MONTH($A1689))</f>
        <v/>
      </c>
      <c r="P1689" s="79">
        <f>IF(OR($F1689="",$D1689=""),"",IF($D1689="Receita",$F1689,IF($D1689="Transferência",0,-$F1689)))</f>
        <v/>
      </c>
    </row>
    <row r="1690">
      <c r="A1690" s="73" t="n"/>
      <c r="B1690" s="74" t="n"/>
      <c r="C1690" s="74" t="n"/>
      <c r="D1690" s="75">
        <f>IF($C1690="","",IFERROR(INDEX(CAT_TIPO,MATCH($C1690,CAT_NOME,0)),"Sem categoria"))</f>
        <v/>
      </c>
      <c r="E1690" s="75">
        <f>IF($C1690="","",IFERROR(INDEX(CAT_GRUPO,MATCH($C1690,CAT_NOME,0)),"Sem categoria"))</f>
        <v/>
      </c>
      <c r="F1690" s="76" t="n"/>
      <c r="G1690" s="74" t="n"/>
      <c r="H1690" s="74" t="n"/>
      <c r="I1690" s="74" t="n"/>
      <c r="J1690" s="77" t="n"/>
      <c r="K1690" s="77" t="n"/>
      <c r="L1690" s="74" t="n"/>
      <c r="M1690" s="74" t="n"/>
      <c r="O1690" s="78">
        <f>IF($A1690="","",YEAR($A1690)*100+MONTH($A1690))</f>
        <v/>
      </c>
      <c r="P1690" s="79">
        <f>IF(OR($F1690="",$D1690=""),"",IF($D1690="Receita",$F1690,IF($D1690="Transferência",0,-$F1690)))</f>
        <v/>
      </c>
    </row>
    <row r="1691">
      <c r="A1691" s="73" t="n"/>
      <c r="B1691" s="74" t="n"/>
      <c r="C1691" s="74" t="n"/>
      <c r="D1691" s="75">
        <f>IF($C1691="","",IFERROR(INDEX(CAT_TIPO,MATCH($C1691,CAT_NOME,0)),"Sem categoria"))</f>
        <v/>
      </c>
      <c r="E1691" s="75">
        <f>IF($C1691="","",IFERROR(INDEX(CAT_GRUPO,MATCH($C1691,CAT_NOME,0)),"Sem categoria"))</f>
        <v/>
      </c>
      <c r="F1691" s="76" t="n"/>
      <c r="G1691" s="74" t="n"/>
      <c r="H1691" s="74" t="n"/>
      <c r="I1691" s="74" t="n"/>
      <c r="J1691" s="77" t="n"/>
      <c r="K1691" s="77" t="n"/>
      <c r="L1691" s="74" t="n"/>
      <c r="M1691" s="74" t="n"/>
      <c r="O1691" s="78">
        <f>IF($A1691="","",YEAR($A1691)*100+MONTH($A1691))</f>
        <v/>
      </c>
      <c r="P1691" s="79">
        <f>IF(OR($F1691="",$D1691=""),"",IF($D1691="Receita",$F1691,IF($D1691="Transferência",0,-$F1691)))</f>
        <v/>
      </c>
    </row>
    <row r="1692">
      <c r="A1692" s="73" t="n"/>
      <c r="B1692" s="74" t="n"/>
      <c r="C1692" s="74" t="n"/>
      <c r="D1692" s="75">
        <f>IF($C1692="","",IFERROR(INDEX(CAT_TIPO,MATCH($C1692,CAT_NOME,0)),"Sem categoria"))</f>
        <v/>
      </c>
      <c r="E1692" s="75">
        <f>IF($C1692="","",IFERROR(INDEX(CAT_GRUPO,MATCH($C1692,CAT_NOME,0)),"Sem categoria"))</f>
        <v/>
      </c>
      <c r="F1692" s="76" t="n"/>
      <c r="G1692" s="74" t="n"/>
      <c r="H1692" s="74" t="n"/>
      <c r="I1692" s="74" t="n"/>
      <c r="J1692" s="77" t="n"/>
      <c r="K1692" s="77" t="n"/>
      <c r="L1692" s="74" t="n"/>
      <c r="M1692" s="74" t="n"/>
      <c r="O1692" s="78">
        <f>IF($A1692="","",YEAR($A1692)*100+MONTH($A1692))</f>
        <v/>
      </c>
      <c r="P1692" s="79">
        <f>IF(OR($F1692="",$D1692=""),"",IF($D1692="Receita",$F1692,IF($D1692="Transferência",0,-$F1692)))</f>
        <v/>
      </c>
    </row>
    <row r="1693">
      <c r="A1693" s="73" t="n"/>
      <c r="B1693" s="74" t="n"/>
      <c r="C1693" s="74" t="n"/>
      <c r="D1693" s="75">
        <f>IF($C1693="","",IFERROR(INDEX(CAT_TIPO,MATCH($C1693,CAT_NOME,0)),"Sem categoria"))</f>
        <v/>
      </c>
      <c r="E1693" s="75">
        <f>IF($C1693="","",IFERROR(INDEX(CAT_GRUPO,MATCH($C1693,CAT_NOME,0)),"Sem categoria"))</f>
        <v/>
      </c>
      <c r="F1693" s="76" t="n"/>
      <c r="G1693" s="74" t="n"/>
      <c r="H1693" s="74" t="n"/>
      <c r="I1693" s="74" t="n"/>
      <c r="J1693" s="77" t="n"/>
      <c r="K1693" s="77" t="n"/>
      <c r="L1693" s="74" t="n"/>
      <c r="M1693" s="74" t="n"/>
      <c r="O1693" s="78">
        <f>IF($A1693="","",YEAR($A1693)*100+MONTH($A1693))</f>
        <v/>
      </c>
      <c r="P1693" s="79">
        <f>IF(OR($F1693="",$D1693=""),"",IF($D1693="Receita",$F1693,IF($D1693="Transferência",0,-$F1693)))</f>
        <v/>
      </c>
    </row>
    <row r="1694">
      <c r="A1694" s="73" t="n"/>
      <c r="B1694" s="74" t="n"/>
      <c r="C1694" s="74" t="n"/>
      <c r="D1694" s="75">
        <f>IF($C1694="","",IFERROR(INDEX(CAT_TIPO,MATCH($C1694,CAT_NOME,0)),"Sem categoria"))</f>
        <v/>
      </c>
      <c r="E1694" s="75">
        <f>IF($C1694="","",IFERROR(INDEX(CAT_GRUPO,MATCH($C1694,CAT_NOME,0)),"Sem categoria"))</f>
        <v/>
      </c>
      <c r="F1694" s="76" t="n"/>
      <c r="G1694" s="74" t="n"/>
      <c r="H1694" s="74" t="n"/>
      <c r="I1694" s="74" t="n"/>
      <c r="J1694" s="77" t="n"/>
      <c r="K1694" s="77" t="n"/>
      <c r="L1694" s="74" t="n"/>
      <c r="M1694" s="74" t="n"/>
      <c r="O1694" s="78">
        <f>IF($A1694="","",YEAR($A1694)*100+MONTH($A1694))</f>
        <v/>
      </c>
      <c r="P1694" s="79">
        <f>IF(OR($F1694="",$D1694=""),"",IF($D1694="Receita",$F1694,IF($D1694="Transferência",0,-$F1694)))</f>
        <v/>
      </c>
    </row>
    <row r="1695">
      <c r="A1695" s="73" t="n"/>
      <c r="B1695" s="74" t="n"/>
      <c r="C1695" s="74" t="n"/>
      <c r="D1695" s="75">
        <f>IF($C1695="","",IFERROR(INDEX(CAT_TIPO,MATCH($C1695,CAT_NOME,0)),"Sem categoria"))</f>
        <v/>
      </c>
      <c r="E1695" s="75">
        <f>IF($C1695="","",IFERROR(INDEX(CAT_GRUPO,MATCH($C1695,CAT_NOME,0)),"Sem categoria"))</f>
        <v/>
      </c>
      <c r="F1695" s="76" t="n"/>
      <c r="G1695" s="74" t="n"/>
      <c r="H1695" s="74" t="n"/>
      <c r="I1695" s="74" t="n"/>
      <c r="J1695" s="77" t="n"/>
      <c r="K1695" s="77" t="n"/>
      <c r="L1695" s="74" t="n"/>
      <c r="M1695" s="74" t="n"/>
      <c r="O1695" s="78">
        <f>IF($A1695="","",YEAR($A1695)*100+MONTH($A1695))</f>
        <v/>
      </c>
      <c r="P1695" s="79">
        <f>IF(OR($F1695="",$D1695=""),"",IF($D1695="Receita",$F1695,IF($D1695="Transferência",0,-$F1695)))</f>
        <v/>
      </c>
    </row>
    <row r="1696">
      <c r="A1696" s="73" t="n"/>
      <c r="B1696" s="74" t="n"/>
      <c r="C1696" s="74" t="n"/>
      <c r="D1696" s="75">
        <f>IF($C1696="","",IFERROR(INDEX(CAT_TIPO,MATCH($C1696,CAT_NOME,0)),"Sem categoria"))</f>
        <v/>
      </c>
      <c r="E1696" s="75">
        <f>IF($C1696="","",IFERROR(INDEX(CAT_GRUPO,MATCH($C1696,CAT_NOME,0)),"Sem categoria"))</f>
        <v/>
      </c>
      <c r="F1696" s="76" t="n"/>
      <c r="G1696" s="74" t="n"/>
      <c r="H1696" s="74" t="n"/>
      <c r="I1696" s="74" t="n"/>
      <c r="J1696" s="77" t="n"/>
      <c r="K1696" s="77" t="n"/>
      <c r="L1696" s="74" t="n"/>
      <c r="M1696" s="74" t="n"/>
      <c r="O1696" s="78">
        <f>IF($A1696="","",YEAR($A1696)*100+MONTH($A1696))</f>
        <v/>
      </c>
      <c r="P1696" s="79">
        <f>IF(OR($F1696="",$D1696=""),"",IF($D1696="Receita",$F1696,IF($D1696="Transferência",0,-$F1696)))</f>
        <v/>
      </c>
    </row>
    <row r="1697">
      <c r="A1697" s="73" t="n"/>
      <c r="B1697" s="74" t="n"/>
      <c r="C1697" s="74" t="n"/>
      <c r="D1697" s="75">
        <f>IF($C1697="","",IFERROR(INDEX(CAT_TIPO,MATCH($C1697,CAT_NOME,0)),"Sem categoria"))</f>
        <v/>
      </c>
      <c r="E1697" s="75">
        <f>IF($C1697="","",IFERROR(INDEX(CAT_GRUPO,MATCH($C1697,CAT_NOME,0)),"Sem categoria"))</f>
        <v/>
      </c>
      <c r="F1697" s="76" t="n"/>
      <c r="G1697" s="74" t="n"/>
      <c r="H1697" s="74" t="n"/>
      <c r="I1697" s="74" t="n"/>
      <c r="J1697" s="77" t="n"/>
      <c r="K1697" s="77" t="n"/>
      <c r="L1697" s="74" t="n"/>
      <c r="M1697" s="74" t="n"/>
      <c r="O1697" s="78">
        <f>IF($A1697="","",YEAR($A1697)*100+MONTH($A1697))</f>
        <v/>
      </c>
      <c r="P1697" s="79">
        <f>IF(OR($F1697="",$D1697=""),"",IF($D1697="Receita",$F1697,IF($D1697="Transferência",0,-$F1697)))</f>
        <v/>
      </c>
    </row>
    <row r="1698">
      <c r="A1698" s="73" t="n"/>
      <c r="B1698" s="74" t="n"/>
      <c r="C1698" s="74" t="n"/>
      <c r="D1698" s="75">
        <f>IF($C1698="","",IFERROR(INDEX(CAT_TIPO,MATCH($C1698,CAT_NOME,0)),"Sem categoria"))</f>
        <v/>
      </c>
      <c r="E1698" s="75">
        <f>IF($C1698="","",IFERROR(INDEX(CAT_GRUPO,MATCH($C1698,CAT_NOME,0)),"Sem categoria"))</f>
        <v/>
      </c>
      <c r="F1698" s="76" t="n"/>
      <c r="G1698" s="74" t="n"/>
      <c r="H1698" s="74" t="n"/>
      <c r="I1698" s="74" t="n"/>
      <c r="J1698" s="77" t="n"/>
      <c r="K1698" s="77" t="n"/>
      <c r="L1698" s="74" t="n"/>
      <c r="M1698" s="74" t="n"/>
      <c r="O1698" s="78">
        <f>IF($A1698="","",YEAR($A1698)*100+MONTH($A1698))</f>
        <v/>
      </c>
      <c r="P1698" s="79">
        <f>IF(OR($F1698="",$D1698=""),"",IF($D1698="Receita",$F1698,IF($D1698="Transferência",0,-$F1698)))</f>
        <v/>
      </c>
    </row>
    <row r="1699">
      <c r="A1699" s="73" t="n"/>
      <c r="B1699" s="74" t="n"/>
      <c r="C1699" s="74" t="n"/>
      <c r="D1699" s="75">
        <f>IF($C1699="","",IFERROR(INDEX(CAT_TIPO,MATCH($C1699,CAT_NOME,0)),"Sem categoria"))</f>
        <v/>
      </c>
      <c r="E1699" s="75">
        <f>IF($C1699="","",IFERROR(INDEX(CAT_GRUPO,MATCH($C1699,CAT_NOME,0)),"Sem categoria"))</f>
        <v/>
      </c>
      <c r="F1699" s="76" t="n"/>
      <c r="G1699" s="74" t="n"/>
      <c r="H1699" s="74" t="n"/>
      <c r="I1699" s="74" t="n"/>
      <c r="J1699" s="77" t="n"/>
      <c r="K1699" s="77" t="n"/>
      <c r="L1699" s="74" t="n"/>
      <c r="M1699" s="74" t="n"/>
      <c r="O1699" s="78">
        <f>IF($A1699="","",YEAR($A1699)*100+MONTH($A1699))</f>
        <v/>
      </c>
      <c r="P1699" s="79">
        <f>IF(OR($F1699="",$D1699=""),"",IF($D1699="Receita",$F1699,IF($D1699="Transferência",0,-$F1699)))</f>
        <v/>
      </c>
    </row>
    <row r="1700">
      <c r="A1700" s="73" t="n"/>
      <c r="B1700" s="74" t="n"/>
      <c r="C1700" s="74" t="n"/>
      <c r="D1700" s="75">
        <f>IF($C1700="","",IFERROR(INDEX(CAT_TIPO,MATCH($C1700,CAT_NOME,0)),"Sem categoria"))</f>
        <v/>
      </c>
      <c r="E1700" s="75">
        <f>IF($C1700="","",IFERROR(INDEX(CAT_GRUPO,MATCH($C1700,CAT_NOME,0)),"Sem categoria"))</f>
        <v/>
      </c>
      <c r="F1700" s="76" t="n"/>
      <c r="G1700" s="74" t="n"/>
      <c r="H1700" s="74" t="n"/>
      <c r="I1700" s="74" t="n"/>
      <c r="J1700" s="77" t="n"/>
      <c r="K1700" s="77" t="n"/>
      <c r="L1700" s="74" t="n"/>
      <c r="M1700" s="74" t="n"/>
      <c r="O1700" s="78">
        <f>IF($A1700="","",YEAR($A1700)*100+MONTH($A1700))</f>
        <v/>
      </c>
      <c r="P1700" s="79">
        <f>IF(OR($F1700="",$D1700=""),"",IF($D1700="Receita",$F1700,IF($D1700="Transferência",0,-$F1700)))</f>
        <v/>
      </c>
    </row>
    <row r="1701">
      <c r="A1701" s="73" t="n"/>
      <c r="B1701" s="74" t="n"/>
      <c r="C1701" s="74" t="n"/>
      <c r="D1701" s="75">
        <f>IF($C1701="","",IFERROR(INDEX(CAT_TIPO,MATCH($C1701,CAT_NOME,0)),"Sem categoria"))</f>
        <v/>
      </c>
      <c r="E1701" s="75">
        <f>IF($C1701="","",IFERROR(INDEX(CAT_GRUPO,MATCH($C1701,CAT_NOME,0)),"Sem categoria"))</f>
        <v/>
      </c>
      <c r="F1701" s="76" t="n"/>
      <c r="G1701" s="74" t="n"/>
      <c r="H1701" s="74" t="n"/>
      <c r="I1701" s="74" t="n"/>
      <c r="J1701" s="77" t="n"/>
      <c r="K1701" s="77" t="n"/>
      <c r="L1701" s="74" t="n"/>
      <c r="M1701" s="74" t="n"/>
      <c r="O1701" s="78">
        <f>IF($A1701="","",YEAR($A1701)*100+MONTH($A1701))</f>
        <v/>
      </c>
      <c r="P1701" s="79">
        <f>IF(OR($F1701="",$D1701=""),"",IF($D1701="Receita",$F1701,IF($D1701="Transferência",0,-$F1701)))</f>
        <v/>
      </c>
    </row>
    <row r="1702">
      <c r="A1702" s="73" t="n"/>
      <c r="B1702" s="74" t="n"/>
      <c r="C1702" s="74" t="n"/>
      <c r="D1702" s="75">
        <f>IF($C1702="","",IFERROR(INDEX(CAT_TIPO,MATCH($C1702,CAT_NOME,0)),"Sem categoria"))</f>
        <v/>
      </c>
      <c r="E1702" s="75">
        <f>IF($C1702="","",IFERROR(INDEX(CAT_GRUPO,MATCH($C1702,CAT_NOME,0)),"Sem categoria"))</f>
        <v/>
      </c>
      <c r="F1702" s="76" t="n"/>
      <c r="G1702" s="74" t="n"/>
      <c r="H1702" s="74" t="n"/>
      <c r="I1702" s="74" t="n"/>
      <c r="J1702" s="77" t="n"/>
      <c r="K1702" s="77" t="n"/>
      <c r="L1702" s="74" t="n"/>
      <c r="M1702" s="74" t="n"/>
      <c r="O1702" s="78">
        <f>IF($A1702="","",YEAR($A1702)*100+MONTH($A1702))</f>
        <v/>
      </c>
      <c r="P1702" s="79">
        <f>IF(OR($F1702="",$D1702=""),"",IF($D1702="Receita",$F1702,IF($D1702="Transferência",0,-$F1702)))</f>
        <v/>
      </c>
    </row>
    <row r="1703">
      <c r="A1703" s="73" t="n"/>
      <c r="B1703" s="74" t="n"/>
      <c r="C1703" s="74" t="n"/>
      <c r="D1703" s="75">
        <f>IF($C1703="","",IFERROR(INDEX(CAT_TIPO,MATCH($C1703,CAT_NOME,0)),"Sem categoria"))</f>
        <v/>
      </c>
      <c r="E1703" s="75">
        <f>IF($C1703="","",IFERROR(INDEX(CAT_GRUPO,MATCH($C1703,CAT_NOME,0)),"Sem categoria"))</f>
        <v/>
      </c>
      <c r="F1703" s="76" t="n"/>
      <c r="G1703" s="74" t="n"/>
      <c r="H1703" s="74" t="n"/>
      <c r="I1703" s="74" t="n"/>
      <c r="J1703" s="77" t="n"/>
      <c r="K1703" s="77" t="n"/>
      <c r="L1703" s="74" t="n"/>
      <c r="M1703" s="74" t="n"/>
      <c r="O1703" s="78">
        <f>IF($A1703="","",YEAR($A1703)*100+MONTH($A1703))</f>
        <v/>
      </c>
      <c r="P1703" s="79">
        <f>IF(OR($F1703="",$D1703=""),"",IF($D1703="Receita",$F1703,IF($D1703="Transferência",0,-$F1703)))</f>
        <v/>
      </c>
    </row>
    <row r="1704">
      <c r="A1704" s="73" t="n"/>
      <c r="B1704" s="74" t="n"/>
      <c r="C1704" s="74" t="n"/>
      <c r="D1704" s="75">
        <f>IF($C1704="","",IFERROR(INDEX(CAT_TIPO,MATCH($C1704,CAT_NOME,0)),"Sem categoria"))</f>
        <v/>
      </c>
      <c r="E1704" s="75">
        <f>IF($C1704="","",IFERROR(INDEX(CAT_GRUPO,MATCH($C1704,CAT_NOME,0)),"Sem categoria"))</f>
        <v/>
      </c>
      <c r="F1704" s="76" t="n"/>
      <c r="G1704" s="74" t="n"/>
      <c r="H1704" s="74" t="n"/>
      <c r="I1704" s="74" t="n"/>
      <c r="J1704" s="77" t="n"/>
      <c r="K1704" s="77" t="n"/>
      <c r="L1704" s="74" t="n"/>
      <c r="M1704" s="74" t="n"/>
      <c r="O1704" s="78">
        <f>IF($A1704="","",YEAR($A1704)*100+MONTH($A1704))</f>
        <v/>
      </c>
      <c r="P1704" s="79">
        <f>IF(OR($F1704="",$D1704=""),"",IF($D1704="Receita",$F1704,IF($D1704="Transferência",0,-$F1704)))</f>
        <v/>
      </c>
    </row>
    <row r="1705">
      <c r="A1705" s="73" t="n"/>
      <c r="B1705" s="74" t="n"/>
      <c r="C1705" s="74" t="n"/>
      <c r="D1705" s="75">
        <f>IF($C1705="","",IFERROR(INDEX(CAT_TIPO,MATCH($C1705,CAT_NOME,0)),"Sem categoria"))</f>
        <v/>
      </c>
      <c r="E1705" s="75">
        <f>IF($C1705="","",IFERROR(INDEX(CAT_GRUPO,MATCH($C1705,CAT_NOME,0)),"Sem categoria"))</f>
        <v/>
      </c>
      <c r="F1705" s="76" t="n"/>
      <c r="G1705" s="74" t="n"/>
      <c r="H1705" s="74" t="n"/>
      <c r="I1705" s="74" t="n"/>
      <c r="J1705" s="77" t="n"/>
      <c r="K1705" s="77" t="n"/>
      <c r="L1705" s="74" t="n"/>
      <c r="M1705" s="74" t="n"/>
      <c r="O1705" s="78">
        <f>IF($A1705="","",YEAR($A1705)*100+MONTH($A1705))</f>
        <v/>
      </c>
      <c r="P1705" s="79">
        <f>IF(OR($F1705="",$D1705=""),"",IF($D1705="Receita",$F1705,IF($D1705="Transferência",0,-$F1705)))</f>
        <v/>
      </c>
    </row>
    <row r="1706">
      <c r="A1706" s="73" t="n"/>
      <c r="B1706" s="74" t="n"/>
      <c r="C1706" s="74" t="n"/>
      <c r="D1706" s="75">
        <f>IF($C1706="","",IFERROR(INDEX(CAT_TIPO,MATCH($C1706,CAT_NOME,0)),"Sem categoria"))</f>
        <v/>
      </c>
      <c r="E1706" s="75">
        <f>IF($C1706="","",IFERROR(INDEX(CAT_GRUPO,MATCH($C1706,CAT_NOME,0)),"Sem categoria"))</f>
        <v/>
      </c>
      <c r="F1706" s="76" t="n"/>
      <c r="G1706" s="74" t="n"/>
      <c r="H1706" s="74" t="n"/>
      <c r="I1706" s="74" t="n"/>
      <c r="J1706" s="77" t="n"/>
      <c r="K1706" s="77" t="n"/>
      <c r="L1706" s="74" t="n"/>
      <c r="M1706" s="74" t="n"/>
      <c r="O1706" s="78">
        <f>IF($A1706="","",YEAR($A1706)*100+MONTH($A1706))</f>
        <v/>
      </c>
      <c r="P1706" s="79">
        <f>IF(OR($F1706="",$D1706=""),"",IF($D1706="Receita",$F1706,IF($D1706="Transferência",0,-$F1706)))</f>
        <v/>
      </c>
    </row>
    <row r="1707">
      <c r="A1707" s="73" t="n"/>
      <c r="B1707" s="74" t="n"/>
      <c r="C1707" s="74" t="n"/>
      <c r="D1707" s="75">
        <f>IF($C1707="","",IFERROR(INDEX(CAT_TIPO,MATCH($C1707,CAT_NOME,0)),"Sem categoria"))</f>
        <v/>
      </c>
      <c r="E1707" s="75">
        <f>IF($C1707="","",IFERROR(INDEX(CAT_GRUPO,MATCH($C1707,CAT_NOME,0)),"Sem categoria"))</f>
        <v/>
      </c>
      <c r="F1707" s="76" t="n"/>
      <c r="G1707" s="74" t="n"/>
      <c r="H1707" s="74" t="n"/>
      <c r="I1707" s="74" t="n"/>
      <c r="J1707" s="77" t="n"/>
      <c r="K1707" s="77" t="n"/>
      <c r="L1707" s="74" t="n"/>
      <c r="M1707" s="74" t="n"/>
      <c r="O1707" s="78">
        <f>IF($A1707="","",YEAR($A1707)*100+MONTH($A1707))</f>
        <v/>
      </c>
      <c r="P1707" s="79">
        <f>IF(OR($F1707="",$D1707=""),"",IF($D1707="Receita",$F1707,IF($D1707="Transferência",0,-$F1707)))</f>
        <v/>
      </c>
    </row>
    <row r="1708">
      <c r="A1708" s="73" t="n"/>
      <c r="B1708" s="74" t="n"/>
      <c r="C1708" s="74" t="n"/>
      <c r="D1708" s="75">
        <f>IF($C1708="","",IFERROR(INDEX(CAT_TIPO,MATCH($C1708,CAT_NOME,0)),"Sem categoria"))</f>
        <v/>
      </c>
      <c r="E1708" s="75">
        <f>IF($C1708="","",IFERROR(INDEX(CAT_GRUPO,MATCH($C1708,CAT_NOME,0)),"Sem categoria"))</f>
        <v/>
      </c>
      <c r="F1708" s="76" t="n"/>
      <c r="G1708" s="74" t="n"/>
      <c r="H1708" s="74" t="n"/>
      <c r="I1708" s="74" t="n"/>
      <c r="J1708" s="77" t="n"/>
      <c r="K1708" s="77" t="n"/>
      <c r="L1708" s="74" t="n"/>
      <c r="M1708" s="74" t="n"/>
      <c r="O1708" s="78">
        <f>IF($A1708="","",YEAR($A1708)*100+MONTH($A1708))</f>
        <v/>
      </c>
      <c r="P1708" s="79">
        <f>IF(OR($F1708="",$D1708=""),"",IF($D1708="Receita",$F1708,IF($D1708="Transferência",0,-$F1708)))</f>
        <v/>
      </c>
    </row>
    <row r="1709">
      <c r="A1709" s="73" t="n"/>
      <c r="B1709" s="74" t="n"/>
      <c r="C1709" s="74" t="n"/>
      <c r="D1709" s="75">
        <f>IF($C1709="","",IFERROR(INDEX(CAT_TIPO,MATCH($C1709,CAT_NOME,0)),"Sem categoria"))</f>
        <v/>
      </c>
      <c r="E1709" s="75">
        <f>IF($C1709="","",IFERROR(INDEX(CAT_GRUPO,MATCH($C1709,CAT_NOME,0)),"Sem categoria"))</f>
        <v/>
      </c>
      <c r="F1709" s="76" t="n"/>
      <c r="G1709" s="74" t="n"/>
      <c r="H1709" s="74" t="n"/>
      <c r="I1709" s="74" t="n"/>
      <c r="J1709" s="77" t="n"/>
      <c r="K1709" s="77" t="n"/>
      <c r="L1709" s="74" t="n"/>
      <c r="M1709" s="74" t="n"/>
      <c r="O1709" s="78">
        <f>IF($A1709="","",YEAR($A1709)*100+MONTH($A1709))</f>
        <v/>
      </c>
      <c r="P1709" s="79">
        <f>IF(OR($F1709="",$D1709=""),"",IF($D1709="Receita",$F1709,IF($D1709="Transferência",0,-$F1709)))</f>
        <v/>
      </c>
    </row>
    <row r="1710">
      <c r="A1710" s="73" t="n"/>
      <c r="B1710" s="74" t="n"/>
      <c r="C1710" s="74" t="n"/>
      <c r="D1710" s="75">
        <f>IF($C1710="","",IFERROR(INDEX(CAT_TIPO,MATCH($C1710,CAT_NOME,0)),"Sem categoria"))</f>
        <v/>
      </c>
      <c r="E1710" s="75">
        <f>IF($C1710="","",IFERROR(INDEX(CAT_GRUPO,MATCH($C1710,CAT_NOME,0)),"Sem categoria"))</f>
        <v/>
      </c>
      <c r="F1710" s="76" t="n"/>
      <c r="G1710" s="74" t="n"/>
      <c r="H1710" s="74" t="n"/>
      <c r="I1710" s="74" t="n"/>
      <c r="J1710" s="77" t="n"/>
      <c r="K1710" s="77" t="n"/>
      <c r="L1710" s="74" t="n"/>
      <c r="M1710" s="74" t="n"/>
      <c r="O1710" s="78">
        <f>IF($A1710="","",YEAR($A1710)*100+MONTH($A1710))</f>
        <v/>
      </c>
      <c r="P1710" s="79">
        <f>IF(OR($F1710="",$D1710=""),"",IF($D1710="Receita",$F1710,IF($D1710="Transferência",0,-$F1710)))</f>
        <v/>
      </c>
    </row>
    <row r="1711">
      <c r="A1711" s="73" t="n"/>
      <c r="B1711" s="74" t="n"/>
      <c r="C1711" s="74" t="n"/>
      <c r="D1711" s="75">
        <f>IF($C1711="","",IFERROR(INDEX(CAT_TIPO,MATCH($C1711,CAT_NOME,0)),"Sem categoria"))</f>
        <v/>
      </c>
      <c r="E1711" s="75">
        <f>IF($C1711="","",IFERROR(INDEX(CAT_GRUPO,MATCH($C1711,CAT_NOME,0)),"Sem categoria"))</f>
        <v/>
      </c>
      <c r="F1711" s="76" t="n"/>
      <c r="G1711" s="74" t="n"/>
      <c r="H1711" s="74" t="n"/>
      <c r="I1711" s="74" t="n"/>
      <c r="J1711" s="77" t="n"/>
      <c r="K1711" s="77" t="n"/>
      <c r="L1711" s="74" t="n"/>
      <c r="M1711" s="74" t="n"/>
      <c r="O1711" s="78">
        <f>IF($A1711="","",YEAR($A1711)*100+MONTH($A1711))</f>
        <v/>
      </c>
      <c r="P1711" s="79">
        <f>IF(OR($F1711="",$D1711=""),"",IF($D1711="Receita",$F1711,IF($D1711="Transferência",0,-$F1711)))</f>
        <v/>
      </c>
    </row>
    <row r="1712">
      <c r="A1712" s="73" t="n"/>
      <c r="B1712" s="74" t="n"/>
      <c r="C1712" s="74" t="n"/>
      <c r="D1712" s="75">
        <f>IF($C1712="","",IFERROR(INDEX(CAT_TIPO,MATCH($C1712,CAT_NOME,0)),"Sem categoria"))</f>
        <v/>
      </c>
      <c r="E1712" s="75">
        <f>IF($C1712="","",IFERROR(INDEX(CAT_GRUPO,MATCH($C1712,CAT_NOME,0)),"Sem categoria"))</f>
        <v/>
      </c>
      <c r="F1712" s="76" t="n"/>
      <c r="G1712" s="74" t="n"/>
      <c r="H1712" s="74" t="n"/>
      <c r="I1712" s="74" t="n"/>
      <c r="J1712" s="77" t="n"/>
      <c r="K1712" s="77" t="n"/>
      <c r="L1712" s="74" t="n"/>
      <c r="M1712" s="74" t="n"/>
      <c r="O1712" s="78">
        <f>IF($A1712="","",YEAR($A1712)*100+MONTH($A1712))</f>
        <v/>
      </c>
      <c r="P1712" s="79">
        <f>IF(OR($F1712="",$D1712=""),"",IF($D1712="Receita",$F1712,IF($D1712="Transferência",0,-$F1712)))</f>
        <v/>
      </c>
    </row>
    <row r="1713">
      <c r="A1713" s="73" t="n"/>
      <c r="B1713" s="74" t="n"/>
      <c r="C1713" s="74" t="n"/>
      <c r="D1713" s="75">
        <f>IF($C1713="","",IFERROR(INDEX(CAT_TIPO,MATCH($C1713,CAT_NOME,0)),"Sem categoria"))</f>
        <v/>
      </c>
      <c r="E1713" s="75">
        <f>IF($C1713="","",IFERROR(INDEX(CAT_GRUPO,MATCH($C1713,CAT_NOME,0)),"Sem categoria"))</f>
        <v/>
      </c>
      <c r="F1713" s="76" t="n"/>
      <c r="G1713" s="74" t="n"/>
      <c r="H1713" s="74" t="n"/>
      <c r="I1713" s="74" t="n"/>
      <c r="J1713" s="77" t="n"/>
      <c r="K1713" s="77" t="n"/>
      <c r="L1713" s="74" t="n"/>
      <c r="M1713" s="74" t="n"/>
      <c r="O1713" s="78">
        <f>IF($A1713="","",YEAR($A1713)*100+MONTH($A1713))</f>
        <v/>
      </c>
      <c r="P1713" s="79">
        <f>IF(OR($F1713="",$D1713=""),"",IF($D1713="Receita",$F1713,IF($D1713="Transferência",0,-$F1713)))</f>
        <v/>
      </c>
    </row>
    <row r="1714">
      <c r="A1714" s="73" t="n"/>
      <c r="B1714" s="74" t="n"/>
      <c r="C1714" s="74" t="n"/>
      <c r="D1714" s="75">
        <f>IF($C1714="","",IFERROR(INDEX(CAT_TIPO,MATCH($C1714,CAT_NOME,0)),"Sem categoria"))</f>
        <v/>
      </c>
      <c r="E1714" s="75">
        <f>IF($C1714="","",IFERROR(INDEX(CAT_GRUPO,MATCH($C1714,CAT_NOME,0)),"Sem categoria"))</f>
        <v/>
      </c>
      <c r="F1714" s="76" t="n"/>
      <c r="G1714" s="74" t="n"/>
      <c r="H1714" s="74" t="n"/>
      <c r="I1714" s="74" t="n"/>
      <c r="J1714" s="77" t="n"/>
      <c r="K1714" s="77" t="n"/>
      <c r="L1714" s="74" t="n"/>
      <c r="M1714" s="74" t="n"/>
      <c r="O1714" s="78">
        <f>IF($A1714="","",YEAR($A1714)*100+MONTH($A1714))</f>
        <v/>
      </c>
      <c r="P1714" s="79">
        <f>IF(OR($F1714="",$D1714=""),"",IF($D1714="Receita",$F1714,IF($D1714="Transferência",0,-$F1714)))</f>
        <v/>
      </c>
    </row>
    <row r="1715">
      <c r="A1715" s="73" t="n"/>
      <c r="B1715" s="74" t="n"/>
      <c r="C1715" s="74" t="n"/>
      <c r="D1715" s="75">
        <f>IF($C1715="","",IFERROR(INDEX(CAT_TIPO,MATCH($C1715,CAT_NOME,0)),"Sem categoria"))</f>
        <v/>
      </c>
      <c r="E1715" s="75">
        <f>IF($C1715="","",IFERROR(INDEX(CAT_GRUPO,MATCH($C1715,CAT_NOME,0)),"Sem categoria"))</f>
        <v/>
      </c>
      <c r="F1715" s="76" t="n"/>
      <c r="G1715" s="74" t="n"/>
      <c r="H1715" s="74" t="n"/>
      <c r="I1715" s="74" t="n"/>
      <c r="J1715" s="77" t="n"/>
      <c r="K1715" s="77" t="n"/>
      <c r="L1715" s="74" t="n"/>
      <c r="M1715" s="74" t="n"/>
      <c r="O1715" s="78">
        <f>IF($A1715="","",YEAR($A1715)*100+MONTH($A1715))</f>
        <v/>
      </c>
      <c r="P1715" s="79">
        <f>IF(OR($F1715="",$D1715=""),"",IF($D1715="Receita",$F1715,IF($D1715="Transferência",0,-$F1715)))</f>
        <v/>
      </c>
    </row>
    <row r="1716">
      <c r="A1716" s="73" t="n"/>
      <c r="B1716" s="74" t="n"/>
      <c r="C1716" s="74" t="n"/>
      <c r="D1716" s="75">
        <f>IF($C1716="","",IFERROR(INDEX(CAT_TIPO,MATCH($C1716,CAT_NOME,0)),"Sem categoria"))</f>
        <v/>
      </c>
      <c r="E1716" s="75">
        <f>IF($C1716="","",IFERROR(INDEX(CAT_GRUPO,MATCH($C1716,CAT_NOME,0)),"Sem categoria"))</f>
        <v/>
      </c>
      <c r="F1716" s="76" t="n"/>
      <c r="G1716" s="74" t="n"/>
      <c r="H1716" s="74" t="n"/>
      <c r="I1716" s="74" t="n"/>
      <c r="J1716" s="77" t="n"/>
      <c r="K1716" s="77" t="n"/>
      <c r="L1716" s="74" t="n"/>
      <c r="M1716" s="74" t="n"/>
      <c r="O1716" s="78">
        <f>IF($A1716="","",YEAR($A1716)*100+MONTH($A1716))</f>
        <v/>
      </c>
      <c r="P1716" s="79">
        <f>IF(OR($F1716="",$D1716=""),"",IF($D1716="Receita",$F1716,IF($D1716="Transferência",0,-$F1716)))</f>
        <v/>
      </c>
    </row>
    <row r="1717">
      <c r="A1717" s="73" t="n"/>
      <c r="B1717" s="74" t="n"/>
      <c r="C1717" s="74" t="n"/>
      <c r="D1717" s="75">
        <f>IF($C1717="","",IFERROR(INDEX(CAT_TIPO,MATCH($C1717,CAT_NOME,0)),"Sem categoria"))</f>
        <v/>
      </c>
      <c r="E1717" s="75">
        <f>IF($C1717="","",IFERROR(INDEX(CAT_GRUPO,MATCH($C1717,CAT_NOME,0)),"Sem categoria"))</f>
        <v/>
      </c>
      <c r="F1717" s="76" t="n"/>
      <c r="G1717" s="74" t="n"/>
      <c r="H1717" s="74" t="n"/>
      <c r="I1717" s="74" t="n"/>
      <c r="J1717" s="77" t="n"/>
      <c r="K1717" s="77" t="n"/>
      <c r="L1717" s="74" t="n"/>
      <c r="M1717" s="74" t="n"/>
      <c r="O1717" s="78">
        <f>IF($A1717="","",YEAR($A1717)*100+MONTH($A1717))</f>
        <v/>
      </c>
      <c r="P1717" s="79">
        <f>IF(OR($F1717="",$D1717=""),"",IF($D1717="Receita",$F1717,IF($D1717="Transferência",0,-$F1717)))</f>
        <v/>
      </c>
    </row>
    <row r="1718">
      <c r="A1718" s="73" t="n"/>
      <c r="B1718" s="74" t="n"/>
      <c r="C1718" s="74" t="n"/>
      <c r="D1718" s="75">
        <f>IF($C1718="","",IFERROR(INDEX(CAT_TIPO,MATCH($C1718,CAT_NOME,0)),"Sem categoria"))</f>
        <v/>
      </c>
      <c r="E1718" s="75">
        <f>IF($C1718="","",IFERROR(INDEX(CAT_GRUPO,MATCH($C1718,CAT_NOME,0)),"Sem categoria"))</f>
        <v/>
      </c>
      <c r="F1718" s="76" t="n"/>
      <c r="G1718" s="74" t="n"/>
      <c r="H1718" s="74" t="n"/>
      <c r="I1718" s="74" t="n"/>
      <c r="J1718" s="77" t="n"/>
      <c r="K1718" s="77" t="n"/>
      <c r="L1718" s="74" t="n"/>
      <c r="M1718" s="74" t="n"/>
      <c r="O1718" s="78">
        <f>IF($A1718="","",YEAR($A1718)*100+MONTH($A1718))</f>
        <v/>
      </c>
      <c r="P1718" s="79">
        <f>IF(OR($F1718="",$D1718=""),"",IF($D1718="Receita",$F1718,IF($D1718="Transferência",0,-$F1718)))</f>
        <v/>
      </c>
    </row>
    <row r="1719">
      <c r="A1719" s="73" t="n"/>
      <c r="B1719" s="74" t="n"/>
      <c r="C1719" s="74" t="n"/>
      <c r="D1719" s="75">
        <f>IF($C1719="","",IFERROR(INDEX(CAT_TIPO,MATCH($C1719,CAT_NOME,0)),"Sem categoria"))</f>
        <v/>
      </c>
      <c r="E1719" s="75">
        <f>IF($C1719="","",IFERROR(INDEX(CAT_GRUPO,MATCH($C1719,CAT_NOME,0)),"Sem categoria"))</f>
        <v/>
      </c>
      <c r="F1719" s="76" t="n"/>
      <c r="G1719" s="74" t="n"/>
      <c r="H1719" s="74" t="n"/>
      <c r="I1719" s="74" t="n"/>
      <c r="J1719" s="77" t="n"/>
      <c r="K1719" s="77" t="n"/>
      <c r="L1719" s="74" t="n"/>
      <c r="M1719" s="74" t="n"/>
      <c r="O1719" s="78">
        <f>IF($A1719="","",YEAR($A1719)*100+MONTH($A1719))</f>
        <v/>
      </c>
      <c r="P1719" s="79">
        <f>IF(OR($F1719="",$D1719=""),"",IF($D1719="Receita",$F1719,IF($D1719="Transferência",0,-$F1719)))</f>
        <v/>
      </c>
    </row>
    <row r="1720">
      <c r="A1720" s="73" t="n"/>
      <c r="B1720" s="74" t="n"/>
      <c r="C1720" s="74" t="n"/>
      <c r="D1720" s="75">
        <f>IF($C1720="","",IFERROR(INDEX(CAT_TIPO,MATCH($C1720,CAT_NOME,0)),"Sem categoria"))</f>
        <v/>
      </c>
      <c r="E1720" s="75">
        <f>IF($C1720="","",IFERROR(INDEX(CAT_GRUPO,MATCH($C1720,CAT_NOME,0)),"Sem categoria"))</f>
        <v/>
      </c>
      <c r="F1720" s="76" t="n"/>
      <c r="G1720" s="74" t="n"/>
      <c r="H1720" s="74" t="n"/>
      <c r="I1720" s="74" t="n"/>
      <c r="J1720" s="77" t="n"/>
      <c r="K1720" s="77" t="n"/>
      <c r="L1720" s="74" t="n"/>
      <c r="M1720" s="74" t="n"/>
      <c r="O1720" s="78">
        <f>IF($A1720="","",YEAR($A1720)*100+MONTH($A1720))</f>
        <v/>
      </c>
      <c r="P1720" s="79">
        <f>IF(OR($F1720="",$D1720=""),"",IF($D1720="Receita",$F1720,IF($D1720="Transferência",0,-$F1720)))</f>
        <v/>
      </c>
    </row>
    <row r="1721">
      <c r="A1721" s="73" t="n"/>
      <c r="B1721" s="74" t="n"/>
      <c r="C1721" s="74" t="n"/>
      <c r="D1721" s="75">
        <f>IF($C1721="","",IFERROR(INDEX(CAT_TIPO,MATCH($C1721,CAT_NOME,0)),"Sem categoria"))</f>
        <v/>
      </c>
      <c r="E1721" s="75">
        <f>IF($C1721="","",IFERROR(INDEX(CAT_GRUPO,MATCH($C1721,CAT_NOME,0)),"Sem categoria"))</f>
        <v/>
      </c>
      <c r="F1721" s="76" t="n"/>
      <c r="G1721" s="74" t="n"/>
      <c r="H1721" s="74" t="n"/>
      <c r="I1721" s="74" t="n"/>
      <c r="J1721" s="77" t="n"/>
      <c r="K1721" s="77" t="n"/>
      <c r="L1721" s="74" t="n"/>
      <c r="M1721" s="74" t="n"/>
      <c r="O1721" s="78">
        <f>IF($A1721="","",YEAR($A1721)*100+MONTH($A1721))</f>
        <v/>
      </c>
      <c r="P1721" s="79">
        <f>IF(OR($F1721="",$D1721=""),"",IF($D1721="Receita",$F1721,IF($D1721="Transferência",0,-$F1721)))</f>
        <v/>
      </c>
    </row>
    <row r="1722">
      <c r="A1722" s="73" t="n"/>
      <c r="B1722" s="74" t="n"/>
      <c r="C1722" s="74" t="n"/>
      <c r="D1722" s="75">
        <f>IF($C1722="","",IFERROR(INDEX(CAT_TIPO,MATCH($C1722,CAT_NOME,0)),"Sem categoria"))</f>
        <v/>
      </c>
      <c r="E1722" s="75">
        <f>IF($C1722="","",IFERROR(INDEX(CAT_GRUPO,MATCH($C1722,CAT_NOME,0)),"Sem categoria"))</f>
        <v/>
      </c>
      <c r="F1722" s="76" t="n"/>
      <c r="G1722" s="74" t="n"/>
      <c r="H1722" s="74" t="n"/>
      <c r="I1722" s="74" t="n"/>
      <c r="J1722" s="77" t="n"/>
      <c r="K1722" s="77" t="n"/>
      <c r="L1722" s="74" t="n"/>
      <c r="M1722" s="74" t="n"/>
      <c r="O1722" s="78">
        <f>IF($A1722="","",YEAR($A1722)*100+MONTH($A1722))</f>
        <v/>
      </c>
      <c r="P1722" s="79">
        <f>IF(OR($F1722="",$D1722=""),"",IF($D1722="Receita",$F1722,IF($D1722="Transferência",0,-$F1722)))</f>
        <v/>
      </c>
    </row>
    <row r="1723">
      <c r="A1723" s="73" t="n"/>
      <c r="B1723" s="74" t="n"/>
      <c r="C1723" s="74" t="n"/>
      <c r="D1723" s="75">
        <f>IF($C1723="","",IFERROR(INDEX(CAT_TIPO,MATCH($C1723,CAT_NOME,0)),"Sem categoria"))</f>
        <v/>
      </c>
      <c r="E1723" s="75">
        <f>IF($C1723="","",IFERROR(INDEX(CAT_GRUPO,MATCH($C1723,CAT_NOME,0)),"Sem categoria"))</f>
        <v/>
      </c>
      <c r="F1723" s="76" t="n"/>
      <c r="G1723" s="74" t="n"/>
      <c r="H1723" s="74" t="n"/>
      <c r="I1723" s="74" t="n"/>
      <c r="J1723" s="77" t="n"/>
      <c r="K1723" s="77" t="n"/>
      <c r="L1723" s="74" t="n"/>
      <c r="M1723" s="74" t="n"/>
      <c r="O1723" s="78">
        <f>IF($A1723="","",YEAR($A1723)*100+MONTH($A1723))</f>
        <v/>
      </c>
      <c r="P1723" s="79">
        <f>IF(OR($F1723="",$D1723=""),"",IF($D1723="Receita",$F1723,IF($D1723="Transferência",0,-$F1723)))</f>
        <v/>
      </c>
    </row>
    <row r="1724">
      <c r="A1724" s="73" t="n"/>
      <c r="B1724" s="74" t="n"/>
      <c r="C1724" s="74" t="n"/>
      <c r="D1724" s="75">
        <f>IF($C1724="","",IFERROR(INDEX(CAT_TIPO,MATCH($C1724,CAT_NOME,0)),"Sem categoria"))</f>
        <v/>
      </c>
      <c r="E1724" s="75">
        <f>IF($C1724="","",IFERROR(INDEX(CAT_GRUPO,MATCH($C1724,CAT_NOME,0)),"Sem categoria"))</f>
        <v/>
      </c>
      <c r="F1724" s="76" t="n"/>
      <c r="G1724" s="74" t="n"/>
      <c r="H1724" s="74" t="n"/>
      <c r="I1724" s="74" t="n"/>
      <c r="J1724" s="77" t="n"/>
      <c r="K1724" s="77" t="n"/>
      <c r="L1724" s="74" t="n"/>
      <c r="M1724" s="74" t="n"/>
      <c r="O1724" s="78">
        <f>IF($A1724="","",YEAR($A1724)*100+MONTH($A1724))</f>
        <v/>
      </c>
      <c r="P1724" s="79">
        <f>IF(OR($F1724="",$D1724=""),"",IF($D1724="Receita",$F1724,IF($D1724="Transferência",0,-$F1724)))</f>
        <v/>
      </c>
    </row>
    <row r="1725">
      <c r="A1725" s="73" t="n"/>
      <c r="B1725" s="74" t="n"/>
      <c r="C1725" s="74" t="n"/>
      <c r="D1725" s="75">
        <f>IF($C1725="","",IFERROR(INDEX(CAT_TIPO,MATCH($C1725,CAT_NOME,0)),"Sem categoria"))</f>
        <v/>
      </c>
      <c r="E1725" s="75">
        <f>IF($C1725="","",IFERROR(INDEX(CAT_GRUPO,MATCH($C1725,CAT_NOME,0)),"Sem categoria"))</f>
        <v/>
      </c>
      <c r="F1725" s="76" t="n"/>
      <c r="G1725" s="74" t="n"/>
      <c r="H1725" s="74" t="n"/>
      <c r="I1725" s="74" t="n"/>
      <c r="J1725" s="77" t="n"/>
      <c r="K1725" s="77" t="n"/>
      <c r="L1725" s="74" t="n"/>
      <c r="M1725" s="74" t="n"/>
      <c r="O1725" s="78">
        <f>IF($A1725="","",YEAR($A1725)*100+MONTH($A1725))</f>
        <v/>
      </c>
      <c r="P1725" s="79">
        <f>IF(OR($F1725="",$D1725=""),"",IF($D1725="Receita",$F1725,IF($D1725="Transferência",0,-$F1725)))</f>
        <v/>
      </c>
    </row>
    <row r="1726">
      <c r="A1726" s="73" t="n"/>
      <c r="B1726" s="74" t="n"/>
      <c r="C1726" s="74" t="n"/>
      <c r="D1726" s="75">
        <f>IF($C1726="","",IFERROR(INDEX(CAT_TIPO,MATCH($C1726,CAT_NOME,0)),"Sem categoria"))</f>
        <v/>
      </c>
      <c r="E1726" s="75">
        <f>IF($C1726="","",IFERROR(INDEX(CAT_GRUPO,MATCH($C1726,CAT_NOME,0)),"Sem categoria"))</f>
        <v/>
      </c>
      <c r="F1726" s="76" t="n"/>
      <c r="G1726" s="74" t="n"/>
      <c r="H1726" s="74" t="n"/>
      <c r="I1726" s="74" t="n"/>
      <c r="J1726" s="77" t="n"/>
      <c r="K1726" s="77" t="n"/>
      <c r="L1726" s="74" t="n"/>
      <c r="M1726" s="74" t="n"/>
      <c r="O1726" s="78">
        <f>IF($A1726="","",YEAR($A1726)*100+MONTH($A1726))</f>
        <v/>
      </c>
      <c r="P1726" s="79">
        <f>IF(OR($F1726="",$D1726=""),"",IF($D1726="Receita",$F1726,IF($D1726="Transferência",0,-$F1726)))</f>
        <v/>
      </c>
    </row>
    <row r="1727">
      <c r="A1727" s="73" t="n"/>
      <c r="B1727" s="74" t="n"/>
      <c r="C1727" s="74" t="n"/>
      <c r="D1727" s="75">
        <f>IF($C1727="","",IFERROR(INDEX(CAT_TIPO,MATCH($C1727,CAT_NOME,0)),"Sem categoria"))</f>
        <v/>
      </c>
      <c r="E1727" s="75">
        <f>IF($C1727="","",IFERROR(INDEX(CAT_GRUPO,MATCH($C1727,CAT_NOME,0)),"Sem categoria"))</f>
        <v/>
      </c>
      <c r="F1727" s="76" t="n"/>
      <c r="G1727" s="74" t="n"/>
      <c r="H1727" s="74" t="n"/>
      <c r="I1727" s="74" t="n"/>
      <c r="J1727" s="77" t="n"/>
      <c r="K1727" s="77" t="n"/>
      <c r="L1727" s="74" t="n"/>
      <c r="M1727" s="74" t="n"/>
      <c r="O1727" s="78">
        <f>IF($A1727="","",YEAR($A1727)*100+MONTH($A1727))</f>
        <v/>
      </c>
      <c r="P1727" s="79">
        <f>IF(OR($F1727="",$D1727=""),"",IF($D1727="Receita",$F1727,IF($D1727="Transferência",0,-$F1727)))</f>
        <v/>
      </c>
    </row>
    <row r="1728">
      <c r="A1728" s="73" t="n"/>
      <c r="B1728" s="74" t="n"/>
      <c r="C1728" s="74" t="n"/>
      <c r="D1728" s="75">
        <f>IF($C1728="","",IFERROR(INDEX(CAT_TIPO,MATCH($C1728,CAT_NOME,0)),"Sem categoria"))</f>
        <v/>
      </c>
      <c r="E1728" s="75">
        <f>IF($C1728="","",IFERROR(INDEX(CAT_GRUPO,MATCH($C1728,CAT_NOME,0)),"Sem categoria"))</f>
        <v/>
      </c>
      <c r="F1728" s="76" t="n"/>
      <c r="G1728" s="74" t="n"/>
      <c r="H1728" s="74" t="n"/>
      <c r="I1728" s="74" t="n"/>
      <c r="J1728" s="77" t="n"/>
      <c r="K1728" s="77" t="n"/>
      <c r="L1728" s="74" t="n"/>
      <c r="M1728" s="74" t="n"/>
      <c r="O1728" s="78">
        <f>IF($A1728="","",YEAR($A1728)*100+MONTH($A1728))</f>
        <v/>
      </c>
      <c r="P1728" s="79">
        <f>IF(OR($F1728="",$D1728=""),"",IF($D1728="Receita",$F1728,IF($D1728="Transferência",0,-$F1728)))</f>
        <v/>
      </c>
    </row>
    <row r="1729">
      <c r="A1729" s="73" t="n"/>
      <c r="B1729" s="74" t="n"/>
      <c r="C1729" s="74" t="n"/>
      <c r="D1729" s="75">
        <f>IF($C1729="","",IFERROR(INDEX(CAT_TIPO,MATCH($C1729,CAT_NOME,0)),"Sem categoria"))</f>
        <v/>
      </c>
      <c r="E1729" s="75">
        <f>IF($C1729="","",IFERROR(INDEX(CAT_GRUPO,MATCH($C1729,CAT_NOME,0)),"Sem categoria"))</f>
        <v/>
      </c>
      <c r="F1729" s="76" t="n"/>
      <c r="G1729" s="74" t="n"/>
      <c r="H1729" s="74" t="n"/>
      <c r="I1729" s="74" t="n"/>
      <c r="J1729" s="77" t="n"/>
      <c r="K1729" s="77" t="n"/>
      <c r="L1729" s="74" t="n"/>
      <c r="M1729" s="74" t="n"/>
      <c r="O1729" s="78">
        <f>IF($A1729="","",YEAR($A1729)*100+MONTH($A1729))</f>
        <v/>
      </c>
      <c r="P1729" s="79">
        <f>IF(OR($F1729="",$D1729=""),"",IF($D1729="Receita",$F1729,IF($D1729="Transferência",0,-$F1729)))</f>
        <v/>
      </c>
    </row>
    <row r="1730">
      <c r="A1730" s="73" t="n"/>
      <c r="B1730" s="74" t="n"/>
      <c r="C1730" s="74" t="n"/>
      <c r="D1730" s="75">
        <f>IF($C1730="","",IFERROR(INDEX(CAT_TIPO,MATCH($C1730,CAT_NOME,0)),"Sem categoria"))</f>
        <v/>
      </c>
      <c r="E1730" s="75">
        <f>IF($C1730="","",IFERROR(INDEX(CAT_GRUPO,MATCH($C1730,CAT_NOME,0)),"Sem categoria"))</f>
        <v/>
      </c>
      <c r="F1730" s="76" t="n"/>
      <c r="G1730" s="74" t="n"/>
      <c r="H1730" s="74" t="n"/>
      <c r="I1730" s="74" t="n"/>
      <c r="J1730" s="77" t="n"/>
      <c r="K1730" s="77" t="n"/>
      <c r="L1730" s="74" t="n"/>
      <c r="M1730" s="74" t="n"/>
      <c r="O1730" s="78">
        <f>IF($A1730="","",YEAR($A1730)*100+MONTH($A1730))</f>
        <v/>
      </c>
      <c r="P1730" s="79">
        <f>IF(OR($F1730="",$D1730=""),"",IF($D1730="Receita",$F1730,IF($D1730="Transferência",0,-$F1730)))</f>
        <v/>
      </c>
    </row>
    <row r="1731">
      <c r="A1731" s="73" t="n"/>
      <c r="B1731" s="74" t="n"/>
      <c r="C1731" s="74" t="n"/>
      <c r="D1731" s="75">
        <f>IF($C1731="","",IFERROR(INDEX(CAT_TIPO,MATCH($C1731,CAT_NOME,0)),"Sem categoria"))</f>
        <v/>
      </c>
      <c r="E1731" s="75">
        <f>IF($C1731="","",IFERROR(INDEX(CAT_GRUPO,MATCH($C1731,CAT_NOME,0)),"Sem categoria"))</f>
        <v/>
      </c>
      <c r="F1731" s="76" t="n"/>
      <c r="G1731" s="74" t="n"/>
      <c r="H1731" s="74" t="n"/>
      <c r="I1731" s="74" t="n"/>
      <c r="J1731" s="77" t="n"/>
      <c r="K1731" s="77" t="n"/>
      <c r="L1731" s="74" t="n"/>
      <c r="M1731" s="74" t="n"/>
      <c r="O1731" s="78">
        <f>IF($A1731="","",YEAR($A1731)*100+MONTH($A1731))</f>
        <v/>
      </c>
      <c r="P1731" s="79">
        <f>IF(OR($F1731="",$D1731=""),"",IF($D1731="Receita",$F1731,IF($D1731="Transferência",0,-$F1731)))</f>
        <v/>
      </c>
    </row>
    <row r="1732">
      <c r="A1732" s="73" t="n"/>
      <c r="B1732" s="74" t="n"/>
      <c r="C1732" s="74" t="n"/>
      <c r="D1732" s="75">
        <f>IF($C1732="","",IFERROR(INDEX(CAT_TIPO,MATCH($C1732,CAT_NOME,0)),"Sem categoria"))</f>
        <v/>
      </c>
      <c r="E1732" s="75">
        <f>IF($C1732="","",IFERROR(INDEX(CAT_GRUPO,MATCH($C1732,CAT_NOME,0)),"Sem categoria"))</f>
        <v/>
      </c>
      <c r="F1732" s="76" t="n"/>
      <c r="G1732" s="74" t="n"/>
      <c r="H1732" s="74" t="n"/>
      <c r="I1732" s="74" t="n"/>
      <c r="J1732" s="77" t="n"/>
      <c r="K1732" s="77" t="n"/>
      <c r="L1732" s="74" t="n"/>
      <c r="M1732" s="74" t="n"/>
      <c r="O1732" s="78">
        <f>IF($A1732="","",YEAR($A1732)*100+MONTH($A1732))</f>
        <v/>
      </c>
      <c r="P1732" s="79">
        <f>IF(OR($F1732="",$D1732=""),"",IF($D1732="Receita",$F1732,IF($D1732="Transferência",0,-$F1732)))</f>
        <v/>
      </c>
    </row>
    <row r="1733">
      <c r="A1733" s="73" t="n"/>
      <c r="B1733" s="74" t="n"/>
      <c r="C1733" s="74" t="n"/>
      <c r="D1733" s="75">
        <f>IF($C1733="","",IFERROR(INDEX(CAT_TIPO,MATCH($C1733,CAT_NOME,0)),"Sem categoria"))</f>
        <v/>
      </c>
      <c r="E1733" s="75">
        <f>IF($C1733="","",IFERROR(INDEX(CAT_GRUPO,MATCH($C1733,CAT_NOME,0)),"Sem categoria"))</f>
        <v/>
      </c>
      <c r="F1733" s="76" t="n"/>
      <c r="G1733" s="74" t="n"/>
      <c r="H1733" s="74" t="n"/>
      <c r="I1733" s="74" t="n"/>
      <c r="J1733" s="77" t="n"/>
      <c r="K1733" s="77" t="n"/>
      <c r="L1733" s="74" t="n"/>
      <c r="M1733" s="74" t="n"/>
      <c r="O1733" s="78">
        <f>IF($A1733="","",YEAR($A1733)*100+MONTH($A1733))</f>
        <v/>
      </c>
      <c r="P1733" s="79">
        <f>IF(OR($F1733="",$D1733=""),"",IF($D1733="Receita",$F1733,IF($D1733="Transferência",0,-$F1733)))</f>
        <v/>
      </c>
    </row>
    <row r="1734">
      <c r="A1734" s="73" t="n"/>
      <c r="B1734" s="74" t="n"/>
      <c r="C1734" s="74" t="n"/>
      <c r="D1734" s="75">
        <f>IF($C1734="","",IFERROR(INDEX(CAT_TIPO,MATCH($C1734,CAT_NOME,0)),"Sem categoria"))</f>
        <v/>
      </c>
      <c r="E1734" s="75">
        <f>IF($C1734="","",IFERROR(INDEX(CAT_GRUPO,MATCH($C1734,CAT_NOME,0)),"Sem categoria"))</f>
        <v/>
      </c>
      <c r="F1734" s="76" t="n"/>
      <c r="G1734" s="74" t="n"/>
      <c r="H1734" s="74" t="n"/>
      <c r="I1734" s="74" t="n"/>
      <c r="J1734" s="77" t="n"/>
      <c r="K1734" s="77" t="n"/>
      <c r="L1734" s="74" t="n"/>
      <c r="M1734" s="74" t="n"/>
      <c r="O1734" s="78">
        <f>IF($A1734="","",YEAR($A1734)*100+MONTH($A1734))</f>
        <v/>
      </c>
      <c r="P1734" s="79">
        <f>IF(OR($F1734="",$D1734=""),"",IF($D1734="Receita",$F1734,IF($D1734="Transferência",0,-$F1734)))</f>
        <v/>
      </c>
    </row>
    <row r="1735">
      <c r="A1735" s="73" t="n"/>
      <c r="B1735" s="74" t="n"/>
      <c r="C1735" s="74" t="n"/>
      <c r="D1735" s="75">
        <f>IF($C1735="","",IFERROR(INDEX(CAT_TIPO,MATCH($C1735,CAT_NOME,0)),"Sem categoria"))</f>
        <v/>
      </c>
      <c r="E1735" s="75">
        <f>IF($C1735="","",IFERROR(INDEX(CAT_GRUPO,MATCH($C1735,CAT_NOME,0)),"Sem categoria"))</f>
        <v/>
      </c>
      <c r="F1735" s="76" t="n"/>
      <c r="G1735" s="74" t="n"/>
      <c r="H1735" s="74" t="n"/>
      <c r="I1735" s="74" t="n"/>
      <c r="J1735" s="77" t="n"/>
      <c r="K1735" s="77" t="n"/>
      <c r="L1735" s="74" t="n"/>
      <c r="M1735" s="74" t="n"/>
      <c r="O1735" s="78">
        <f>IF($A1735="","",YEAR($A1735)*100+MONTH($A1735))</f>
        <v/>
      </c>
      <c r="P1735" s="79">
        <f>IF(OR($F1735="",$D1735=""),"",IF($D1735="Receita",$F1735,IF($D1735="Transferência",0,-$F1735)))</f>
        <v/>
      </c>
    </row>
    <row r="1736">
      <c r="A1736" s="73" t="n"/>
      <c r="B1736" s="74" t="n"/>
      <c r="C1736" s="74" t="n"/>
      <c r="D1736" s="75">
        <f>IF($C1736="","",IFERROR(INDEX(CAT_TIPO,MATCH($C1736,CAT_NOME,0)),"Sem categoria"))</f>
        <v/>
      </c>
      <c r="E1736" s="75">
        <f>IF($C1736="","",IFERROR(INDEX(CAT_GRUPO,MATCH($C1736,CAT_NOME,0)),"Sem categoria"))</f>
        <v/>
      </c>
      <c r="F1736" s="76" t="n"/>
      <c r="G1736" s="74" t="n"/>
      <c r="H1736" s="74" t="n"/>
      <c r="I1736" s="74" t="n"/>
      <c r="J1736" s="77" t="n"/>
      <c r="K1736" s="77" t="n"/>
      <c r="L1736" s="74" t="n"/>
      <c r="M1736" s="74" t="n"/>
      <c r="O1736" s="78">
        <f>IF($A1736="","",YEAR($A1736)*100+MONTH($A1736))</f>
        <v/>
      </c>
      <c r="P1736" s="79">
        <f>IF(OR($F1736="",$D1736=""),"",IF($D1736="Receita",$F1736,IF($D1736="Transferência",0,-$F1736)))</f>
        <v/>
      </c>
    </row>
    <row r="1737">
      <c r="A1737" s="73" t="n"/>
      <c r="B1737" s="74" t="n"/>
      <c r="C1737" s="74" t="n"/>
      <c r="D1737" s="75">
        <f>IF($C1737="","",IFERROR(INDEX(CAT_TIPO,MATCH($C1737,CAT_NOME,0)),"Sem categoria"))</f>
        <v/>
      </c>
      <c r="E1737" s="75">
        <f>IF($C1737="","",IFERROR(INDEX(CAT_GRUPO,MATCH($C1737,CAT_NOME,0)),"Sem categoria"))</f>
        <v/>
      </c>
      <c r="F1737" s="76" t="n"/>
      <c r="G1737" s="74" t="n"/>
      <c r="H1737" s="74" t="n"/>
      <c r="I1737" s="74" t="n"/>
      <c r="J1737" s="77" t="n"/>
      <c r="K1737" s="77" t="n"/>
      <c r="L1737" s="74" t="n"/>
      <c r="M1737" s="74" t="n"/>
      <c r="O1737" s="78">
        <f>IF($A1737="","",YEAR($A1737)*100+MONTH($A1737))</f>
        <v/>
      </c>
      <c r="P1737" s="79">
        <f>IF(OR($F1737="",$D1737=""),"",IF($D1737="Receita",$F1737,IF($D1737="Transferência",0,-$F1737)))</f>
        <v/>
      </c>
    </row>
    <row r="1738">
      <c r="A1738" s="73" t="n"/>
      <c r="B1738" s="74" t="n"/>
      <c r="C1738" s="74" t="n"/>
      <c r="D1738" s="75">
        <f>IF($C1738="","",IFERROR(INDEX(CAT_TIPO,MATCH($C1738,CAT_NOME,0)),"Sem categoria"))</f>
        <v/>
      </c>
      <c r="E1738" s="75">
        <f>IF($C1738="","",IFERROR(INDEX(CAT_GRUPO,MATCH($C1738,CAT_NOME,0)),"Sem categoria"))</f>
        <v/>
      </c>
      <c r="F1738" s="76" t="n"/>
      <c r="G1738" s="74" t="n"/>
      <c r="H1738" s="74" t="n"/>
      <c r="I1738" s="74" t="n"/>
      <c r="J1738" s="77" t="n"/>
      <c r="K1738" s="77" t="n"/>
      <c r="L1738" s="74" t="n"/>
      <c r="M1738" s="74" t="n"/>
      <c r="O1738" s="78">
        <f>IF($A1738="","",YEAR($A1738)*100+MONTH($A1738))</f>
        <v/>
      </c>
      <c r="P1738" s="79">
        <f>IF(OR($F1738="",$D1738=""),"",IF($D1738="Receita",$F1738,IF($D1738="Transferência",0,-$F1738)))</f>
        <v/>
      </c>
    </row>
    <row r="1739">
      <c r="A1739" s="73" t="n"/>
      <c r="B1739" s="74" t="n"/>
      <c r="C1739" s="74" t="n"/>
      <c r="D1739" s="75">
        <f>IF($C1739="","",IFERROR(INDEX(CAT_TIPO,MATCH($C1739,CAT_NOME,0)),"Sem categoria"))</f>
        <v/>
      </c>
      <c r="E1739" s="75">
        <f>IF($C1739="","",IFERROR(INDEX(CAT_GRUPO,MATCH($C1739,CAT_NOME,0)),"Sem categoria"))</f>
        <v/>
      </c>
      <c r="F1739" s="76" t="n"/>
      <c r="G1739" s="74" t="n"/>
      <c r="H1739" s="74" t="n"/>
      <c r="I1739" s="74" t="n"/>
      <c r="J1739" s="77" t="n"/>
      <c r="K1739" s="77" t="n"/>
      <c r="L1739" s="74" t="n"/>
      <c r="M1739" s="74" t="n"/>
      <c r="O1739" s="78">
        <f>IF($A1739="","",YEAR($A1739)*100+MONTH($A1739))</f>
        <v/>
      </c>
      <c r="P1739" s="79">
        <f>IF(OR($F1739="",$D1739=""),"",IF($D1739="Receita",$F1739,IF($D1739="Transferência",0,-$F1739)))</f>
        <v/>
      </c>
    </row>
    <row r="1740">
      <c r="A1740" s="73" t="n"/>
      <c r="B1740" s="74" t="n"/>
      <c r="C1740" s="74" t="n"/>
      <c r="D1740" s="75">
        <f>IF($C1740="","",IFERROR(INDEX(CAT_TIPO,MATCH($C1740,CAT_NOME,0)),"Sem categoria"))</f>
        <v/>
      </c>
      <c r="E1740" s="75">
        <f>IF($C1740="","",IFERROR(INDEX(CAT_GRUPO,MATCH($C1740,CAT_NOME,0)),"Sem categoria"))</f>
        <v/>
      </c>
      <c r="F1740" s="76" t="n"/>
      <c r="G1740" s="74" t="n"/>
      <c r="H1740" s="74" t="n"/>
      <c r="I1740" s="74" t="n"/>
      <c r="J1740" s="77" t="n"/>
      <c r="K1740" s="77" t="n"/>
      <c r="L1740" s="74" t="n"/>
      <c r="M1740" s="74" t="n"/>
      <c r="O1740" s="78">
        <f>IF($A1740="","",YEAR($A1740)*100+MONTH($A1740))</f>
        <v/>
      </c>
      <c r="P1740" s="79">
        <f>IF(OR($F1740="",$D1740=""),"",IF($D1740="Receita",$F1740,IF($D1740="Transferência",0,-$F1740)))</f>
        <v/>
      </c>
    </row>
    <row r="1741">
      <c r="A1741" s="73" t="n"/>
      <c r="B1741" s="74" t="n"/>
      <c r="C1741" s="74" t="n"/>
      <c r="D1741" s="75">
        <f>IF($C1741="","",IFERROR(INDEX(CAT_TIPO,MATCH($C1741,CAT_NOME,0)),"Sem categoria"))</f>
        <v/>
      </c>
      <c r="E1741" s="75">
        <f>IF($C1741="","",IFERROR(INDEX(CAT_GRUPO,MATCH($C1741,CAT_NOME,0)),"Sem categoria"))</f>
        <v/>
      </c>
      <c r="F1741" s="76" t="n"/>
      <c r="G1741" s="74" t="n"/>
      <c r="H1741" s="74" t="n"/>
      <c r="I1741" s="74" t="n"/>
      <c r="J1741" s="77" t="n"/>
      <c r="K1741" s="77" t="n"/>
      <c r="L1741" s="74" t="n"/>
      <c r="M1741" s="74" t="n"/>
      <c r="O1741" s="78">
        <f>IF($A1741="","",YEAR($A1741)*100+MONTH($A1741))</f>
        <v/>
      </c>
      <c r="P1741" s="79">
        <f>IF(OR($F1741="",$D1741=""),"",IF($D1741="Receita",$F1741,IF($D1741="Transferência",0,-$F1741)))</f>
        <v/>
      </c>
    </row>
    <row r="1742">
      <c r="A1742" s="73" t="n"/>
      <c r="B1742" s="74" t="n"/>
      <c r="C1742" s="74" t="n"/>
      <c r="D1742" s="75">
        <f>IF($C1742="","",IFERROR(INDEX(CAT_TIPO,MATCH($C1742,CAT_NOME,0)),"Sem categoria"))</f>
        <v/>
      </c>
      <c r="E1742" s="75">
        <f>IF($C1742="","",IFERROR(INDEX(CAT_GRUPO,MATCH($C1742,CAT_NOME,0)),"Sem categoria"))</f>
        <v/>
      </c>
      <c r="F1742" s="76" t="n"/>
      <c r="G1742" s="74" t="n"/>
      <c r="H1742" s="74" t="n"/>
      <c r="I1742" s="74" t="n"/>
      <c r="J1742" s="77" t="n"/>
      <c r="K1742" s="77" t="n"/>
      <c r="L1742" s="74" t="n"/>
      <c r="M1742" s="74" t="n"/>
      <c r="O1742" s="78">
        <f>IF($A1742="","",YEAR($A1742)*100+MONTH($A1742))</f>
        <v/>
      </c>
      <c r="P1742" s="79">
        <f>IF(OR($F1742="",$D1742=""),"",IF($D1742="Receita",$F1742,IF($D1742="Transferência",0,-$F1742)))</f>
        <v/>
      </c>
    </row>
    <row r="1743">
      <c r="A1743" s="73" t="n"/>
      <c r="B1743" s="74" t="n"/>
      <c r="C1743" s="74" t="n"/>
      <c r="D1743" s="75">
        <f>IF($C1743="","",IFERROR(INDEX(CAT_TIPO,MATCH($C1743,CAT_NOME,0)),"Sem categoria"))</f>
        <v/>
      </c>
      <c r="E1743" s="75">
        <f>IF($C1743="","",IFERROR(INDEX(CAT_GRUPO,MATCH($C1743,CAT_NOME,0)),"Sem categoria"))</f>
        <v/>
      </c>
      <c r="F1743" s="76" t="n"/>
      <c r="G1743" s="74" t="n"/>
      <c r="H1743" s="74" t="n"/>
      <c r="I1743" s="74" t="n"/>
      <c r="J1743" s="77" t="n"/>
      <c r="K1743" s="77" t="n"/>
      <c r="L1743" s="74" t="n"/>
      <c r="M1743" s="74" t="n"/>
      <c r="O1743" s="78">
        <f>IF($A1743="","",YEAR($A1743)*100+MONTH($A1743))</f>
        <v/>
      </c>
      <c r="P1743" s="79">
        <f>IF(OR($F1743="",$D1743=""),"",IF($D1743="Receita",$F1743,IF($D1743="Transferência",0,-$F1743)))</f>
        <v/>
      </c>
    </row>
    <row r="1744">
      <c r="A1744" s="73" t="n"/>
      <c r="B1744" s="74" t="n"/>
      <c r="C1744" s="74" t="n"/>
      <c r="D1744" s="75">
        <f>IF($C1744="","",IFERROR(INDEX(CAT_TIPO,MATCH($C1744,CAT_NOME,0)),"Sem categoria"))</f>
        <v/>
      </c>
      <c r="E1744" s="75">
        <f>IF($C1744="","",IFERROR(INDEX(CAT_GRUPO,MATCH($C1744,CAT_NOME,0)),"Sem categoria"))</f>
        <v/>
      </c>
      <c r="F1744" s="76" t="n"/>
      <c r="G1744" s="74" t="n"/>
      <c r="H1744" s="74" t="n"/>
      <c r="I1744" s="74" t="n"/>
      <c r="J1744" s="77" t="n"/>
      <c r="K1744" s="77" t="n"/>
      <c r="L1744" s="74" t="n"/>
      <c r="M1744" s="74" t="n"/>
      <c r="O1744" s="78">
        <f>IF($A1744="","",YEAR($A1744)*100+MONTH($A1744))</f>
        <v/>
      </c>
      <c r="P1744" s="79">
        <f>IF(OR($F1744="",$D1744=""),"",IF($D1744="Receita",$F1744,IF($D1744="Transferência",0,-$F1744)))</f>
        <v/>
      </c>
    </row>
    <row r="1745">
      <c r="A1745" s="73" t="n"/>
      <c r="B1745" s="74" t="n"/>
      <c r="C1745" s="74" t="n"/>
      <c r="D1745" s="75">
        <f>IF($C1745="","",IFERROR(INDEX(CAT_TIPO,MATCH($C1745,CAT_NOME,0)),"Sem categoria"))</f>
        <v/>
      </c>
      <c r="E1745" s="75">
        <f>IF($C1745="","",IFERROR(INDEX(CAT_GRUPO,MATCH($C1745,CAT_NOME,0)),"Sem categoria"))</f>
        <v/>
      </c>
      <c r="F1745" s="76" t="n"/>
      <c r="G1745" s="74" t="n"/>
      <c r="H1745" s="74" t="n"/>
      <c r="I1745" s="74" t="n"/>
      <c r="J1745" s="77" t="n"/>
      <c r="K1745" s="77" t="n"/>
      <c r="L1745" s="74" t="n"/>
      <c r="M1745" s="74" t="n"/>
      <c r="O1745" s="78">
        <f>IF($A1745="","",YEAR($A1745)*100+MONTH($A1745))</f>
        <v/>
      </c>
      <c r="P1745" s="79">
        <f>IF(OR($F1745="",$D1745=""),"",IF($D1745="Receita",$F1745,IF($D1745="Transferência",0,-$F1745)))</f>
        <v/>
      </c>
    </row>
    <row r="1746">
      <c r="A1746" s="73" t="n"/>
      <c r="B1746" s="74" t="n"/>
      <c r="C1746" s="74" t="n"/>
      <c r="D1746" s="75">
        <f>IF($C1746="","",IFERROR(INDEX(CAT_TIPO,MATCH($C1746,CAT_NOME,0)),"Sem categoria"))</f>
        <v/>
      </c>
      <c r="E1746" s="75">
        <f>IF($C1746="","",IFERROR(INDEX(CAT_GRUPO,MATCH($C1746,CAT_NOME,0)),"Sem categoria"))</f>
        <v/>
      </c>
      <c r="F1746" s="76" t="n"/>
      <c r="G1746" s="74" t="n"/>
      <c r="H1746" s="74" t="n"/>
      <c r="I1746" s="74" t="n"/>
      <c r="J1746" s="77" t="n"/>
      <c r="K1746" s="77" t="n"/>
      <c r="L1746" s="74" t="n"/>
      <c r="M1746" s="74" t="n"/>
      <c r="O1746" s="78">
        <f>IF($A1746="","",YEAR($A1746)*100+MONTH($A1746))</f>
        <v/>
      </c>
      <c r="P1746" s="79">
        <f>IF(OR($F1746="",$D1746=""),"",IF($D1746="Receita",$F1746,IF($D1746="Transferência",0,-$F1746)))</f>
        <v/>
      </c>
    </row>
    <row r="1747">
      <c r="A1747" s="73" t="n"/>
      <c r="B1747" s="74" t="n"/>
      <c r="C1747" s="74" t="n"/>
      <c r="D1747" s="75">
        <f>IF($C1747="","",IFERROR(INDEX(CAT_TIPO,MATCH($C1747,CAT_NOME,0)),"Sem categoria"))</f>
        <v/>
      </c>
      <c r="E1747" s="75">
        <f>IF($C1747="","",IFERROR(INDEX(CAT_GRUPO,MATCH($C1747,CAT_NOME,0)),"Sem categoria"))</f>
        <v/>
      </c>
      <c r="F1747" s="76" t="n"/>
      <c r="G1747" s="74" t="n"/>
      <c r="H1747" s="74" t="n"/>
      <c r="I1747" s="74" t="n"/>
      <c r="J1747" s="77" t="n"/>
      <c r="K1747" s="77" t="n"/>
      <c r="L1747" s="74" t="n"/>
      <c r="M1747" s="74" t="n"/>
      <c r="O1747" s="78">
        <f>IF($A1747="","",YEAR($A1747)*100+MONTH($A1747))</f>
        <v/>
      </c>
      <c r="P1747" s="79">
        <f>IF(OR($F1747="",$D1747=""),"",IF($D1747="Receita",$F1747,IF($D1747="Transferência",0,-$F1747)))</f>
        <v/>
      </c>
    </row>
    <row r="1748">
      <c r="A1748" s="73" t="n"/>
      <c r="B1748" s="74" t="n"/>
      <c r="C1748" s="74" t="n"/>
      <c r="D1748" s="75">
        <f>IF($C1748="","",IFERROR(INDEX(CAT_TIPO,MATCH($C1748,CAT_NOME,0)),"Sem categoria"))</f>
        <v/>
      </c>
      <c r="E1748" s="75">
        <f>IF($C1748="","",IFERROR(INDEX(CAT_GRUPO,MATCH($C1748,CAT_NOME,0)),"Sem categoria"))</f>
        <v/>
      </c>
      <c r="F1748" s="76" t="n"/>
      <c r="G1748" s="74" t="n"/>
      <c r="H1748" s="74" t="n"/>
      <c r="I1748" s="74" t="n"/>
      <c r="J1748" s="77" t="n"/>
      <c r="K1748" s="77" t="n"/>
      <c r="L1748" s="74" t="n"/>
      <c r="M1748" s="74" t="n"/>
      <c r="O1748" s="78">
        <f>IF($A1748="","",YEAR($A1748)*100+MONTH($A1748))</f>
        <v/>
      </c>
      <c r="P1748" s="79">
        <f>IF(OR($F1748="",$D1748=""),"",IF($D1748="Receita",$F1748,IF($D1748="Transferência",0,-$F1748)))</f>
        <v/>
      </c>
    </row>
    <row r="1749">
      <c r="A1749" s="73" t="n"/>
      <c r="B1749" s="74" t="n"/>
      <c r="C1749" s="74" t="n"/>
      <c r="D1749" s="75">
        <f>IF($C1749="","",IFERROR(INDEX(CAT_TIPO,MATCH($C1749,CAT_NOME,0)),"Sem categoria"))</f>
        <v/>
      </c>
      <c r="E1749" s="75">
        <f>IF($C1749="","",IFERROR(INDEX(CAT_GRUPO,MATCH($C1749,CAT_NOME,0)),"Sem categoria"))</f>
        <v/>
      </c>
      <c r="F1749" s="76" t="n"/>
      <c r="G1749" s="74" t="n"/>
      <c r="H1749" s="74" t="n"/>
      <c r="I1749" s="74" t="n"/>
      <c r="J1749" s="77" t="n"/>
      <c r="K1749" s="77" t="n"/>
      <c r="L1749" s="74" t="n"/>
      <c r="M1749" s="74" t="n"/>
      <c r="O1749" s="78">
        <f>IF($A1749="","",YEAR($A1749)*100+MONTH($A1749))</f>
        <v/>
      </c>
      <c r="P1749" s="79">
        <f>IF(OR($F1749="",$D1749=""),"",IF($D1749="Receita",$F1749,IF($D1749="Transferência",0,-$F1749)))</f>
        <v/>
      </c>
    </row>
    <row r="1750">
      <c r="A1750" s="73" t="n"/>
      <c r="B1750" s="74" t="n"/>
      <c r="C1750" s="74" t="n"/>
      <c r="D1750" s="75">
        <f>IF($C1750="","",IFERROR(INDEX(CAT_TIPO,MATCH($C1750,CAT_NOME,0)),"Sem categoria"))</f>
        <v/>
      </c>
      <c r="E1750" s="75">
        <f>IF($C1750="","",IFERROR(INDEX(CAT_GRUPO,MATCH($C1750,CAT_NOME,0)),"Sem categoria"))</f>
        <v/>
      </c>
      <c r="F1750" s="76" t="n"/>
      <c r="G1750" s="74" t="n"/>
      <c r="H1750" s="74" t="n"/>
      <c r="I1750" s="74" t="n"/>
      <c r="J1750" s="77" t="n"/>
      <c r="K1750" s="77" t="n"/>
      <c r="L1750" s="74" t="n"/>
      <c r="M1750" s="74" t="n"/>
      <c r="O1750" s="78">
        <f>IF($A1750="","",YEAR($A1750)*100+MONTH($A1750))</f>
        <v/>
      </c>
      <c r="P1750" s="79">
        <f>IF(OR($F1750="",$D1750=""),"",IF($D1750="Receita",$F1750,IF($D1750="Transferência",0,-$F1750)))</f>
        <v/>
      </c>
    </row>
    <row r="1751">
      <c r="A1751" s="73" t="n"/>
      <c r="B1751" s="74" t="n"/>
      <c r="C1751" s="74" t="n"/>
      <c r="D1751" s="75">
        <f>IF($C1751="","",IFERROR(INDEX(CAT_TIPO,MATCH($C1751,CAT_NOME,0)),"Sem categoria"))</f>
        <v/>
      </c>
      <c r="E1751" s="75">
        <f>IF($C1751="","",IFERROR(INDEX(CAT_GRUPO,MATCH($C1751,CAT_NOME,0)),"Sem categoria"))</f>
        <v/>
      </c>
      <c r="F1751" s="76" t="n"/>
      <c r="G1751" s="74" t="n"/>
      <c r="H1751" s="74" t="n"/>
      <c r="I1751" s="74" t="n"/>
      <c r="J1751" s="77" t="n"/>
      <c r="K1751" s="77" t="n"/>
      <c r="L1751" s="74" t="n"/>
      <c r="M1751" s="74" t="n"/>
      <c r="O1751" s="78">
        <f>IF($A1751="","",YEAR($A1751)*100+MONTH($A1751))</f>
        <v/>
      </c>
      <c r="P1751" s="79">
        <f>IF(OR($F1751="",$D1751=""),"",IF($D1751="Receita",$F1751,IF($D1751="Transferência",0,-$F1751)))</f>
        <v/>
      </c>
    </row>
    <row r="1752">
      <c r="A1752" s="73" t="n"/>
      <c r="B1752" s="74" t="n"/>
      <c r="C1752" s="74" t="n"/>
      <c r="D1752" s="75">
        <f>IF($C1752="","",IFERROR(INDEX(CAT_TIPO,MATCH($C1752,CAT_NOME,0)),"Sem categoria"))</f>
        <v/>
      </c>
      <c r="E1752" s="75">
        <f>IF($C1752="","",IFERROR(INDEX(CAT_GRUPO,MATCH($C1752,CAT_NOME,0)),"Sem categoria"))</f>
        <v/>
      </c>
      <c r="F1752" s="76" t="n"/>
      <c r="G1752" s="74" t="n"/>
      <c r="H1752" s="74" t="n"/>
      <c r="I1752" s="74" t="n"/>
      <c r="J1752" s="77" t="n"/>
      <c r="K1752" s="77" t="n"/>
      <c r="L1752" s="74" t="n"/>
      <c r="M1752" s="74" t="n"/>
      <c r="O1752" s="78">
        <f>IF($A1752="","",YEAR($A1752)*100+MONTH($A1752))</f>
        <v/>
      </c>
      <c r="P1752" s="79">
        <f>IF(OR($F1752="",$D1752=""),"",IF($D1752="Receita",$F1752,IF($D1752="Transferência",0,-$F1752)))</f>
        <v/>
      </c>
    </row>
    <row r="1753">
      <c r="A1753" s="73" t="n"/>
      <c r="B1753" s="74" t="n"/>
      <c r="C1753" s="74" t="n"/>
      <c r="D1753" s="75">
        <f>IF($C1753="","",IFERROR(INDEX(CAT_TIPO,MATCH($C1753,CAT_NOME,0)),"Sem categoria"))</f>
        <v/>
      </c>
      <c r="E1753" s="75">
        <f>IF($C1753="","",IFERROR(INDEX(CAT_GRUPO,MATCH($C1753,CAT_NOME,0)),"Sem categoria"))</f>
        <v/>
      </c>
      <c r="F1753" s="76" t="n"/>
      <c r="G1753" s="74" t="n"/>
      <c r="H1753" s="74" t="n"/>
      <c r="I1753" s="74" t="n"/>
      <c r="J1753" s="77" t="n"/>
      <c r="K1753" s="77" t="n"/>
      <c r="L1753" s="74" t="n"/>
      <c r="M1753" s="74" t="n"/>
      <c r="O1753" s="78">
        <f>IF($A1753="","",YEAR($A1753)*100+MONTH($A1753))</f>
        <v/>
      </c>
      <c r="P1753" s="79">
        <f>IF(OR($F1753="",$D1753=""),"",IF($D1753="Receita",$F1753,IF($D1753="Transferência",0,-$F1753)))</f>
        <v/>
      </c>
    </row>
    <row r="1754">
      <c r="A1754" s="73" t="n"/>
      <c r="B1754" s="74" t="n"/>
      <c r="C1754" s="74" t="n"/>
      <c r="D1754" s="75">
        <f>IF($C1754="","",IFERROR(INDEX(CAT_TIPO,MATCH($C1754,CAT_NOME,0)),"Sem categoria"))</f>
        <v/>
      </c>
      <c r="E1754" s="75">
        <f>IF($C1754="","",IFERROR(INDEX(CAT_GRUPO,MATCH($C1754,CAT_NOME,0)),"Sem categoria"))</f>
        <v/>
      </c>
      <c r="F1754" s="76" t="n"/>
      <c r="G1754" s="74" t="n"/>
      <c r="H1754" s="74" t="n"/>
      <c r="I1754" s="74" t="n"/>
      <c r="J1754" s="77" t="n"/>
      <c r="K1754" s="77" t="n"/>
      <c r="L1754" s="74" t="n"/>
      <c r="M1754" s="74" t="n"/>
      <c r="O1754" s="78">
        <f>IF($A1754="","",YEAR($A1754)*100+MONTH($A1754))</f>
        <v/>
      </c>
      <c r="P1754" s="79">
        <f>IF(OR($F1754="",$D1754=""),"",IF($D1754="Receita",$F1754,IF($D1754="Transferência",0,-$F1754)))</f>
        <v/>
      </c>
    </row>
    <row r="1755">
      <c r="A1755" s="73" t="n"/>
      <c r="B1755" s="74" t="n"/>
      <c r="C1755" s="74" t="n"/>
      <c r="D1755" s="75">
        <f>IF($C1755="","",IFERROR(INDEX(CAT_TIPO,MATCH($C1755,CAT_NOME,0)),"Sem categoria"))</f>
        <v/>
      </c>
      <c r="E1755" s="75">
        <f>IF($C1755="","",IFERROR(INDEX(CAT_GRUPO,MATCH($C1755,CAT_NOME,0)),"Sem categoria"))</f>
        <v/>
      </c>
      <c r="F1755" s="76" t="n"/>
      <c r="G1755" s="74" t="n"/>
      <c r="H1755" s="74" t="n"/>
      <c r="I1755" s="74" t="n"/>
      <c r="J1755" s="77" t="n"/>
      <c r="K1755" s="77" t="n"/>
      <c r="L1755" s="74" t="n"/>
      <c r="M1755" s="74" t="n"/>
      <c r="O1755" s="78">
        <f>IF($A1755="","",YEAR($A1755)*100+MONTH($A1755))</f>
        <v/>
      </c>
      <c r="P1755" s="79">
        <f>IF(OR($F1755="",$D1755=""),"",IF($D1755="Receita",$F1755,IF($D1755="Transferência",0,-$F1755)))</f>
        <v/>
      </c>
    </row>
    <row r="1756">
      <c r="A1756" s="73" t="n"/>
      <c r="B1756" s="74" t="n"/>
      <c r="C1756" s="74" t="n"/>
      <c r="D1756" s="75">
        <f>IF($C1756="","",IFERROR(INDEX(CAT_TIPO,MATCH($C1756,CAT_NOME,0)),"Sem categoria"))</f>
        <v/>
      </c>
      <c r="E1756" s="75">
        <f>IF($C1756="","",IFERROR(INDEX(CAT_GRUPO,MATCH($C1756,CAT_NOME,0)),"Sem categoria"))</f>
        <v/>
      </c>
      <c r="F1756" s="76" t="n"/>
      <c r="G1756" s="74" t="n"/>
      <c r="H1756" s="74" t="n"/>
      <c r="I1756" s="74" t="n"/>
      <c r="J1756" s="77" t="n"/>
      <c r="K1756" s="77" t="n"/>
      <c r="L1756" s="74" t="n"/>
      <c r="M1756" s="74" t="n"/>
      <c r="O1756" s="78">
        <f>IF($A1756="","",YEAR($A1756)*100+MONTH($A1756))</f>
        <v/>
      </c>
      <c r="P1756" s="79">
        <f>IF(OR($F1756="",$D1756=""),"",IF($D1756="Receita",$F1756,IF($D1756="Transferência",0,-$F1756)))</f>
        <v/>
      </c>
    </row>
    <row r="1757">
      <c r="A1757" s="73" t="n"/>
      <c r="B1757" s="74" t="n"/>
      <c r="C1757" s="74" t="n"/>
      <c r="D1757" s="75">
        <f>IF($C1757="","",IFERROR(INDEX(CAT_TIPO,MATCH($C1757,CAT_NOME,0)),"Sem categoria"))</f>
        <v/>
      </c>
      <c r="E1757" s="75">
        <f>IF($C1757="","",IFERROR(INDEX(CAT_GRUPO,MATCH($C1757,CAT_NOME,0)),"Sem categoria"))</f>
        <v/>
      </c>
      <c r="F1757" s="76" t="n"/>
      <c r="G1757" s="74" t="n"/>
      <c r="H1757" s="74" t="n"/>
      <c r="I1757" s="74" t="n"/>
      <c r="J1757" s="77" t="n"/>
      <c r="K1757" s="77" t="n"/>
      <c r="L1757" s="74" t="n"/>
      <c r="M1757" s="74" t="n"/>
      <c r="O1757" s="78">
        <f>IF($A1757="","",YEAR($A1757)*100+MONTH($A1757))</f>
        <v/>
      </c>
      <c r="P1757" s="79">
        <f>IF(OR($F1757="",$D1757=""),"",IF($D1757="Receita",$F1757,IF($D1757="Transferência",0,-$F1757)))</f>
        <v/>
      </c>
    </row>
    <row r="1758">
      <c r="A1758" s="73" t="n"/>
      <c r="B1758" s="74" t="n"/>
      <c r="C1758" s="74" t="n"/>
      <c r="D1758" s="75">
        <f>IF($C1758="","",IFERROR(INDEX(CAT_TIPO,MATCH($C1758,CAT_NOME,0)),"Sem categoria"))</f>
        <v/>
      </c>
      <c r="E1758" s="75">
        <f>IF($C1758="","",IFERROR(INDEX(CAT_GRUPO,MATCH($C1758,CAT_NOME,0)),"Sem categoria"))</f>
        <v/>
      </c>
      <c r="F1758" s="76" t="n"/>
      <c r="G1758" s="74" t="n"/>
      <c r="H1758" s="74" t="n"/>
      <c r="I1758" s="74" t="n"/>
      <c r="J1758" s="77" t="n"/>
      <c r="K1758" s="77" t="n"/>
      <c r="L1758" s="74" t="n"/>
      <c r="M1758" s="74" t="n"/>
      <c r="O1758" s="78">
        <f>IF($A1758="","",YEAR($A1758)*100+MONTH($A1758))</f>
        <v/>
      </c>
      <c r="P1758" s="79">
        <f>IF(OR($F1758="",$D1758=""),"",IF($D1758="Receita",$F1758,IF($D1758="Transferência",0,-$F1758)))</f>
        <v/>
      </c>
    </row>
    <row r="1759">
      <c r="A1759" s="73" t="n"/>
      <c r="B1759" s="74" t="n"/>
      <c r="C1759" s="74" t="n"/>
      <c r="D1759" s="75">
        <f>IF($C1759="","",IFERROR(INDEX(CAT_TIPO,MATCH($C1759,CAT_NOME,0)),"Sem categoria"))</f>
        <v/>
      </c>
      <c r="E1759" s="75">
        <f>IF($C1759="","",IFERROR(INDEX(CAT_GRUPO,MATCH($C1759,CAT_NOME,0)),"Sem categoria"))</f>
        <v/>
      </c>
      <c r="F1759" s="76" t="n"/>
      <c r="G1759" s="74" t="n"/>
      <c r="H1759" s="74" t="n"/>
      <c r="I1759" s="74" t="n"/>
      <c r="J1759" s="77" t="n"/>
      <c r="K1759" s="77" t="n"/>
      <c r="L1759" s="74" t="n"/>
      <c r="M1759" s="74" t="n"/>
      <c r="O1759" s="78">
        <f>IF($A1759="","",YEAR($A1759)*100+MONTH($A1759))</f>
        <v/>
      </c>
      <c r="P1759" s="79">
        <f>IF(OR($F1759="",$D1759=""),"",IF($D1759="Receita",$F1759,IF($D1759="Transferência",0,-$F1759)))</f>
        <v/>
      </c>
    </row>
    <row r="1760">
      <c r="A1760" s="73" t="n"/>
      <c r="B1760" s="74" t="n"/>
      <c r="C1760" s="74" t="n"/>
      <c r="D1760" s="75">
        <f>IF($C1760="","",IFERROR(INDEX(CAT_TIPO,MATCH($C1760,CAT_NOME,0)),"Sem categoria"))</f>
        <v/>
      </c>
      <c r="E1760" s="75">
        <f>IF($C1760="","",IFERROR(INDEX(CAT_GRUPO,MATCH($C1760,CAT_NOME,0)),"Sem categoria"))</f>
        <v/>
      </c>
      <c r="F1760" s="76" t="n"/>
      <c r="G1760" s="74" t="n"/>
      <c r="H1760" s="74" t="n"/>
      <c r="I1760" s="74" t="n"/>
      <c r="J1760" s="77" t="n"/>
      <c r="K1760" s="77" t="n"/>
      <c r="L1760" s="74" t="n"/>
      <c r="M1760" s="74" t="n"/>
      <c r="O1760" s="78">
        <f>IF($A1760="","",YEAR($A1760)*100+MONTH($A1760))</f>
        <v/>
      </c>
      <c r="P1760" s="79">
        <f>IF(OR($F1760="",$D1760=""),"",IF($D1760="Receita",$F1760,IF($D1760="Transferência",0,-$F1760)))</f>
        <v/>
      </c>
    </row>
    <row r="1761">
      <c r="A1761" s="73" t="n"/>
      <c r="B1761" s="74" t="n"/>
      <c r="C1761" s="74" t="n"/>
      <c r="D1761" s="75">
        <f>IF($C1761="","",IFERROR(INDEX(CAT_TIPO,MATCH($C1761,CAT_NOME,0)),"Sem categoria"))</f>
        <v/>
      </c>
      <c r="E1761" s="75">
        <f>IF($C1761="","",IFERROR(INDEX(CAT_GRUPO,MATCH($C1761,CAT_NOME,0)),"Sem categoria"))</f>
        <v/>
      </c>
      <c r="F1761" s="76" t="n"/>
      <c r="G1761" s="74" t="n"/>
      <c r="H1761" s="74" t="n"/>
      <c r="I1761" s="74" t="n"/>
      <c r="J1761" s="77" t="n"/>
      <c r="K1761" s="77" t="n"/>
      <c r="L1761" s="74" t="n"/>
      <c r="M1761" s="74" t="n"/>
      <c r="O1761" s="78">
        <f>IF($A1761="","",YEAR($A1761)*100+MONTH($A1761))</f>
        <v/>
      </c>
      <c r="P1761" s="79">
        <f>IF(OR($F1761="",$D1761=""),"",IF($D1761="Receita",$F1761,IF($D1761="Transferência",0,-$F1761)))</f>
        <v/>
      </c>
    </row>
    <row r="1762">
      <c r="A1762" s="73" t="n"/>
      <c r="B1762" s="74" t="n"/>
      <c r="C1762" s="74" t="n"/>
      <c r="D1762" s="75">
        <f>IF($C1762="","",IFERROR(INDEX(CAT_TIPO,MATCH($C1762,CAT_NOME,0)),"Sem categoria"))</f>
        <v/>
      </c>
      <c r="E1762" s="75">
        <f>IF($C1762="","",IFERROR(INDEX(CAT_GRUPO,MATCH($C1762,CAT_NOME,0)),"Sem categoria"))</f>
        <v/>
      </c>
      <c r="F1762" s="76" t="n"/>
      <c r="G1762" s="74" t="n"/>
      <c r="H1762" s="74" t="n"/>
      <c r="I1762" s="74" t="n"/>
      <c r="J1762" s="77" t="n"/>
      <c r="K1762" s="77" t="n"/>
      <c r="L1762" s="74" t="n"/>
      <c r="M1762" s="74" t="n"/>
      <c r="O1762" s="78">
        <f>IF($A1762="","",YEAR($A1762)*100+MONTH($A1762))</f>
        <v/>
      </c>
      <c r="P1762" s="79">
        <f>IF(OR($F1762="",$D1762=""),"",IF($D1762="Receita",$F1762,IF($D1762="Transferência",0,-$F1762)))</f>
        <v/>
      </c>
    </row>
    <row r="1763">
      <c r="A1763" s="73" t="n"/>
      <c r="B1763" s="74" t="n"/>
      <c r="C1763" s="74" t="n"/>
      <c r="D1763" s="75">
        <f>IF($C1763="","",IFERROR(INDEX(CAT_TIPO,MATCH($C1763,CAT_NOME,0)),"Sem categoria"))</f>
        <v/>
      </c>
      <c r="E1763" s="75">
        <f>IF($C1763="","",IFERROR(INDEX(CAT_GRUPO,MATCH($C1763,CAT_NOME,0)),"Sem categoria"))</f>
        <v/>
      </c>
      <c r="F1763" s="76" t="n"/>
      <c r="G1763" s="74" t="n"/>
      <c r="H1763" s="74" t="n"/>
      <c r="I1763" s="74" t="n"/>
      <c r="J1763" s="77" t="n"/>
      <c r="K1763" s="77" t="n"/>
      <c r="L1763" s="74" t="n"/>
      <c r="M1763" s="74" t="n"/>
      <c r="O1763" s="78">
        <f>IF($A1763="","",YEAR($A1763)*100+MONTH($A1763))</f>
        <v/>
      </c>
      <c r="P1763" s="79">
        <f>IF(OR($F1763="",$D1763=""),"",IF($D1763="Receita",$F1763,IF($D1763="Transferência",0,-$F1763)))</f>
        <v/>
      </c>
    </row>
    <row r="1764">
      <c r="A1764" s="73" t="n"/>
      <c r="B1764" s="74" t="n"/>
      <c r="C1764" s="74" t="n"/>
      <c r="D1764" s="75">
        <f>IF($C1764="","",IFERROR(INDEX(CAT_TIPO,MATCH($C1764,CAT_NOME,0)),"Sem categoria"))</f>
        <v/>
      </c>
      <c r="E1764" s="75">
        <f>IF($C1764="","",IFERROR(INDEX(CAT_GRUPO,MATCH($C1764,CAT_NOME,0)),"Sem categoria"))</f>
        <v/>
      </c>
      <c r="F1764" s="76" t="n"/>
      <c r="G1764" s="74" t="n"/>
      <c r="H1764" s="74" t="n"/>
      <c r="I1764" s="74" t="n"/>
      <c r="J1764" s="77" t="n"/>
      <c r="K1764" s="77" t="n"/>
      <c r="L1764" s="74" t="n"/>
      <c r="M1764" s="74" t="n"/>
      <c r="O1764" s="78">
        <f>IF($A1764="","",YEAR($A1764)*100+MONTH($A1764))</f>
        <v/>
      </c>
      <c r="P1764" s="79">
        <f>IF(OR($F1764="",$D1764=""),"",IF($D1764="Receita",$F1764,IF($D1764="Transferência",0,-$F1764)))</f>
        <v/>
      </c>
    </row>
    <row r="1765">
      <c r="A1765" s="73" t="n"/>
      <c r="B1765" s="74" t="n"/>
      <c r="C1765" s="74" t="n"/>
      <c r="D1765" s="75">
        <f>IF($C1765="","",IFERROR(INDEX(CAT_TIPO,MATCH($C1765,CAT_NOME,0)),"Sem categoria"))</f>
        <v/>
      </c>
      <c r="E1765" s="75">
        <f>IF($C1765="","",IFERROR(INDEX(CAT_GRUPO,MATCH($C1765,CAT_NOME,0)),"Sem categoria"))</f>
        <v/>
      </c>
      <c r="F1765" s="76" t="n"/>
      <c r="G1765" s="74" t="n"/>
      <c r="H1765" s="74" t="n"/>
      <c r="I1765" s="74" t="n"/>
      <c r="J1765" s="77" t="n"/>
      <c r="K1765" s="77" t="n"/>
      <c r="L1765" s="74" t="n"/>
      <c r="M1765" s="74" t="n"/>
      <c r="O1765" s="78">
        <f>IF($A1765="","",YEAR($A1765)*100+MONTH($A1765))</f>
        <v/>
      </c>
      <c r="P1765" s="79">
        <f>IF(OR($F1765="",$D1765=""),"",IF($D1765="Receita",$F1765,IF($D1765="Transferência",0,-$F1765)))</f>
        <v/>
      </c>
    </row>
    <row r="1766">
      <c r="A1766" s="73" t="n"/>
      <c r="B1766" s="74" t="n"/>
      <c r="C1766" s="74" t="n"/>
      <c r="D1766" s="75">
        <f>IF($C1766="","",IFERROR(INDEX(CAT_TIPO,MATCH($C1766,CAT_NOME,0)),"Sem categoria"))</f>
        <v/>
      </c>
      <c r="E1766" s="75">
        <f>IF($C1766="","",IFERROR(INDEX(CAT_GRUPO,MATCH($C1766,CAT_NOME,0)),"Sem categoria"))</f>
        <v/>
      </c>
      <c r="F1766" s="76" t="n"/>
      <c r="G1766" s="74" t="n"/>
      <c r="H1766" s="74" t="n"/>
      <c r="I1766" s="74" t="n"/>
      <c r="J1766" s="77" t="n"/>
      <c r="K1766" s="77" t="n"/>
      <c r="L1766" s="74" t="n"/>
      <c r="M1766" s="74" t="n"/>
      <c r="O1766" s="78">
        <f>IF($A1766="","",YEAR($A1766)*100+MONTH($A1766))</f>
        <v/>
      </c>
      <c r="P1766" s="79">
        <f>IF(OR($F1766="",$D1766=""),"",IF($D1766="Receita",$F1766,IF($D1766="Transferência",0,-$F1766)))</f>
        <v/>
      </c>
    </row>
    <row r="1767">
      <c r="A1767" s="73" t="n"/>
      <c r="B1767" s="74" t="n"/>
      <c r="C1767" s="74" t="n"/>
      <c r="D1767" s="75">
        <f>IF($C1767="","",IFERROR(INDEX(CAT_TIPO,MATCH($C1767,CAT_NOME,0)),"Sem categoria"))</f>
        <v/>
      </c>
      <c r="E1767" s="75">
        <f>IF($C1767="","",IFERROR(INDEX(CAT_GRUPO,MATCH($C1767,CAT_NOME,0)),"Sem categoria"))</f>
        <v/>
      </c>
      <c r="F1767" s="76" t="n"/>
      <c r="G1767" s="74" t="n"/>
      <c r="H1767" s="74" t="n"/>
      <c r="I1767" s="74" t="n"/>
      <c r="J1767" s="77" t="n"/>
      <c r="K1767" s="77" t="n"/>
      <c r="L1767" s="74" t="n"/>
      <c r="M1767" s="74" t="n"/>
      <c r="O1767" s="78">
        <f>IF($A1767="","",YEAR($A1767)*100+MONTH($A1767))</f>
        <v/>
      </c>
      <c r="P1767" s="79">
        <f>IF(OR($F1767="",$D1767=""),"",IF($D1767="Receita",$F1767,IF($D1767="Transferência",0,-$F1767)))</f>
        <v/>
      </c>
    </row>
    <row r="1768">
      <c r="A1768" s="73" t="n"/>
      <c r="B1768" s="74" t="n"/>
      <c r="C1768" s="74" t="n"/>
      <c r="D1768" s="75">
        <f>IF($C1768="","",IFERROR(INDEX(CAT_TIPO,MATCH($C1768,CAT_NOME,0)),"Sem categoria"))</f>
        <v/>
      </c>
      <c r="E1768" s="75">
        <f>IF($C1768="","",IFERROR(INDEX(CAT_GRUPO,MATCH($C1768,CAT_NOME,0)),"Sem categoria"))</f>
        <v/>
      </c>
      <c r="F1768" s="76" t="n"/>
      <c r="G1768" s="74" t="n"/>
      <c r="H1768" s="74" t="n"/>
      <c r="I1768" s="74" t="n"/>
      <c r="J1768" s="77" t="n"/>
      <c r="K1768" s="77" t="n"/>
      <c r="L1768" s="74" t="n"/>
      <c r="M1768" s="74" t="n"/>
      <c r="O1768" s="78">
        <f>IF($A1768="","",YEAR($A1768)*100+MONTH($A1768))</f>
        <v/>
      </c>
      <c r="P1768" s="79">
        <f>IF(OR($F1768="",$D1768=""),"",IF($D1768="Receita",$F1768,IF($D1768="Transferência",0,-$F1768)))</f>
        <v/>
      </c>
    </row>
    <row r="1769">
      <c r="A1769" s="73" t="n"/>
      <c r="B1769" s="74" t="n"/>
      <c r="C1769" s="74" t="n"/>
      <c r="D1769" s="75">
        <f>IF($C1769="","",IFERROR(INDEX(CAT_TIPO,MATCH($C1769,CAT_NOME,0)),"Sem categoria"))</f>
        <v/>
      </c>
      <c r="E1769" s="75">
        <f>IF($C1769="","",IFERROR(INDEX(CAT_GRUPO,MATCH($C1769,CAT_NOME,0)),"Sem categoria"))</f>
        <v/>
      </c>
      <c r="F1769" s="76" t="n"/>
      <c r="G1769" s="74" t="n"/>
      <c r="H1769" s="74" t="n"/>
      <c r="I1769" s="74" t="n"/>
      <c r="J1769" s="77" t="n"/>
      <c r="K1769" s="77" t="n"/>
      <c r="L1769" s="74" t="n"/>
      <c r="M1769" s="74" t="n"/>
      <c r="O1769" s="78">
        <f>IF($A1769="","",YEAR($A1769)*100+MONTH($A1769))</f>
        <v/>
      </c>
      <c r="P1769" s="79">
        <f>IF(OR($F1769="",$D1769=""),"",IF($D1769="Receita",$F1769,IF($D1769="Transferência",0,-$F1769)))</f>
        <v/>
      </c>
    </row>
    <row r="1770">
      <c r="A1770" s="73" t="n"/>
      <c r="B1770" s="74" t="n"/>
      <c r="C1770" s="74" t="n"/>
      <c r="D1770" s="75">
        <f>IF($C1770="","",IFERROR(INDEX(CAT_TIPO,MATCH($C1770,CAT_NOME,0)),"Sem categoria"))</f>
        <v/>
      </c>
      <c r="E1770" s="75">
        <f>IF($C1770="","",IFERROR(INDEX(CAT_GRUPO,MATCH($C1770,CAT_NOME,0)),"Sem categoria"))</f>
        <v/>
      </c>
      <c r="F1770" s="76" t="n"/>
      <c r="G1770" s="74" t="n"/>
      <c r="H1770" s="74" t="n"/>
      <c r="I1770" s="74" t="n"/>
      <c r="J1770" s="77" t="n"/>
      <c r="K1770" s="77" t="n"/>
      <c r="L1770" s="74" t="n"/>
      <c r="M1770" s="74" t="n"/>
      <c r="O1770" s="78">
        <f>IF($A1770="","",YEAR($A1770)*100+MONTH($A1770))</f>
        <v/>
      </c>
      <c r="P1770" s="79">
        <f>IF(OR($F1770="",$D1770=""),"",IF($D1770="Receita",$F1770,IF($D1770="Transferência",0,-$F1770)))</f>
        <v/>
      </c>
    </row>
    <row r="1771">
      <c r="A1771" s="73" t="n"/>
      <c r="B1771" s="74" t="n"/>
      <c r="C1771" s="74" t="n"/>
      <c r="D1771" s="75">
        <f>IF($C1771="","",IFERROR(INDEX(CAT_TIPO,MATCH($C1771,CAT_NOME,0)),"Sem categoria"))</f>
        <v/>
      </c>
      <c r="E1771" s="75">
        <f>IF($C1771="","",IFERROR(INDEX(CAT_GRUPO,MATCH($C1771,CAT_NOME,0)),"Sem categoria"))</f>
        <v/>
      </c>
      <c r="F1771" s="76" t="n"/>
      <c r="G1771" s="74" t="n"/>
      <c r="H1771" s="74" t="n"/>
      <c r="I1771" s="74" t="n"/>
      <c r="J1771" s="77" t="n"/>
      <c r="K1771" s="77" t="n"/>
      <c r="L1771" s="74" t="n"/>
      <c r="M1771" s="74" t="n"/>
      <c r="O1771" s="78">
        <f>IF($A1771="","",YEAR($A1771)*100+MONTH($A1771))</f>
        <v/>
      </c>
      <c r="P1771" s="79">
        <f>IF(OR($F1771="",$D1771=""),"",IF($D1771="Receita",$F1771,IF($D1771="Transferência",0,-$F1771)))</f>
        <v/>
      </c>
    </row>
    <row r="1772">
      <c r="A1772" s="73" t="n"/>
      <c r="B1772" s="74" t="n"/>
      <c r="C1772" s="74" t="n"/>
      <c r="D1772" s="75">
        <f>IF($C1772="","",IFERROR(INDEX(CAT_TIPO,MATCH($C1772,CAT_NOME,0)),"Sem categoria"))</f>
        <v/>
      </c>
      <c r="E1772" s="75">
        <f>IF($C1772="","",IFERROR(INDEX(CAT_GRUPO,MATCH($C1772,CAT_NOME,0)),"Sem categoria"))</f>
        <v/>
      </c>
      <c r="F1772" s="76" t="n"/>
      <c r="G1772" s="74" t="n"/>
      <c r="H1772" s="74" t="n"/>
      <c r="I1772" s="74" t="n"/>
      <c r="J1772" s="77" t="n"/>
      <c r="K1772" s="77" t="n"/>
      <c r="L1772" s="74" t="n"/>
      <c r="M1772" s="74" t="n"/>
      <c r="O1772" s="78">
        <f>IF($A1772="","",YEAR($A1772)*100+MONTH($A1772))</f>
        <v/>
      </c>
      <c r="P1772" s="79">
        <f>IF(OR($F1772="",$D1772=""),"",IF($D1772="Receita",$F1772,IF($D1772="Transferência",0,-$F1772)))</f>
        <v/>
      </c>
    </row>
    <row r="1773">
      <c r="A1773" s="73" t="n"/>
      <c r="B1773" s="74" t="n"/>
      <c r="C1773" s="74" t="n"/>
      <c r="D1773" s="75">
        <f>IF($C1773="","",IFERROR(INDEX(CAT_TIPO,MATCH($C1773,CAT_NOME,0)),"Sem categoria"))</f>
        <v/>
      </c>
      <c r="E1773" s="75">
        <f>IF($C1773="","",IFERROR(INDEX(CAT_GRUPO,MATCH($C1773,CAT_NOME,0)),"Sem categoria"))</f>
        <v/>
      </c>
      <c r="F1773" s="76" t="n"/>
      <c r="G1773" s="74" t="n"/>
      <c r="H1773" s="74" t="n"/>
      <c r="I1773" s="74" t="n"/>
      <c r="J1773" s="77" t="n"/>
      <c r="K1773" s="77" t="n"/>
      <c r="L1773" s="74" t="n"/>
      <c r="M1773" s="74" t="n"/>
      <c r="O1773" s="78">
        <f>IF($A1773="","",YEAR($A1773)*100+MONTH($A1773))</f>
        <v/>
      </c>
      <c r="P1773" s="79">
        <f>IF(OR($F1773="",$D1773=""),"",IF($D1773="Receita",$F1773,IF($D1773="Transferência",0,-$F1773)))</f>
        <v/>
      </c>
    </row>
    <row r="1774">
      <c r="A1774" s="73" t="n"/>
      <c r="B1774" s="74" t="n"/>
      <c r="C1774" s="74" t="n"/>
      <c r="D1774" s="75">
        <f>IF($C1774="","",IFERROR(INDEX(CAT_TIPO,MATCH($C1774,CAT_NOME,0)),"Sem categoria"))</f>
        <v/>
      </c>
      <c r="E1774" s="75">
        <f>IF($C1774="","",IFERROR(INDEX(CAT_GRUPO,MATCH($C1774,CAT_NOME,0)),"Sem categoria"))</f>
        <v/>
      </c>
      <c r="F1774" s="76" t="n"/>
      <c r="G1774" s="74" t="n"/>
      <c r="H1774" s="74" t="n"/>
      <c r="I1774" s="74" t="n"/>
      <c r="J1774" s="77" t="n"/>
      <c r="K1774" s="77" t="n"/>
      <c r="L1774" s="74" t="n"/>
      <c r="M1774" s="74" t="n"/>
      <c r="O1774" s="78">
        <f>IF($A1774="","",YEAR($A1774)*100+MONTH($A1774))</f>
        <v/>
      </c>
      <c r="P1774" s="79">
        <f>IF(OR($F1774="",$D1774=""),"",IF($D1774="Receita",$F1774,IF($D1774="Transferência",0,-$F1774)))</f>
        <v/>
      </c>
    </row>
    <row r="1775">
      <c r="A1775" s="73" t="n"/>
      <c r="B1775" s="74" t="n"/>
      <c r="C1775" s="74" t="n"/>
      <c r="D1775" s="75">
        <f>IF($C1775="","",IFERROR(INDEX(CAT_TIPO,MATCH($C1775,CAT_NOME,0)),"Sem categoria"))</f>
        <v/>
      </c>
      <c r="E1775" s="75">
        <f>IF($C1775="","",IFERROR(INDEX(CAT_GRUPO,MATCH($C1775,CAT_NOME,0)),"Sem categoria"))</f>
        <v/>
      </c>
      <c r="F1775" s="76" t="n"/>
      <c r="G1775" s="74" t="n"/>
      <c r="H1775" s="74" t="n"/>
      <c r="I1775" s="74" t="n"/>
      <c r="J1775" s="77" t="n"/>
      <c r="K1775" s="77" t="n"/>
      <c r="L1775" s="74" t="n"/>
      <c r="M1775" s="74" t="n"/>
      <c r="O1775" s="78">
        <f>IF($A1775="","",YEAR($A1775)*100+MONTH($A1775))</f>
        <v/>
      </c>
      <c r="P1775" s="79">
        <f>IF(OR($F1775="",$D1775=""),"",IF($D1775="Receita",$F1775,IF($D1775="Transferência",0,-$F1775)))</f>
        <v/>
      </c>
    </row>
    <row r="1776">
      <c r="A1776" s="73" t="n"/>
      <c r="B1776" s="74" t="n"/>
      <c r="C1776" s="74" t="n"/>
      <c r="D1776" s="75">
        <f>IF($C1776="","",IFERROR(INDEX(CAT_TIPO,MATCH($C1776,CAT_NOME,0)),"Sem categoria"))</f>
        <v/>
      </c>
      <c r="E1776" s="75">
        <f>IF($C1776="","",IFERROR(INDEX(CAT_GRUPO,MATCH($C1776,CAT_NOME,0)),"Sem categoria"))</f>
        <v/>
      </c>
      <c r="F1776" s="76" t="n"/>
      <c r="G1776" s="74" t="n"/>
      <c r="H1776" s="74" t="n"/>
      <c r="I1776" s="74" t="n"/>
      <c r="J1776" s="77" t="n"/>
      <c r="K1776" s="77" t="n"/>
      <c r="L1776" s="74" t="n"/>
      <c r="M1776" s="74" t="n"/>
      <c r="O1776" s="78">
        <f>IF($A1776="","",YEAR($A1776)*100+MONTH($A1776))</f>
        <v/>
      </c>
      <c r="P1776" s="79">
        <f>IF(OR($F1776="",$D1776=""),"",IF($D1776="Receita",$F1776,IF($D1776="Transferência",0,-$F1776)))</f>
        <v/>
      </c>
    </row>
    <row r="1777">
      <c r="A1777" s="73" t="n"/>
      <c r="B1777" s="74" t="n"/>
      <c r="C1777" s="74" t="n"/>
      <c r="D1777" s="75">
        <f>IF($C1777="","",IFERROR(INDEX(CAT_TIPO,MATCH($C1777,CAT_NOME,0)),"Sem categoria"))</f>
        <v/>
      </c>
      <c r="E1777" s="75">
        <f>IF($C1777="","",IFERROR(INDEX(CAT_GRUPO,MATCH($C1777,CAT_NOME,0)),"Sem categoria"))</f>
        <v/>
      </c>
      <c r="F1777" s="76" t="n"/>
      <c r="G1777" s="74" t="n"/>
      <c r="H1777" s="74" t="n"/>
      <c r="I1777" s="74" t="n"/>
      <c r="J1777" s="77" t="n"/>
      <c r="K1777" s="77" t="n"/>
      <c r="L1777" s="74" t="n"/>
      <c r="M1777" s="74" t="n"/>
      <c r="O1777" s="78">
        <f>IF($A1777="","",YEAR($A1777)*100+MONTH($A1777))</f>
        <v/>
      </c>
      <c r="P1777" s="79">
        <f>IF(OR($F1777="",$D1777=""),"",IF($D1777="Receita",$F1777,IF($D1777="Transferência",0,-$F1777)))</f>
        <v/>
      </c>
    </row>
    <row r="1778">
      <c r="A1778" s="73" t="n"/>
      <c r="B1778" s="74" t="n"/>
      <c r="C1778" s="74" t="n"/>
      <c r="D1778" s="75">
        <f>IF($C1778="","",IFERROR(INDEX(CAT_TIPO,MATCH($C1778,CAT_NOME,0)),"Sem categoria"))</f>
        <v/>
      </c>
      <c r="E1778" s="75">
        <f>IF($C1778="","",IFERROR(INDEX(CAT_GRUPO,MATCH($C1778,CAT_NOME,0)),"Sem categoria"))</f>
        <v/>
      </c>
      <c r="F1778" s="76" t="n"/>
      <c r="G1778" s="74" t="n"/>
      <c r="H1778" s="74" t="n"/>
      <c r="I1778" s="74" t="n"/>
      <c r="J1778" s="77" t="n"/>
      <c r="K1778" s="77" t="n"/>
      <c r="L1778" s="74" t="n"/>
      <c r="M1778" s="74" t="n"/>
      <c r="O1778" s="78">
        <f>IF($A1778="","",YEAR($A1778)*100+MONTH($A1778))</f>
        <v/>
      </c>
      <c r="P1778" s="79">
        <f>IF(OR($F1778="",$D1778=""),"",IF($D1778="Receita",$F1778,IF($D1778="Transferência",0,-$F1778)))</f>
        <v/>
      </c>
    </row>
    <row r="1779">
      <c r="A1779" s="73" t="n"/>
      <c r="B1779" s="74" t="n"/>
      <c r="C1779" s="74" t="n"/>
      <c r="D1779" s="75">
        <f>IF($C1779="","",IFERROR(INDEX(CAT_TIPO,MATCH($C1779,CAT_NOME,0)),"Sem categoria"))</f>
        <v/>
      </c>
      <c r="E1779" s="75">
        <f>IF($C1779="","",IFERROR(INDEX(CAT_GRUPO,MATCH($C1779,CAT_NOME,0)),"Sem categoria"))</f>
        <v/>
      </c>
      <c r="F1779" s="76" t="n"/>
      <c r="G1779" s="74" t="n"/>
      <c r="H1779" s="74" t="n"/>
      <c r="I1779" s="74" t="n"/>
      <c r="J1779" s="77" t="n"/>
      <c r="K1779" s="77" t="n"/>
      <c r="L1779" s="74" t="n"/>
      <c r="M1779" s="74" t="n"/>
      <c r="O1779" s="78">
        <f>IF($A1779="","",YEAR($A1779)*100+MONTH($A1779))</f>
        <v/>
      </c>
      <c r="P1779" s="79">
        <f>IF(OR($F1779="",$D1779=""),"",IF($D1779="Receita",$F1779,IF($D1779="Transferência",0,-$F1779)))</f>
        <v/>
      </c>
    </row>
    <row r="1780">
      <c r="A1780" s="73" t="n"/>
      <c r="B1780" s="74" t="n"/>
      <c r="C1780" s="74" t="n"/>
      <c r="D1780" s="75">
        <f>IF($C1780="","",IFERROR(INDEX(CAT_TIPO,MATCH($C1780,CAT_NOME,0)),"Sem categoria"))</f>
        <v/>
      </c>
      <c r="E1780" s="75">
        <f>IF($C1780="","",IFERROR(INDEX(CAT_GRUPO,MATCH($C1780,CAT_NOME,0)),"Sem categoria"))</f>
        <v/>
      </c>
      <c r="F1780" s="76" t="n"/>
      <c r="G1780" s="74" t="n"/>
      <c r="H1780" s="74" t="n"/>
      <c r="I1780" s="74" t="n"/>
      <c r="J1780" s="77" t="n"/>
      <c r="K1780" s="77" t="n"/>
      <c r="L1780" s="74" t="n"/>
      <c r="M1780" s="74" t="n"/>
      <c r="O1780" s="78">
        <f>IF($A1780="","",YEAR($A1780)*100+MONTH($A1780))</f>
        <v/>
      </c>
      <c r="P1780" s="79">
        <f>IF(OR($F1780="",$D1780=""),"",IF($D1780="Receita",$F1780,IF($D1780="Transferência",0,-$F1780)))</f>
        <v/>
      </c>
    </row>
    <row r="1781">
      <c r="A1781" s="73" t="n"/>
      <c r="B1781" s="74" t="n"/>
      <c r="C1781" s="74" t="n"/>
      <c r="D1781" s="75">
        <f>IF($C1781="","",IFERROR(INDEX(CAT_TIPO,MATCH($C1781,CAT_NOME,0)),"Sem categoria"))</f>
        <v/>
      </c>
      <c r="E1781" s="75">
        <f>IF($C1781="","",IFERROR(INDEX(CAT_GRUPO,MATCH($C1781,CAT_NOME,0)),"Sem categoria"))</f>
        <v/>
      </c>
      <c r="F1781" s="76" t="n"/>
      <c r="G1781" s="74" t="n"/>
      <c r="H1781" s="74" t="n"/>
      <c r="I1781" s="74" t="n"/>
      <c r="J1781" s="77" t="n"/>
      <c r="K1781" s="77" t="n"/>
      <c r="L1781" s="74" t="n"/>
      <c r="M1781" s="74" t="n"/>
      <c r="O1781" s="78">
        <f>IF($A1781="","",YEAR($A1781)*100+MONTH($A1781))</f>
        <v/>
      </c>
      <c r="P1781" s="79">
        <f>IF(OR($F1781="",$D1781=""),"",IF($D1781="Receita",$F1781,IF($D1781="Transferência",0,-$F1781)))</f>
        <v/>
      </c>
    </row>
    <row r="1782">
      <c r="A1782" s="73" t="n"/>
      <c r="B1782" s="74" t="n"/>
      <c r="C1782" s="74" t="n"/>
      <c r="D1782" s="75">
        <f>IF($C1782="","",IFERROR(INDEX(CAT_TIPO,MATCH($C1782,CAT_NOME,0)),"Sem categoria"))</f>
        <v/>
      </c>
      <c r="E1782" s="75">
        <f>IF($C1782="","",IFERROR(INDEX(CAT_GRUPO,MATCH($C1782,CAT_NOME,0)),"Sem categoria"))</f>
        <v/>
      </c>
      <c r="F1782" s="76" t="n"/>
      <c r="G1782" s="74" t="n"/>
      <c r="H1782" s="74" t="n"/>
      <c r="I1782" s="74" t="n"/>
      <c r="J1782" s="77" t="n"/>
      <c r="K1782" s="77" t="n"/>
      <c r="L1782" s="74" t="n"/>
      <c r="M1782" s="74" t="n"/>
      <c r="O1782" s="78">
        <f>IF($A1782="","",YEAR($A1782)*100+MONTH($A1782))</f>
        <v/>
      </c>
      <c r="P1782" s="79">
        <f>IF(OR($F1782="",$D1782=""),"",IF($D1782="Receita",$F1782,IF($D1782="Transferência",0,-$F1782)))</f>
        <v/>
      </c>
    </row>
    <row r="1783">
      <c r="A1783" s="73" t="n"/>
      <c r="B1783" s="74" t="n"/>
      <c r="C1783" s="74" t="n"/>
      <c r="D1783" s="75">
        <f>IF($C1783="","",IFERROR(INDEX(CAT_TIPO,MATCH($C1783,CAT_NOME,0)),"Sem categoria"))</f>
        <v/>
      </c>
      <c r="E1783" s="75">
        <f>IF($C1783="","",IFERROR(INDEX(CAT_GRUPO,MATCH($C1783,CAT_NOME,0)),"Sem categoria"))</f>
        <v/>
      </c>
      <c r="F1783" s="76" t="n"/>
      <c r="G1783" s="74" t="n"/>
      <c r="H1783" s="74" t="n"/>
      <c r="I1783" s="74" t="n"/>
      <c r="J1783" s="77" t="n"/>
      <c r="K1783" s="77" t="n"/>
      <c r="L1783" s="74" t="n"/>
      <c r="M1783" s="74" t="n"/>
      <c r="O1783" s="78">
        <f>IF($A1783="","",YEAR($A1783)*100+MONTH($A1783))</f>
        <v/>
      </c>
      <c r="P1783" s="79">
        <f>IF(OR($F1783="",$D1783=""),"",IF($D1783="Receita",$F1783,IF($D1783="Transferência",0,-$F1783)))</f>
        <v/>
      </c>
    </row>
    <row r="1784">
      <c r="A1784" s="73" t="n"/>
      <c r="B1784" s="74" t="n"/>
      <c r="C1784" s="74" t="n"/>
      <c r="D1784" s="75">
        <f>IF($C1784="","",IFERROR(INDEX(CAT_TIPO,MATCH($C1784,CAT_NOME,0)),"Sem categoria"))</f>
        <v/>
      </c>
      <c r="E1784" s="75">
        <f>IF($C1784="","",IFERROR(INDEX(CAT_GRUPO,MATCH($C1784,CAT_NOME,0)),"Sem categoria"))</f>
        <v/>
      </c>
      <c r="F1784" s="76" t="n"/>
      <c r="G1784" s="74" t="n"/>
      <c r="H1784" s="74" t="n"/>
      <c r="I1784" s="74" t="n"/>
      <c r="J1784" s="77" t="n"/>
      <c r="K1784" s="77" t="n"/>
      <c r="L1784" s="74" t="n"/>
      <c r="M1784" s="74" t="n"/>
      <c r="O1784" s="78">
        <f>IF($A1784="","",YEAR($A1784)*100+MONTH($A1784))</f>
        <v/>
      </c>
      <c r="P1784" s="79">
        <f>IF(OR($F1784="",$D1784=""),"",IF($D1784="Receita",$F1784,IF($D1784="Transferência",0,-$F1784)))</f>
        <v/>
      </c>
    </row>
    <row r="1785">
      <c r="A1785" s="73" t="n"/>
      <c r="B1785" s="74" t="n"/>
      <c r="C1785" s="74" t="n"/>
      <c r="D1785" s="75">
        <f>IF($C1785="","",IFERROR(INDEX(CAT_TIPO,MATCH($C1785,CAT_NOME,0)),"Sem categoria"))</f>
        <v/>
      </c>
      <c r="E1785" s="75">
        <f>IF($C1785="","",IFERROR(INDEX(CAT_GRUPO,MATCH($C1785,CAT_NOME,0)),"Sem categoria"))</f>
        <v/>
      </c>
      <c r="F1785" s="76" t="n"/>
      <c r="G1785" s="74" t="n"/>
      <c r="H1785" s="74" t="n"/>
      <c r="I1785" s="74" t="n"/>
      <c r="J1785" s="77" t="n"/>
      <c r="K1785" s="77" t="n"/>
      <c r="L1785" s="74" t="n"/>
      <c r="M1785" s="74" t="n"/>
      <c r="O1785" s="78">
        <f>IF($A1785="","",YEAR($A1785)*100+MONTH($A1785))</f>
        <v/>
      </c>
      <c r="P1785" s="79">
        <f>IF(OR($F1785="",$D1785=""),"",IF($D1785="Receita",$F1785,IF($D1785="Transferência",0,-$F1785)))</f>
        <v/>
      </c>
    </row>
    <row r="1786">
      <c r="A1786" s="73" t="n"/>
      <c r="B1786" s="74" t="n"/>
      <c r="C1786" s="74" t="n"/>
      <c r="D1786" s="75">
        <f>IF($C1786="","",IFERROR(INDEX(CAT_TIPO,MATCH($C1786,CAT_NOME,0)),"Sem categoria"))</f>
        <v/>
      </c>
      <c r="E1786" s="75">
        <f>IF($C1786="","",IFERROR(INDEX(CAT_GRUPO,MATCH($C1786,CAT_NOME,0)),"Sem categoria"))</f>
        <v/>
      </c>
      <c r="F1786" s="76" t="n"/>
      <c r="G1786" s="74" t="n"/>
      <c r="H1786" s="74" t="n"/>
      <c r="I1786" s="74" t="n"/>
      <c r="J1786" s="77" t="n"/>
      <c r="K1786" s="77" t="n"/>
      <c r="L1786" s="74" t="n"/>
      <c r="M1786" s="74" t="n"/>
      <c r="O1786" s="78">
        <f>IF($A1786="","",YEAR($A1786)*100+MONTH($A1786))</f>
        <v/>
      </c>
      <c r="P1786" s="79">
        <f>IF(OR($F1786="",$D1786=""),"",IF($D1786="Receita",$F1786,IF($D1786="Transferência",0,-$F1786)))</f>
        <v/>
      </c>
    </row>
    <row r="1787">
      <c r="A1787" s="73" t="n"/>
      <c r="B1787" s="74" t="n"/>
      <c r="C1787" s="74" t="n"/>
      <c r="D1787" s="75">
        <f>IF($C1787="","",IFERROR(INDEX(CAT_TIPO,MATCH($C1787,CAT_NOME,0)),"Sem categoria"))</f>
        <v/>
      </c>
      <c r="E1787" s="75">
        <f>IF($C1787="","",IFERROR(INDEX(CAT_GRUPO,MATCH($C1787,CAT_NOME,0)),"Sem categoria"))</f>
        <v/>
      </c>
      <c r="F1787" s="76" t="n"/>
      <c r="G1787" s="74" t="n"/>
      <c r="H1787" s="74" t="n"/>
      <c r="I1787" s="74" t="n"/>
      <c r="J1787" s="77" t="n"/>
      <c r="K1787" s="77" t="n"/>
      <c r="L1787" s="74" t="n"/>
      <c r="M1787" s="74" t="n"/>
      <c r="O1787" s="78">
        <f>IF($A1787="","",YEAR($A1787)*100+MONTH($A1787))</f>
        <v/>
      </c>
      <c r="P1787" s="79">
        <f>IF(OR($F1787="",$D1787=""),"",IF($D1787="Receita",$F1787,IF($D1787="Transferência",0,-$F1787)))</f>
        <v/>
      </c>
    </row>
    <row r="1788">
      <c r="A1788" s="73" t="n"/>
      <c r="B1788" s="74" t="n"/>
      <c r="C1788" s="74" t="n"/>
      <c r="D1788" s="75">
        <f>IF($C1788="","",IFERROR(INDEX(CAT_TIPO,MATCH($C1788,CAT_NOME,0)),"Sem categoria"))</f>
        <v/>
      </c>
      <c r="E1788" s="75">
        <f>IF($C1788="","",IFERROR(INDEX(CAT_GRUPO,MATCH($C1788,CAT_NOME,0)),"Sem categoria"))</f>
        <v/>
      </c>
      <c r="F1788" s="76" t="n"/>
      <c r="G1788" s="74" t="n"/>
      <c r="H1788" s="74" t="n"/>
      <c r="I1788" s="74" t="n"/>
      <c r="J1788" s="77" t="n"/>
      <c r="K1788" s="77" t="n"/>
      <c r="L1788" s="74" t="n"/>
      <c r="M1788" s="74" t="n"/>
      <c r="O1788" s="78">
        <f>IF($A1788="","",YEAR($A1788)*100+MONTH($A1788))</f>
        <v/>
      </c>
      <c r="P1788" s="79">
        <f>IF(OR($F1788="",$D1788=""),"",IF($D1788="Receita",$F1788,IF($D1788="Transferência",0,-$F1788)))</f>
        <v/>
      </c>
    </row>
    <row r="1789">
      <c r="A1789" s="73" t="n"/>
      <c r="B1789" s="74" t="n"/>
      <c r="C1789" s="74" t="n"/>
      <c r="D1789" s="75">
        <f>IF($C1789="","",IFERROR(INDEX(CAT_TIPO,MATCH($C1789,CAT_NOME,0)),"Sem categoria"))</f>
        <v/>
      </c>
      <c r="E1789" s="75">
        <f>IF($C1789="","",IFERROR(INDEX(CAT_GRUPO,MATCH($C1789,CAT_NOME,0)),"Sem categoria"))</f>
        <v/>
      </c>
      <c r="F1789" s="76" t="n"/>
      <c r="G1789" s="74" t="n"/>
      <c r="H1789" s="74" t="n"/>
      <c r="I1789" s="74" t="n"/>
      <c r="J1789" s="77" t="n"/>
      <c r="K1789" s="77" t="n"/>
      <c r="L1789" s="74" t="n"/>
      <c r="M1789" s="74" t="n"/>
      <c r="O1789" s="78">
        <f>IF($A1789="","",YEAR($A1789)*100+MONTH($A1789))</f>
        <v/>
      </c>
      <c r="P1789" s="79">
        <f>IF(OR($F1789="",$D1789=""),"",IF($D1789="Receita",$F1789,IF($D1789="Transferência",0,-$F1789)))</f>
        <v/>
      </c>
    </row>
    <row r="1790">
      <c r="A1790" s="73" t="n"/>
      <c r="B1790" s="74" t="n"/>
      <c r="C1790" s="74" t="n"/>
      <c r="D1790" s="75">
        <f>IF($C1790="","",IFERROR(INDEX(CAT_TIPO,MATCH($C1790,CAT_NOME,0)),"Sem categoria"))</f>
        <v/>
      </c>
      <c r="E1790" s="75">
        <f>IF($C1790="","",IFERROR(INDEX(CAT_GRUPO,MATCH($C1790,CAT_NOME,0)),"Sem categoria"))</f>
        <v/>
      </c>
      <c r="F1790" s="76" t="n"/>
      <c r="G1790" s="74" t="n"/>
      <c r="H1790" s="74" t="n"/>
      <c r="I1790" s="74" t="n"/>
      <c r="J1790" s="77" t="n"/>
      <c r="K1790" s="77" t="n"/>
      <c r="L1790" s="74" t="n"/>
      <c r="M1790" s="74" t="n"/>
      <c r="O1790" s="78">
        <f>IF($A1790="","",YEAR($A1790)*100+MONTH($A1790))</f>
        <v/>
      </c>
      <c r="P1790" s="79">
        <f>IF(OR($F1790="",$D1790=""),"",IF($D1790="Receita",$F1790,IF($D1790="Transferência",0,-$F1790)))</f>
        <v/>
      </c>
    </row>
    <row r="1791">
      <c r="A1791" s="73" t="n"/>
      <c r="B1791" s="74" t="n"/>
      <c r="C1791" s="74" t="n"/>
      <c r="D1791" s="75">
        <f>IF($C1791="","",IFERROR(INDEX(CAT_TIPO,MATCH($C1791,CAT_NOME,0)),"Sem categoria"))</f>
        <v/>
      </c>
      <c r="E1791" s="75">
        <f>IF($C1791="","",IFERROR(INDEX(CAT_GRUPO,MATCH($C1791,CAT_NOME,0)),"Sem categoria"))</f>
        <v/>
      </c>
      <c r="F1791" s="76" t="n"/>
      <c r="G1791" s="74" t="n"/>
      <c r="H1791" s="74" t="n"/>
      <c r="I1791" s="74" t="n"/>
      <c r="J1791" s="77" t="n"/>
      <c r="K1791" s="77" t="n"/>
      <c r="L1791" s="74" t="n"/>
      <c r="M1791" s="74" t="n"/>
      <c r="O1791" s="78">
        <f>IF($A1791="","",YEAR($A1791)*100+MONTH($A1791))</f>
        <v/>
      </c>
      <c r="P1791" s="79">
        <f>IF(OR($F1791="",$D1791=""),"",IF($D1791="Receita",$F1791,IF($D1791="Transferência",0,-$F1791)))</f>
        <v/>
      </c>
    </row>
    <row r="1792">
      <c r="A1792" s="73" t="n"/>
      <c r="B1792" s="74" t="n"/>
      <c r="C1792" s="74" t="n"/>
      <c r="D1792" s="75">
        <f>IF($C1792="","",IFERROR(INDEX(CAT_TIPO,MATCH($C1792,CAT_NOME,0)),"Sem categoria"))</f>
        <v/>
      </c>
      <c r="E1792" s="75">
        <f>IF($C1792="","",IFERROR(INDEX(CAT_GRUPO,MATCH($C1792,CAT_NOME,0)),"Sem categoria"))</f>
        <v/>
      </c>
      <c r="F1792" s="76" t="n"/>
      <c r="G1792" s="74" t="n"/>
      <c r="H1792" s="74" t="n"/>
      <c r="I1792" s="74" t="n"/>
      <c r="J1792" s="77" t="n"/>
      <c r="K1792" s="77" t="n"/>
      <c r="L1792" s="74" t="n"/>
      <c r="M1792" s="74" t="n"/>
      <c r="O1792" s="78">
        <f>IF($A1792="","",YEAR($A1792)*100+MONTH($A1792))</f>
        <v/>
      </c>
      <c r="P1792" s="79">
        <f>IF(OR($F1792="",$D1792=""),"",IF($D1792="Receita",$F1792,IF($D1792="Transferência",0,-$F1792)))</f>
        <v/>
      </c>
    </row>
    <row r="1793">
      <c r="A1793" s="73" t="n"/>
      <c r="B1793" s="74" t="n"/>
      <c r="C1793" s="74" t="n"/>
      <c r="D1793" s="75">
        <f>IF($C1793="","",IFERROR(INDEX(CAT_TIPO,MATCH($C1793,CAT_NOME,0)),"Sem categoria"))</f>
        <v/>
      </c>
      <c r="E1793" s="75">
        <f>IF($C1793="","",IFERROR(INDEX(CAT_GRUPO,MATCH($C1793,CAT_NOME,0)),"Sem categoria"))</f>
        <v/>
      </c>
      <c r="F1793" s="76" t="n"/>
      <c r="G1793" s="74" t="n"/>
      <c r="H1793" s="74" t="n"/>
      <c r="I1793" s="74" t="n"/>
      <c r="J1793" s="77" t="n"/>
      <c r="K1793" s="77" t="n"/>
      <c r="L1793" s="74" t="n"/>
      <c r="M1793" s="74" t="n"/>
      <c r="O1793" s="78">
        <f>IF($A1793="","",YEAR($A1793)*100+MONTH($A1793))</f>
        <v/>
      </c>
      <c r="P1793" s="79">
        <f>IF(OR($F1793="",$D1793=""),"",IF($D1793="Receita",$F1793,IF($D1793="Transferência",0,-$F1793)))</f>
        <v/>
      </c>
    </row>
    <row r="1794">
      <c r="A1794" s="73" t="n"/>
      <c r="B1794" s="74" t="n"/>
      <c r="C1794" s="74" t="n"/>
      <c r="D1794" s="75">
        <f>IF($C1794="","",IFERROR(INDEX(CAT_TIPO,MATCH($C1794,CAT_NOME,0)),"Sem categoria"))</f>
        <v/>
      </c>
      <c r="E1794" s="75">
        <f>IF($C1794="","",IFERROR(INDEX(CAT_GRUPO,MATCH($C1794,CAT_NOME,0)),"Sem categoria"))</f>
        <v/>
      </c>
      <c r="F1794" s="76" t="n"/>
      <c r="G1794" s="74" t="n"/>
      <c r="H1794" s="74" t="n"/>
      <c r="I1794" s="74" t="n"/>
      <c r="J1794" s="77" t="n"/>
      <c r="K1794" s="77" t="n"/>
      <c r="L1794" s="74" t="n"/>
      <c r="M1794" s="74" t="n"/>
      <c r="O1794" s="78">
        <f>IF($A1794="","",YEAR($A1794)*100+MONTH($A1794))</f>
        <v/>
      </c>
      <c r="P1794" s="79">
        <f>IF(OR($F1794="",$D1794=""),"",IF($D1794="Receita",$F1794,IF($D1794="Transferência",0,-$F1794)))</f>
        <v/>
      </c>
    </row>
    <row r="1795">
      <c r="A1795" s="73" t="n"/>
      <c r="B1795" s="74" t="n"/>
      <c r="C1795" s="74" t="n"/>
      <c r="D1795" s="75">
        <f>IF($C1795="","",IFERROR(INDEX(CAT_TIPO,MATCH($C1795,CAT_NOME,0)),"Sem categoria"))</f>
        <v/>
      </c>
      <c r="E1795" s="75">
        <f>IF($C1795="","",IFERROR(INDEX(CAT_GRUPO,MATCH($C1795,CAT_NOME,0)),"Sem categoria"))</f>
        <v/>
      </c>
      <c r="F1795" s="76" t="n"/>
      <c r="G1795" s="74" t="n"/>
      <c r="H1795" s="74" t="n"/>
      <c r="I1795" s="74" t="n"/>
      <c r="J1795" s="77" t="n"/>
      <c r="K1795" s="77" t="n"/>
      <c r="L1795" s="74" t="n"/>
      <c r="M1795" s="74" t="n"/>
      <c r="O1795" s="78">
        <f>IF($A1795="","",YEAR($A1795)*100+MONTH($A1795))</f>
        <v/>
      </c>
      <c r="P1795" s="79">
        <f>IF(OR($F1795="",$D1795=""),"",IF($D1795="Receita",$F1795,IF($D1795="Transferência",0,-$F1795)))</f>
        <v/>
      </c>
    </row>
    <row r="1796">
      <c r="A1796" s="73" t="n"/>
      <c r="B1796" s="74" t="n"/>
      <c r="C1796" s="74" t="n"/>
      <c r="D1796" s="75">
        <f>IF($C1796="","",IFERROR(INDEX(CAT_TIPO,MATCH($C1796,CAT_NOME,0)),"Sem categoria"))</f>
        <v/>
      </c>
      <c r="E1796" s="75">
        <f>IF($C1796="","",IFERROR(INDEX(CAT_GRUPO,MATCH($C1796,CAT_NOME,0)),"Sem categoria"))</f>
        <v/>
      </c>
      <c r="F1796" s="76" t="n"/>
      <c r="G1796" s="74" t="n"/>
      <c r="H1796" s="74" t="n"/>
      <c r="I1796" s="74" t="n"/>
      <c r="J1796" s="77" t="n"/>
      <c r="K1796" s="77" t="n"/>
      <c r="L1796" s="74" t="n"/>
      <c r="M1796" s="74" t="n"/>
      <c r="O1796" s="78">
        <f>IF($A1796="","",YEAR($A1796)*100+MONTH($A1796))</f>
        <v/>
      </c>
      <c r="P1796" s="79">
        <f>IF(OR($F1796="",$D1796=""),"",IF($D1796="Receita",$F1796,IF($D1796="Transferência",0,-$F1796)))</f>
        <v/>
      </c>
    </row>
    <row r="1797">
      <c r="A1797" s="73" t="n"/>
      <c r="B1797" s="74" t="n"/>
      <c r="C1797" s="74" t="n"/>
      <c r="D1797" s="75">
        <f>IF($C1797="","",IFERROR(INDEX(CAT_TIPO,MATCH($C1797,CAT_NOME,0)),"Sem categoria"))</f>
        <v/>
      </c>
      <c r="E1797" s="75">
        <f>IF($C1797="","",IFERROR(INDEX(CAT_GRUPO,MATCH($C1797,CAT_NOME,0)),"Sem categoria"))</f>
        <v/>
      </c>
      <c r="F1797" s="76" t="n"/>
      <c r="G1797" s="74" t="n"/>
      <c r="H1797" s="74" t="n"/>
      <c r="I1797" s="74" t="n"/>
      <c r="J1797" s="77" t="n"/>
      <c r="K1797" s="77" t="n"/>
      <c r="L1797" s="74" t="n"/>
      <c r="M1797" s="74" t="n"/>
      <c r="O1797" s="78">
        <f>IF($A1797="","",YEAR($A1797)*100+MONTH($A1797))</f>
        <v/>
      </c>
      <c r="P1797" s="79">
        <f>IF(OR($F1797="",$D1797=""),"",IF($D1797="Receita",$F1797,IF($D1797="Transferência",0,-$F1797)))</f>
        <v/>
      </c>
    </row>
    <row r="1798">
      <c r="A1798" s="73" t="n"/>
      <c r="B1798" s="74" t="n"/>
      <c r="C1798" s="74" t="n"/>
      <c r="D1798" s="75">
        <f>IF($C1798="","",IFERROR(INDEX(CAT_TIPO,MATCH($C1798,CAT_NOME,0)),"Sem categoria"))</f>
        <v/>
      </c>
      <c r="E1798" s="75">
        <f>IF($C1798="","",IFERROR(INDEX(CAT_GRUPO,MATCH($C1798,CAT_NOME,0)),"Sem categoria"))</f>
        <v/>
      </c>
      <c r="F1798" s="76" t="n"/>
      <c r="G1798" s="74" t="n"/>
      <c r="H1798" s="74" t="n"/>
      <c r="I1798" s="74" t="n"/>
      <c r="J1798" s="77" t="n"/>
      <c r="K1798" s="77" t="n"/>
      <c r="L1798" s="74" t="n"/>
      <c r="M1798" s="74" t="n"/>
      <c r="O1798" s="78">
        <f>IF($A1798="","",YEAR($A1798)*100+MONTH($A1798))</f>
        <v/>
      </c>
      <c r="P1798" s="79">
        <f>IF(OR($F1798="",$D1798=""),"",IF($D1798="Receita",$F1798,IF($D1798="Transferência",0,-$F1798)))</f>
        <v/>
      </c>
    </row>
    <row r="1799">
      <c r="A1799" s="73" t="n"/>
      <c r="B1799" s="74" t="n"/>
      <c r="C1799" s="74" t="n"/>
      <c r="D1799" s="75">
        <f>IF($C1799="","",IFERROR(INDEX(CAT_TIPO,MATCH($C1799,CAT_NOME,0)),"Sem categoria"))</f>
        <v/>
      </c>
      <c r="E1799" s="75">
        <f>IF($C1799="","",IFERROR(INDEX(CAT_GRUPO,MATCH($C1799,CAT_NOME,0)),"Sem categoria"))</f>
        <v/>
      </c>
      <c r="F1799" s="76" t="n"/>
      <c r="G1799" s="74" t="n"/>
      <c r="H1799" s="74" t="n"/>
      <c r="I1799" s="74" t="n"/>
      <c r="J1799" s="77" t="n"/>
      <c r="K1799" s="77" t="n"/>
      <c r="L1799" s="74" t="n"/>
      <c r="M1799" s="74" t="n"/>
      <c r="O1799" s="78">
        <f>IF($A1799="","",YEAR($A1799)*100+MONTH($A1799))</f>
        <v/>
      </c>
      <c r="P1799" s="79">
        <f>IF(OR($F1799="",$D1799=""),"",IF($D1799="Receita",$F1799,IF($D1799="Transferência",0,-$F1799)))</f>
        <v/>
      </c>
    </row>
    <row r="1800">
      <c r="A1800" s="73" t="n"/>
      <c r="B1800" s="74" t="n"/>
      <c r="C1800" s="74" t="n"/>
      <c r="D1800" s="75">
        <f>IF($C1800="","",IFERROR(INDEX(CAT_TIPO,MATCH($C1800,CAT_NOME,0)),"Sem categoria"))</f>
        <v/>
      </c>
      <c r="E1800" s="75">
        <f>IF($C1800="","",IFERROR(INDEX(CAT_GRUPO,MATCH($C1800,CAT_NOME,0)),"Sem categoria"))</f>
        <v/>
      </c>
      <c r="F1800" s="76" t="n"/>
      <c r="G1800" s="74" t="n"/>
      <c r="H1800" s="74" t="n"/>
      <c r="I1800" s="74" t="n"/>
      <c r="J1800" s="77" t="n"/>
      <c r="K1800" s="77" t="n"/>
      <c r="L1800" s="74" t="n"/>
      <c r="M1800" s="74" t="n"/>
      <c r="O1800" s="78">
        <f>IF($A1800="","",YEAR($A1800)*100+MONTH($A1800))</f>
        <v/>
      </c>
      <c r="P1800" s="79">
        <f>IF(OR($F1800="",$D1800=""),"",IF($D1800="Receita",$F1800,IF($D1800="Transferência",0,-$F1800)))</f>
        <v/>
      </c>
    </row>
    <row r="1801">
      <c r="A1801" s="73" t="n"/>
      <c r="B1801" s="74" t="n"/>
      <c r="C1801" s="74" t="n"/>
      <c r="D1801" s="75">
        <f>IF($C1801="","",IFERROR(INDEX(CAT_TIPO,MATCH($C1801,CAT_NOME,0)),"Sem categoria"))</f>
        <v/>
      </c>
      <c r="E1801" s="75">
        <f>IF($C1801="","",IFERROR(INDEX(CAT_GRUPO,MATCH($C1801,CAT_NOME,0)),"Sem categoria"))</f>
        <v/>
      </c>
      <c r="F1801" s="76" t="n"/>
      <c r="G1801" s="74" t="n"/>
      <c r="H1801" s="74" t="n"/>
      <c r="I1801" s="74" t="n"/>
      <c r="J1801" s="77" t="n"/>
      <c r="K1801" s="77" t="n"/>
      <c r="L1801" s="74" t="n"/>
      <c r="M1801" s="74" t="n"/>
      <c r="O1801" s="78">
        <f>IF($A1801="","",YEAR($A1801)*100+MONTH($A1801))</f>
        <v/>
      </c>
      <c r="P1801" s="79">
        <f>IF(OR($F1801="",$D1801=""),"",IF($D1801="Receita",$F1801,IF($D1801="Transferência",0,-$F1801)))</f>
        <v/>
      </c>
    </row>
    <row r="1802">
      <c r="A1802" s="73" t="n"/>
      <c r="B1802" s="74" t="n"/>
      <c r="C1802" s="74" t="n"/>
      <c r="D1802" s="75">
        <f>IF($C1802="","",IFERROR(INDEX(CAT_TIPO,MATCH($C1802,CAT_NOME,0)),"Sem categoria"))</f>
        <v/>
      </c>
      <c r="E1802" s="75">
        <f>IF($C1802="","",IFERROR(INDEX(CAT_GRUPO,MATCH($C1802,CAT_NOME,0)),"Sem categoria"))</f>
        <v/>
      </c>
      <c r="F1802" s="76" t="n"/>
      <c r="G1802" s="74" t="n"/>
      <c r="H1802" s="74" t="n"/>
      <c r="I1802" s="74" t="n"/>
      <c r="J1802" s="77" t="n"/>
      <c r="K1802" s="77" t="n"/>
      <c r="L1802" s="74" t="n"/>
      <c r="M1802" s="74" t="n"/>
      <c r="O1802" s="78">
        <f>IF($A1802="","",YEAR($A1802)*100+MONTH($A1802))</f>
        <v/>
      </c>
      <c r="P1802" s="79">
        <f>IF(OR($F1802="",$D1802=""),"",IF($D1802="Receita",$F1802,IF($D1802="Transferência",0,-$F1802)))</f>
        <v/>
      </c>
    </row>
    <row r="1803">
      <c r="A1803" s="73" t="n"/>
      <c r="B1803" s="74" t="n"/>
      <c r="C1803" s="74" t="n"/>
      <c r="D1803" s="75">
        <f>IF($C1803="","",IFERROR(INDEX(CAT_TIPO,MATCH($C1803,CAT_NOME,0)),"Sem categoria"))</f>
        <v/>
      </c>
      <c r="E1803" s="75">
        <f>IF($C1803="","",IFERROR(INDEX(CAT_GRUPO,MATCH($C1803,CAT_NOME,0)),"Sem categoria"))</f>
        <v/>
      </c>
      <c r="F1803" s="76" t="n"/>
      <c r="G1803" s="74" t="n"/>
      <c r="H1803" s="74" t="n"/>
      <c r="I1803" s="74" t="n"/>
      <c r="J1803" s="77" t="n"/>
      <c r="K1803" s="77" t="n"/>
      <c r="L1803" s="74" t="n"/>
      <c r="M1803" s="74" t="n"/>
      <c r="O1803" s="78">
        <f>IF($A1803="","",YEAR($A1803)*100+MONTH($A1803))</f>
        <v/>
      </c>
      <c r="P1803" s="79">
        <f>IF(OR($F1803="",$D1803=""),"",IF($D1803="Receita",$F1803,IF($D1803="Transferência",0,-$F1803)))</f>
        <v/>
      </c>
    </row>
    <row r="1804">
      <c r="A1804" s="73" t="n"/>
      <c r="B1804" s="74" t="n"/>
      <c r="C1804" s="74" t="n"/>
      <c r="D1804" s="75">
        <f>IF($C1804="","",IFERROR(INDEX(CAT_TIPO,MATCH($C1804,CAT_NOME,0)),"Sem categoria"))</f>
        <v/>
      </c>
      <c r="E1804" s="75">
        <f>IF($C1804="","",IFERROR(INDEX(CAT_GRUPO,MATCH($C1804,CAT_NOME,0)),"Sem categoria"))</f>
        <v/>
      </c>
      <c r="F1804" s="76" t="n"/>
      <c r="G1804" s="74" t="n"/>
      <c r="H1804" s="74" t="n"/>
      <c r="I1804" s="74" t="n"/>
      <c r="J1804" s="77" t="n"/>
      <c r="K1804" s="77" t="n"/>
      <c r="L1804" s="74" t="n"/>
      <c r="M1804" s="74" t="n"/>
      <c r="O1804" s="78">
        <f>IF($A1804="","",YEAR($A1804)*100+MONTH($A1804))</f>
        <v/>
      </c>
      <c r="P1804" s="79">
        <f>IF(OR($F1804="",$D1804=""),"",IF($D1804="Receita",$F1804,IF($D1804="Transferência",0,-$F1804)))</f>
        <v/>
      </c>
    </row>
    <row r="1805">
      <c r="A1805" s="73" t="n"/>
      <c r="B1805" s="74" t="n"/>
      <c r="C1805" s="74" t="n"/>
      <c r="D1805" s="75">
        <f>IF($C1805="","",IFERROR(INDEX(CAT_TIPO,MATCH($C1805,CAT_NOME,0)),"Sem categoria"))</f>
        <v/>
      </c>
      <c r="E1805" s="75">
        <f>IF($C1805="","",IFERROR(INDEX(CAT_GRUPO,MATCH($C1805,CAT_NOME,0)),"Sem categoria"))</f>
        <v/>
      </c>
      <c r="F1805" s="76" t="n"/>
      <c r="G1805" s="74" t="n"/>
      <c r="H1805" s="74" t="n"/>
      <c r="I1805" s="74" t="n"/>
      <c r="J1805" s="77" t="n"/>
      <c r="K1805" s="77" t="n"/>
      <c r="L1805" s="74" t="n"/>
      <c r="M1805" s="74" t="n"/>
      <c r="O1805" s="78">
        <f>IF($A1805="","",YEAR($A1805)*100+MONTH($A1805))</f>
        <v/>
      </c>
      <c r="P1805" s="79">
        <f>IF(OR($F1805="",$D1805=""),"",IF($D1805="Receita",$F1805,IF($D1805="Transferência",0,-$F1805)))</f>
        <v/>
      </c>
    </row>
    <row r="1806">
      <c r="A1806" s="73" t="n"/>
      <c r="B1806" s="74" t="n"/>
      <c r="C1806" s="74" t="n"/>
      <c r="D1806" s="75">
        <f>IF($C1806="","",IFERROR(INDEX(CAT_TIPO,MATCH($C1806,CAT_NOME,0)),"Sem categoria"))</f>
        <v/>
      </c>
      <c r="E1806" s="75">
        <f>IF($C1806="","",IFERROR(INDEX(CAT_GRUPO,MATCH($C1806,CAT_NOME,0)),"Sem categoria"))</f>
        <v/>
      </c>
      <c r="F1806" s="76" t="n"/>
      <c r="G1806" s="74" t="n"/>
      <c r="H1806" s="74" t="n"/>
      <c r="I1806" s="74" t="n"/>
      <c r="J1806" s="77" t="n"/>
      <c r="K1806" s="77" t="n"/>
      <c r="L1806" s="74" t="n"/>
      <c r="M1806" s="74" t="n"/>
      <c r="O1806" s="78">
        <f>IF($A1806="","",YEAR($A1806)*100+MONTH($A1806))</f>
        <v/>
      </c>
      <c r="P1806" s="79">
        <f>IF(OR($F1806="",$D1806=""),"",IF($D1806="Receita",$F1806,IF($D1806="Transferência",0,-$F1806)))</f>
        <v/>
      </c>
    </row>
    <row r="1807">
      <c r="A1807" s="73" t="n"/>
      <c r="B1807" s="74" t="n"/>
      <c r="C1807" s="74" t="n"/>
      <c r="D1807" s="75">
        <f>IF($C1807="","",IFERROR(INDEX(CAT_TIPO,MATCH($C1807,CAT_NOME,0)),"Sem categoria"))</f>
        <v/>
      </c>
      <c r="E1807" s="75">
        <f>IF($C1807="","",IFERROR(INDEX(CAT_GRUPO,MATCH($C1807,CAT_NOME,0)),"Sem categoria"))</f>
        <v/>
      </c>
      <c r="F1807" s="76" t="n"/>
      <c r="G1807" s="74" t="n"/>
      <c r="H1807" s="74" t="n"/>
      <c r="I1807" s="74" t="n"/>
      <c r="J1807" s="77" t="n"/>
      <c r="K1807" s="77" t="n"/>
      <c r="L1807" s="74" t="n"/>
      <c r="M1807" s="74" t="n"/>
      <c r="O1807" s="78">
        <f>IF($A1807="","",YEAR($A1807)*100+MONTH($A1807))</f>
        <v/>
      </c>
      <c r="P1807" s="79">
        <f>IF(OR($F1807="",$D1807=""),"",IF($D1807="Receita",$F1807,IF($D1807="Transferência",0,-$F1807)))</f>
        <v/>
      </c>
    </row>
    <row r="1808">
      <c r="A1808" s="73" t="n"/>
      <c r="B1808" s="74" t="n"/>
      <c r="C1808" s="74" t="n"/>
      <c r="D1808" s="75">
        <f>IF($C1808="","",IFERROR(INDEX(CAT_TIPO,MATCH($C1808,CAT_NOME,0)),"Sem categoria"))</f>
        <v/>
      </c>
      <c r="E1808" s="75">
        <f>IF($C1808="","",IFERROR(INDEX(CAT_GRUPO,MATCH($C1808,CAT_NOME,0)),"Sem categoria"))</f>
        <v/>
      </c>
      <c r="F1808" s="76" t="n"/>
      <c r="G1808" s="74" t="n"/>
      <c r="H1808" s="74" t="n"/>
      <c r="I1808" s="74" t="n"/>
      <c r="J1808" s="77" t="n"/>
      <c r="K1808" s="77" t="n"/>
      <c r="L1808" s="74" t="n"/>
      <c r="M1808" s="74" t="n"/>
      <c r="O1808" s="78">
        <f>IF($A1808="","",YEAR($A1808)*100+MONTH($A1808))</f>
        <v/>
      </c>
      <c r="P1808" s="79">
        <f>IF(OR($F1808="",$D1808=""),"",IF($D1808="Receita",$F1808,IF($D1808="Transferência",0,-$F1808)))</f>
        <v/>
      </c>
    </row>
    <row r="1809">
      <c r="A1809" s="73" t="n"/>
      <c r="B1809" s="74" t="n"/>
      <c r="C1809" s="74" t="n"/>
      <c r="D1809" s="75">
        <f>IF($C1809="","",IFERROR(INDEX(CAT_TIPO,MATCH($C1809,CAT_NOME,0)),"Sem categoria"))</f>
        <v/>
      </c>
      <c r="E1809" s="75">
        <f>IF($C1809="","",IFERROR(INDEX(CAT_GRUPO,MATCH($C1809,CAT_NOME,0)),"Sem categoria"))</f>
        <v/>
      </c>
      <c r="F1809" s="76" t="n"/>
      <c r="G1809" s="74" t="n"/>
      <c r="H1809" s="74" t="n"/>
      <c r="I1809" s="74" t="n"/>
      <c r="J1809" s="77" t="n"/>
      <c r="K1809" s="77" t="n"/>
      <c r="L1809" s="74" t="n"/>
      <c r="M1809" s="74" t="n"/>
      <c r="O1809" s="78">
        <f>IF($A1809="","",YEAR($A1809)*100+MONTH($A1809))</f>
        <v/>
      </c>
      <c r="P1809" s="79">
        <f>IF(OR($F1809="",$D1809=""),"",IF($D1809="Receita",$F1809,IF($D1809="Transferência",0,-$F1809)))</f>
        <v/>
      </c>
    </row>
    <row r="1810">
      <c r="A1810" s="73" t="n"/>
      <c r="B1810" s="74" t="n"/>
      <c r="C1810" s="74" t="n"/>
      <c r="D1810" s="75">
        <f>IF($C1810="","",IFERROR(INDEX(CAT_TIPO,MATCH($C1810,CAT_NOME,0)),"Sem categoria"))</f>
        <v/>
      </c>
      <c r="E1810" s="75">
        <f>IF($C1810="","",IFERROR(INDEX(CAT_GRUPO,MATCH($C1810,CAT_NOME,0)),"Sem categoria"))</f>
        <v/>
      </c>
      <c r="F1810" s="76" t="n"/>
      <c r="G1810" s="74" t="n"/>
      <c r="H1810" s="74" t="n"/>
      <c r="I1810" s="74" t="n"/>
      <c r="J1810" s="77" t="n"/>
      <c r="K1810" s="77" t="n"/>
      <c r="L1810" s="74" t="n"/>
      <c r="M1810" s="74" t="n"/>
      <c r="O1810" s="78">
        <f>IF($A1810="","",YEAR($A1810)*100+MONTH($A1810))</f>
        <v/>
      </c>
      <c r="P1810" s="79">
        <f>IF(OR($F1810="",$D1810=""),"",IF($D1810="Receita",$F1810,IF($D1810="Transferência",0,-$F1810)))</f>
        <v/>
      </c>
    </row>
    <row r="1811">
      <c r="A1811" s="73" t="n"/>
      <c r="B1811" s="74" t="n"/>
      <c r="C1811" s="74" t="n"/>
      <c r="D1811" s="75">
        <f>IF($C1811="","",IFERROR(INDEX(CAT_TIPO,MATCH($C1811,CAT_NOME,0)),"Sem categoria"))</f>
        <v/>
      </c>
      <c r="E1811" s="75">
        <f>IF($C1811="","",IFERROR(INDEX(CAT_GRUPO,MATCH($C1811,CAT_NOME,0)),"Sem categoria"))</f>
        <v/>
      </c>
      <c r="F1811" s="76" t="n"/>
      <c r="G1811" s="74" t="n"/>
      <c r="H1811" s="74" t="n"/>
      <c r="I1811" s="74" t="n"/>
      <c r="J1811" s="77" t="n"/>
      <c r="K1811" s="77" t="n"/>
      <c r="L1811" s="74" t="n"/>
      <c r="M1811" s="74" t="n"/>
      <c r="O1811" s="78">
        <f>IF($A1811="","",YEAR($A1811)*100+MONTH($A1811))</f>
        <v/>
      </c>
      <c r="P1811" s="79">
        <f>IF(OR($F1811="",$D1811=""),"",IF($D1811="Receita",$F1811,IF($D1811="Transferência",0,-$F1811)))</f>
        <v/>
      </c>
    </row>
    <row r="1812">
      <c r="A1812" s="73" t="n"/>
      <c r="B1812" s="74" t="n"/>
      <c r="C1812" s="74" t="n"/>
      <c r="D1812" s="75">
        <f>IF($C1812="","",IFERROR(INDEX(CAT_TIPO,MATCH($C1812,CAT_NOME,0)),"Sem categoria"))</f>
        <v/>
      </c>
      <c r="E1812" s="75">
        <f>IF($C1812="","",IFERROR(INDEX(CAT_GRUPO,MATCH($C1812,CAT_NOME,0)),"Sem categoria"))</f>
        <v/>
      </c>
      <c r="F1812" s="76" t="n"/>
      <c r="G1812" s="74" t="n"/>
      <c r="H1812" s="74" t="n"/>
      <c r="I1812" s="74" t="n"/>
      <c r="J1812" s="77" t="n"/>
      <c r="K1812" s="77" t="n"/>
      <c r="L1812" s="74" t="n"/>
      <c r="M1812" s="74" t="n"/>
      <c r="O1812" s="78">
        <f>IF($A1812="","",YEAR($A1812)*100+MONTH($A1812))</f>
        <v/>
      </c>
      <c r="P1812" s="79">
        <f>IF(OR($F1812="",$D1812=""),"",IF($D1812="Receita",$F1812,IF($D1812="Transferência",0,-$F1812)))</f>
        <v/>
      </c>
    </row>
    <row r="1813">
      <c r="A1813" s="73" t="n"/>
      <c r="B1813" s="74" t="n"/>
      <c r="C1813" s="74" t="n"/>
      <c r="D1813" s="75">
        <f>IF($C1813="","",IFERROR(INDEX(CAT_TIPO,MATCH($C1813,CAT_NOME,0)),"Sem categoria"))</f>
        <v/>
      </c>
      <c r="E1813" s="75">
        <f>IF($C1813="","",IFERROR(INDEX(CAT_GRUPO,MATCH($C1813,CAT_NOME,0)),"Sem categoria"))</f>
        <v/>
      </c>
      <c r="F1813" s="76" t="n"/>
      <c r="G1813" s="74" t="n"/>
      <c r="H1813" s="74" t="n"/>
      <c r="I1813" s="74" t="n"/>
      <c r="J1813" s="77" t="n"/>
      <c r="K1813" s="77" t="n"/>
      <c r="L1813" s="74" t="n"/>
      <c r="M1813" s="74" t="n"/>
      <c r="O1813" s="78">
        <f>IF($A1813="","",YEAR($A1813)*100+MONTH($A1813))</f>
        <v/>
      </c>
      <c r="P1813" s="79">
        <f>IF(OR($F1813="",$D1813=""),"",IF($D1813="Receita",$F1813,IF($D1813="Transferência",0,-$F1813)))</f>
        <v/>
      </c>
    </row>
    <row r="1814">
      <c r="A1814" s="73" t="n"/>
      <c r="B1814" s="74" t="n"/>
      <c r="C1814" s="74" t="n"/>
      <c r="D1814" s="75">
        <f>IF($C1814="","",IFERROR(INDEX(CAT_TIPO,MATCH($C1814,CAT_NOME,0)),"Sem categoria"))</f>
        <v/>
      </c>
      <c r="E1814" s="75">
        <f>IF($C1814="","",IFERROR(INDEX(CAT_GRUPO,MATCH($C1814,CAT_NOME,0)),"Sem categoria"))</f>
        <v/>
      </c>
      <c r="F1814" s="76" t="n"/>
      <c r="G1814" s="74" t="n"/>
      <c r="H1814" s="74" t="n"/>
      <c r="I1814" s="74" t="n"/>
      <c r="J1814" s="77" t="n"/>
      <c r="K1814" s="77" t="n"/>
      <c r="L1814" s="74" t="n"/>
      <c r="M1814" s="74" t="n"/>
      <c r="O1814" s="78">
        <f>IF($A1814="","",YEAR($A1814)*100+MONTH($A1814))</f>
        <v/>
      </c>
      <c r="P1814" s="79">
        <f>IF(OR($F1814="",$D1814=""),"",IF($D1814="Receita",$F1814,IF($D1814="Transferência",0,-$F1814)))</f>
        <v/>
      </c>
    </row>
    <row r="1815">
      <c r="A1815" s="73" t="n"/>
      <c r="B1815" s="74" t="n"/>
      <c r="C1815" s="74" t="n"/>
      <c r="D1815" s="75">
        <f>IF($C1815="","",IFERROR(INDEX(CAT_TIPO,MATCH($C1815,CAT_NOME,0)),"Sem categoria"))</f>
        <v/>
      </c>
      <c r="E1815" s="75">
        <f>IF($C1815="","",IFERROR(INDEX(CAT_GRUPO,MATCH($C1815,CAT_NOME,0)),"Sem categoria"))</f>
        <v/>
      </c>
      <c r="F1815" s="76" t="n"/>
      <c r="G1815" s="74" t="n"/>
      <c r="H1815" s="74" t="n"/>
      <c r="I1815" s="74" t="n"/>
      <c r="J1815" s="77" t="n"/>
      <c r="K1815" s="77" t="n"/>
      <c r="L1815" s="74" t="n"/>
      <c r="M1815" s="74" t="n"/>
      <c r="O1815" s="78">
        <f>IF($A1815="","",YEAR($A1815)*100+MONTH($A1815))</f>
        <v/>
      </c>
      <c r="P1815" s="79">
        <f>IF(OR($F1815="",$D1815=""),"",IF($D1815="Receita",$F1815,IF($D1815="Transferência",0,-$F1815)))</f>
        <v/>
      </c>
    </row>
    <row r="1816">
      <c r="A1816" s="73" t="n"/>
      <c r="B1816" s="74" t="n"/>
      <c r="C1816" s="74" t="n"/>
      <c r="D1816" s="75">
        <f>IF($C1816="","",IFERROR(INDEX(CAT_TIPO,MATCH($C1816,CAT_NOME,0)),"Sem categoria"))</f>
        <v/>
      </c>
      <c r="E1816" s="75">
        <f>IF($C1816="","",IFERROR(INDEX(CAT_GRUPO,MATCH($C1816,CAT_NOME,0)),"Sem categoria"))</f>
        <v/>
      </c>
      <c r="F1816" s="76" t="n"/>
      <c r="G1816" s="74" t="n"/>
      <c r="H1816" s="74" t="n"/>
      <c r="I1816" s="74" t="n"/>
      <c r="J1816" s="77" t="n"/>
      <c r="K1816" s="77" t="n"/>
      <c r="L1816" s="74" t="n"/>
      <c r="M1816" s="74" t="n"/>
      <c r="O1816" s="78">
        <f>IF($A1816="","",YEAR($A1816)*100+MONTH($A1816))</f>
        <v/>
      </c>
      <c r="P1816" s="79">
        <f>IF(OR($F1816="",$D1816=""),"",IF($D1816="Receita",$F1816,IF($D1816="Transferência",0,-$F1816)))</f>
        <v/>
      </c>
    </row>
    <row r="1817">
      <c r="A1817" s="73" t="n"/>
      <c r="B1817" s="74" t="n"/>
      <c r="C1817" s="74" t="n"/>
      <c r="D1817" s="75">
        <f>IF($C1817="","",IFERROR(INDEX(CAT_TIPO,MATCH($C1817,CAT_NOME,0)),"Sem categoria"))</f>
        <v/>
      </c>
      <c r="E1817" s="75">
        <f>IF($C1817="","",IFERROR(INDEX(CAT_GRUPO,MATCH($C1817,CAT_NOME,0)),"Sem categoria"))</f>
        <v/>
      </c>
      <c r="F1817" s="76" t="n"/>
      <c r="G1817" s="74" t="n"/>
      <c r="H1817" s="74" t="n"/>
      <c r="I1817" s="74" t="n"/>
      <c r="J1817" s="77" t="n"/>
      <c r="K1817" s="77" t="n"/>
      <c r="L1817" s="74" t="n"/>
      <c r="M1817" s="74" t="n"/>
      <c r="O1817" s="78">
        <f>IF($A1817="","",YEAR($A1817)*100+MONTH($A1817))</f>
        <v/>
      </c>
      <c r="P1817" s="79">
        <f>IF(OR($F1817="",$D1817=""),"",IF($D1817="Receita",$F1817,IF($D1817="Transferência",0,-$F1817)))</f>
        <v/>
      </c>
    </row>
    <row r="1818">
      <c r="A1818" s="73" t="n"/>
      <c r="B1818" s="74" t="n"/>
      <c r="C1818" s="74" t="n"/>
      <c r="D1818" s="75">
        <f>IF($C1818="","",IFERROR(INDEX(CAT_TIPO,MATCH($C1818,CAT_NOME,0)),"Sem categoria"))</f>
        <v/>
      </c>
      <c r="E1818" s="75">
        <f>IF($C1818="","",IFERROR(INDEX(CAT_GRUPO,MATCH($C1818,CAT_NOME,0)),"Sem categoria"))</f>
        <v/>
      </c>
      <c r="F1818" s="76" t="n"/>
      <c r="G1818" s="74" t="n"/>
      <c r="H1818" s="74" t="n"/>
      <c r="I1818" s="74" t="n"/>
      <c r="J1818" s="77" t="n"/>
      <c r="K1818" s="77" t="n"/>
      <c r="L1818" s="74" t="n"/>
      <c r="M1818" s="74" t="n"/>
      <c r="O1818" s="78">
        <f>IF($A1818="","",YEAR($A1818)*100+MONTH($A1818))</f>
        <v/>
      </c>
      <c r="P1818" s="79">
        <f>IF(OR($F1818="",$D1818=""),"",IF($D1818="Receita",$F1818,IF($D1818="Transferência",0,-$F1818)))</f>
        <v/>
      </c>
    </row>
    <row r="1819">
      <c r="A1819" s="73" t="n"/>
      <c r="B1819" s="74" t="n"/>
      <c r="C1819" s="74" t="n"/>
      <c r="D1819" s="75">
        <f>IF($C1819="","",IFERROR(INDEX(CAT_TIPO,MATCH($C1819,CAT_NOME,0)),"Sem categoria"))</f>
        <v/>
      </c>
      <c r="E1819" s="75">
        <f>IF($C1819="","",IFERROR(INDEX(CAT_GRUPO,MATCH($C1819,CAT_NOME,0)),"Sem categoria"))</f>
        <v/>
      </c>
      <c r="F1819" s="76" t="n"/>
      <c r="G1819" s="74" t="n"/>
      <c r="H1819" s="74" t="n"/>
      <c r="I1819" s="74" t="n"/>
      <c r="J1819" s="77" t="n"/>
      <c r="K1819" s="77" t="n"/>
      <c r="L1819" s="74" t="n"/>
      <c r="M1819" s="74" t="n"/>
      <c r="O1819" s="78">
        <f>IF($A1819="","",YEAR($A1819)*100+MONTH($A1819))</f>
        <v/>
      </c>
      <c r="P1819" s="79">
        <f>IF(OR($F1819="",$D1819=""),"",IF($D1819="Receita",$F1819,IF($D1819="Transferência",0,-$F1819)))</f>
        <v/>
      </c>
    </row>
    <row r="1820">
      <c r="A1820" s="73" t="n"/>
      <c r="B1820" s="74" t="n"/>
      <c r="C1820" s="74" t="n"/>
      <c r="D1820" s="75">
        <f>IF($C1820="","",IFERROR(INDEX(CAT_TIPO,MATCH($C1820,CAT_NOME,0)),"Sem categoria"))</f>
        <v/>
      </c>
      <c r="E1820" s="75">
        <f>IF($C1820="","",IFERROR(INDEX(CAT_GRUPO,MATCH($C1820,CAT_NOME,0)),"Sem categoria"))</f>
        <v/>
      </c>
      <c r="F1820" s="76" t="n"/>
      <c r="G1820" s="74" t="n"/>
      <c r="H1820" s="74" t="n"/>
      <c r="I1820" s="74" t="n"/>
      <c r="J1820" s="77" t="n"/>
      <c r="K1820" s="77" t="n"/>
      <c r="L1820" s="74" t="n"/>
      <c r="M1820" s="74" t="n"/>
      <c r="O1820" s="78">
        <f>IF($A1820="","",YEAR($A1820)*100+MONTH($A1820))</f>
        <v/>
      </c>
      <c r="P1820" s="79">
        <f>IF(OR($F1820="",$D1820=""),"",IF($D1820="Receita",$F1820,IF($D1820="Transferência",0,-$F1820)))</f>
        <v/>
      </c>
    </row>
    <row r="1821">
      <c r="A1821" s="73" t="n"/>
      <c r="B1821" s="74" t="n"/>
      <c r="C1821" s="74" t="n"/>
      <c r="D1821" s="75">
        <f>IF($C1821="","",IFERROR(INDEX(CAT_TIPO,MATCH($C1821,CAT_NOME,0)),"Sem categoria"))</f>
        <v/>
      </c>
      <c r="E1821" s="75">
        <f>IF($C1821="","",IFERROR(INDEX(CAT_GRUPO,MATCH($C1821,CAT_NOME,0)),"Sem categoria"))</f>
        <v/>
      </c>
      <c r="F1821" s="76" t="n"/>
      <c r="G1821" s="74" t="n"/>
      <c r="H1821" s="74" t="n"/>
      <c r="I1821" s="74" t="n"/>
      <c r="J1821" s="77" t="n"/>
      <c r="K1821" s="77" t="n"/>
      <c r="L1821" s="74" t="n"/>
      <c r="M1821" s="74" t="n"/>
      <c r="O1821" s="78">
        <f>IF($A1821="","",YEAR($A1821)*100+MONTH($A1821))</f>
        <v/>
      </c>
      <c r="P1821" s="79">
        <f>IF(OR($F1821="",$D1821=""),"",IF($D1821="Receita",$F1821,IF($D1821="Transferência",0,-$F1821)))</f>
        <v/>
      </c>
    </row>
    <row r="1822">
      <c r="A1822" s="73" t="n"/>
      <c r="B1822" s="74" t="n"/>
      <c r="C1822" s="74" t="n"/>
      <c r="D1822" s="75">
        <f>IF($C1822="","",IFERROR(INDEX(CAT_TIPO,MATCH($C1822,CAT_NOME,0)),"Sem categoria"))</f>
        <v/>
      </c>
      <c r="E1822" s="75">
        <f>IF($C1822="","",IFERROR(INDEX(CAT_GRUPO,MATCH($C1822,CAT_NOME,0)),"Sem categoria"))</f>
        <v/>
      </c>
      <c r="F1822" s="76" t="n"/>
      <c r="G1822" s="74" t="n"/>
      <c r="H1822" s="74" t="n"/>
      <c r="I1822" s="74" t="n"/>
      <c r="J1822" s="77" t="n"/>
      <c r="K1822" s="77" t="n"/>
      <c r="L1822" s="74" t="n"/>
      <c r="M1822" s="74" t="n"/>
      <c r="O1822" s="78">
        <f>IF($A1822="","",YEAR($A1822)*100+MONTH($A1822))</f>
        <v/>
      </c>
      <c r="P1822" s="79">
        <f>IF(OR($F1822="",$D1822=""),"",IF($D1822="Receita",$F1822,IF($D1822="Transferência",0,-$F1822)))</f>
        <v/>
      </c>
    </row>
    <row r="1823">
      <c r="A1823" s="73" t="n"/>
      <c r="B1823" s="74" t="n"/>
      <c r="C1823" s="74" t="n"/>
      <c r="D1823" s="75">
        <f>IF($C1823="","",IFERROR(INDEX(CAT_TIPO,MATCH($C1823,CAT_NOME,0)),"Sem categoria"))</f>
        <v/>
      </c>
      <c r="E1823" s="75">
        <f>IF($C1823="","",IFERROR(INDEX(CAT_GRUPO,MATCH($C1823,CAT_NOME,0)),"Sem categoria"))</f>
        <v/>
      </c>
      <c r="F1823" s="76" t="n"/>
      <c r="G1823" s="74" t="n"/>
      <c r="H1823" s="74" t="n"/>
      <c r="I1823" s="74" t="n"/>
      <c r="J1823" s="77" t="n"/>
      <c r="K1823" s="77" t="n"/>
      <c r="L1823" s="74" t="n"/>
      <c r="M1823" s="74" t="n"/>
      <c r="O1823" s="78">
        <f>IF($A1823="","",YEAR($A1823)*100+MONTH($A1823))</f>
        <v/>
      </c>
      <c r="P1823" s="79">
        <f>IF(OR($F1823="",$D1823=""),"",IF($D1823="Receita",$F1823,IF($D1823="Transferência",0,-$F1823)))</f>
        <v/>
      </c>
    </row>
    <row r="1824">
      <c r="A1824" s="73" t="n"/>
      <c r="B1824" s="74" t="n"/>
      <c r="C1824" s="74" t="n"/>
      <c r="D1824" s="75">
        <f>IF($C1824="","",IFERROR(INDEX(CAT_TIPO,MATCH($C1824,CAT_NOME,0)),"Sem categoria"))</f>
        <v/>
      </c>
      <c r="E1824" s="75">
        <f>IF($C1824="","",IFERROR(INDEX(CAT_GRUPO,MATCH($C1824,CAT_NOME,0)),"Sem categoria"))</f>
        <v/>
      </c>
      <c r="F1824" s="76" t="n"/>
      <c r="G1824" s="74" t="n"/>
      <c r="H1824" s="74" t="n"/>
      <c r="I1824" s="74" t="n"/>
      <c r="J1824" s="77" t="n"/>
      <c r="K1824" s="77" t="n"/>
      <c r="L1824" s="74" t="n"/>
      <c r="M1824" s="74" t="n"/>
      <c r="O1824" s="78">
        <f>IF($A1824="","",YEAR($A1824)*100+MONTH($A1824))</f>
        <v/>
      </c>
      <c r="P1824" s="79">
        <f>IF(OR($F1824="",$D1824=""),"",IF($D1824="Receita",$F1824,IF($D1824="Transferência",0,-$F1824)))</f>
        <v/>
      </c>
    </row>
    <row r="1825">
      <c r="A1825" s="73" t="n"/>
      <c r="B1825" s="74" t="n"/>
      <c r="C1825" s="74" t="n"/>
      <c r="D1825" s="75">
        <f>IF($C1825="","",IFERROR(INDEX(CAT_TIPO,MATCH($C1825,CAT_NOME,0)),"Sem categoria"))</f>
        <v/>
      </c>
      <c r="E1825" s="75">
        <f>IF($C1825="","",IFERROR(INDEX(CAT_GRUPO,MATCH($C1825,CAT_NOME,0)),"Sem categoria"))</f>
        <v/>
      </c>
      <c r="F1825" s="76" t="n"/>
      <c r="G1825" s="74" t="n"/>
      <c r="H1825" s="74" t="n"/>
      <c r="I1825" s="74" t="n"/>
      <c r="J1825" s="77" t="n"/>
      <c r="K1825" s="77" t="n"/>
      <c r="L1825" s="74" t="n"/>
      <c r="M1825" s="74" t="n"/>
      <c r="O1825" s="78">
        <f>IF($A1825="","",YEAR($A1825)*100+MONTH($A1825))</f>
        <v/>
      </c>
      <c r="P1825" s="79">
        <f>IF(OR($F1825="",$D1825=""),"",IF($D1825="Receita",$F1825,IF($D1825="Transferência",0,-$F1825)))</f>
        <v/>
      </c>
    </row>
    <row r="1826">
      <c r="A1826" s="73" t="n"/>
      <c r="B1826" s="74" t="n"/>
      <c r="C1826" s="74" t="n"/>
      <c r="D1826" s="75">
        <f>IF($C1826="","",IFERROR(INDEX(CAT_TIPO,MATCH($C1826,CAT_NOME,0)),"Sem categoria"))</f>
        <v/>
      </c>
      <c r="E1826" s="75">
        <f>IF($C1826="","",IFERROR(INDEX(CAT_GRUPO,MATCH($C1826,CAT_NOME,0)),"Sem categoria"))</f>
        <v/>
      </c>
      <c r="F1826" s="76" t="n"/>
      <c r="G1826" s="74" t="n"/>
      <c r="H1826" s="74" t="n"/>
      <c r="I1826" s="74" t="n"/>
      <c r="J1826" s="77" t="n"/>
      <c r="K1826" s="77" t="n"/>
      <c r="L1826" s="74" t="n"/>
      <c r="M1826" s="74" t="n"/>
      <c r="O1826" s="78">
        <f>IF($A1826="","",YEAR($A1826)*100+MONTH($A1826))</f>
        <v/>
      </c>
      <c r="P1826" s="79">
        <f>IF(OR($F1826="",$D1826=""),"",IF($D1826="Receita",$F1826,IF($D1826="Transferência",0,-$F1826)))</f>
        <v/>
      </c>
    </row>
    <row r="1827">
      <c r="A1827" s="73" t="n"/>
      <c r="B1827" s="74" t="n"/>
      <c r="C1827" s="74" t="n"/>
      <c r="D1827" s="75">
        <f>IF($C1827="","",IFERROR(INDEX(CAT_TIPO,MATCH($C1827,CAT_NOME,0)),"Sem categoria"))</f>
        <v/>
      </c>
      <c r="E1827" s="75">
        <f>IF($C1827="","",IFERROR(INDEX(CAT_GRUPO,MATCH($C1827,CAT_NOME,0)),"Sem categoria"))</f>
        <v/>
      </c>
      <c r="F1827" s="76" t="n"/>
      <c r="G1827" s="74" t="n"/>
      <c r="H1827" s="74" t="n"/>
      <c r="I1827" s="74" t="n"/>
      <c r="J1827" s="77" t="n"/>
      <c r="K1827" s="77" t="n"/>
      <c r="L1827" s="74" t="n"/>
      <c r="M1827" s="74" t="n"/>
      <c r="O1827" s="78">
        <f>IF($A1827="","",YEAR($A1827)*100+MONTH($A1827))</f>
        <v/>
      </c>
      <c r="P1827" s="79">
        <f>IF(OR($F1827="",$D1827=""),"",IF($D1827="Receita",$F1827,IF($D1827="Transferência",0,-$F1827)))</f>
        <v/>
      </c>
    </row>
    <row r="1828">
      <c r="A1828" s="73" t="n"/>
      <c r="B1828" s="74" t="n"/>
      <c r="C1828" s="74" t="n"/>
      <c r="D1828" s="75">
        <f>IF($C1828="","",IFERROR(INDEX(CAT_TIPO,MATCH($C1828,CAT_NOME,0)),"Sem categoria"))</f>
        <v/>
      </c>
      <c r="E1828" s="75">
        <f>IF($C1828="","",IFERROR(INDEX(CAT_GRUPO,MATCH($C1828,CAT_NOME,0)),"Sem categoria"))</f>
        <v/>
      </c>
      <c r="F1828" s="76" t="n"/>
      <c r="G1828" s="74" t="n"/>
      <c r="H1828" s="74" t="n"/>
      <c r="I1828" s="74" t="n"/>
      <c r="J1828" s="77" t="n"/>
      <c r="K1828" s="77" t="n"/>
      <c r="L1828" s="74" t="n"/>
      <c r="M1828" s="74" t="n"/>
      <c r="O1828" s="78">
        <f>IF($A1828="","",YEAR($A1828)*100+MONTH($A1828))</f>
        <v/>
      </c>
      <c r="P1828" s="79">
        <f>IF(OR($F1828="",$D1828=""),"",IF($D1828="Receita",$F1828,IF($D1828="Transferência",0,-$F1828)))</f>
        <v/>
      </c>
    </row>
    <row r="1829">
      <c r="A1829" s="73" t="n"/>
      <c r="B1829" s="74" t="n"/>
      <c r="C1829" s="74" t="n"/>
      <c r="D1829" s="75">
        <f>IF($C1829="","",IFERROR(INDEX(CAT_TIPO,MATCH($C1829,CAT_NOME,0)),"Sem categoria"))</f>
        <v/>
      </c>
      <c r="E1829" s="75">
        <f>IF($C1829="","",IFERROR(INDEX(CAT_GRUPO,MATCH($C1829,CAT_NOME,0)),"Sem categoria"))</f>
        <v/>
      </c>
      <c r="F1829" s="76" t="n"/>
      <c r="G1829" s="74" t="n"/>
      <c r="H1829" s="74" t="n"/>
      <c r="I1829" s="74" t="n"/>
      <c r="J1829" s="77" t="n"/>
      <c r="K1829" s="77" t="n"/>
      <c r="L1829" s="74" t="n"/>
      <c r="M1829" s="74" t="n"/>
      <c r="O1829" s="78">
        <f>IF($A1829="","",YEAR($A1829)*100+MONTH($A1829))</f>
        <v/>
      </c>
      <c r="P1829" s="79">
        <f>IF(OR($F1829="",$D1829=""),"",IF($D1829="Receita",$F1829,IF($D1829="Transferência",0,-$F1829)))</f>
        <v/>
      </c>
    </row>
    <row r="1830">
      <c r="A1830" s="73" t="n"/>
      <c r="B1830" s="74" t="n"/>
      <c r="C1830" s="74" t="n"/>
      <c r="D1830" s="75">
        <f>IF($C1830="","",IFERROR(INDEX(CAT_TIPO,MATCH($C1830,CAT_NOME,0)),"Sem categoria"))</f>
        <v/>
      </c>
      <c r="E1830" s="75">
        <f>IF($C1830="","",IFERROR(INDEX(CAT_GRUPO,MATCH($C1830,CAT_NOME,0)),"Sem categoria"))</f>
        <v/>
      </c>
      <c r="F1830" s="76" t="n"/>
      <c r="G1830" s="74" t="n"/>
      <c r="H1830" s="74" t="n"/>
      <c r="I1830" s="74" t="n"/>
      <c r="J1830" s="77" t="n"/>
      <c r="K1830" s="77" t="n"/>
      <c r="L1830" s="74" t="n"/>
      <c r="M1830" s="74" t="n"/>
      <c r="O1830" s="78">
        <f>IF($A1830="","",YEAR($A1830)*100+MONTH($A1830))</f>
        <v/>
      </c>
      <c r="P1830" s="79">
        <f>IF(OR($F1830="",$D1830=""),"",IF($D1830="Receita",$F1830,IF($D1830="Transferência",0,-$F1830)))</f>
        <v/>
      </c>
    </row>
    <row r="1831">
      <c r="A1831" s="73" t="n"/>
      <c r="B1831" s="74" t="n"/>
      <c r="C1831" s="74" t="n"/>
      <c r="D1831" s="75">
        <f>IF($C1831="","",IFERROR(INDEX(CAT_TIPO,MATCH($C1831,CAT_NOME,0)),"Sem categoria"))</f>
        <v/>
      </c>
      <c r="E1831" s="75">
        <f>IF($C1831="","",IFERROR(INDEX(CAT_GRUPO,MATCH($C1831,CAT_NOME,0)),"Sem categoria"))</f>
        <v/>
      </c>
      <c r="F1831" s="76" t="n"/>
      <c r="G1831" s="74" t="n"/>
      <c r="H1831" s="74" t="n"/>
      <c r="I1831" s="74" t="n"/>
      <c r="J1831" s="77" t="n"/>
      <c r="K1831" s="77" t="n"/>
      <c r="L1831" s="74" t="n"/>
      <c r="M1831" s="74" t="n"/>
      <c r="O1831" s="78">
        <f>IF($A1831="","",YEAR($A1831)*100+MONTH($A1831))</f>
        <v/>
      </c>
      <c r="P1831" s="79">
        <f>IF(OR($F1831="",$D1831=""),"",IF($D1831="Receita",$F1831,IF($D1831="Transferência",0,-$F1831)))</f>
        <v/>
      </c>
    </row>
    <row r="1832">
      <c r="A1832" s="73" t="n"/>
      <c r="B1832" s="74" t="n"/>
      <c r="C1832" s="74" t="n"/>
      <c r="D1832" s="75">
        <f>IF($C1832="","",IFERROR(INDEX(CAT_TIPO,MATCH($C1832,CAT_NOME,0)),"Sem categoria"))</f>
        <v/>
      </c>
      <c r="E1832" s="75">
        <f>IF($C1832="","",IFERROR(INDEX(CAT_GRUPO,MATCH($C1832,CAT_NOME,0)),"Sem categoria"))</f>
        <v/>
      </c>
      <c r="F1832" s="76" t="n"/>
      <c r="G1832" s="74" t="n"/>
      <c r="H1832" s="74" t="n"/>
      <c r="I1832" s="74" t="n"/>
      <c r="J1832" s="77" t="n"/>
      <c r="K1832" s="77" t="n"/>
      <c r="L1832" s="74" t="n"/>
      <c r="M1832" s="74" t="n"/>
      <c r="O1832" s="78">
        <f>IF($A1832="","",YEAR($A1832)*100+MONTH($A1832))</f>
        <v/>
      </c>
      <c r="P1832" s="79">
        <f>IF(OR($F1832="",$D1832=""),"",IF($D1832="Receita",$F1832,IF($D1832="Transferência",0,-$F1832)))</f>
        <v/>
      </c>
    </row>
    <row r="1833">
      <c r="A1833" s="73" t="n"/>
      <c r="B1833" s="74" t="n"/>
      <c r="C1833" s="74" t="n"/>
      <c r="D1833" s="75">
        <f>IF($C1833="","",IFERROR(INDEX(CAT_TIPO,MATCH($C1833,CAT_NOME,0)),"Sem categoria"))</f>
        <v/>
      </c>
      <c r="E1833" s="75">
        <f>IF($C1833="","",IFERROR(INDEX(CAT_GRUPO,MATCH($C1833,CAT_NOME,0)),"Sem categoria"))</f>
        <v/>
      </c>
      <c r="F1833" s="76" t="n"/>
      <c r="G1833" s="74" t="n"/>
      <c r="H1833" s="74" t="n"/>
      <c r="I1833" s="74" t="n"/>
      <c r="J1833" s="77" t="n"/>
      <c r="K1833" s="77" t="n"/>
      <c r="L1833" s="74" t="n"/>
      <c r="M1833" s="74" t="n"/>
      <c r="O1833" s="78">
        <f>IF($A1833="","",YEAR($A1833)*100+MONTH($A1833))</f>
        <v/>
      </c>
      <c r="P1833" s="79">
        <f>IF(OR($F1833="",$D1833=""),"",IF($D1833="Receita",$F1833,IF($D1833="Transferência",0,-$F1833)))</f>
        <v/>
      </c>
    </row>
    <row r="1834">
      <c r="A1834" s="73" t="n"/>
      <c r="B1834" s="74" t="n"/>
      <c r="C1834" s="74" t="n"/>
      <c r="D1834" s="75">
        <f>IF($C1834="","",IFERROR(INDEX(CAT_TIPO,MATCH($C1834,CAT_NOME,0)),"Sem categoria"))</f>
        <v/>
      </c>
      <c r="E1834" s="75">
        <f>IF($C1834="","",IFERROR(INDEX(CAT_GRUPO,MATCH($C1834,CAT_NOME,0)),"Sem categoria"))</f>
        <v/>
      </c>
      <c r="F1834" s="76" t="n"/>
      <c r="G1834" s="74" t="n"/>
      <c r="H1834" s="74" t="n"/>
      <c r="I1834" s="74" t="n"/>
      <c r="J1834" s="77" t="n"/>
      <c r="K1834" s="77" t="n"/>
      <c r="L1834" s="74" t="n"/>
      <c r="M1834" s="74" t="n"/>
      <c r="O1834" s="78">
        <f>IF($A1834="","",YEAR($A1834)*100+MONTH($A1834))</f>
        <v/>
      </c>
      <c r="P1834" s="79">
        <f>IF(OR($F1834="",$D1834=""),"",IF($D1834="Receita",$F1834,IF($D1834="Transferência",0,-$F1834)))</f>
        <v/>
      </c>
    </row>
    <row r="1835">
      <c r="A1835" s="73" t="n"/>
      <c r="B1835" s="74" t="n"/>
      <c r="C1835" s="74" t="n"/>
      <c r="D1835" s="75">
        <f>IF($C1835="","",IFERROR(INDEX(CAT_TIPO,MATCH($C1835,CAT_NOME,0)),"Sem categoria"))</f>
        <v/>
      </c>
      <c r="E1835" s="75">
        <f>IF($C1835="","",IFERROR(INDEX(CAT_GRUPO,MATCH($C1835,CAT_NOME,0)),"Sem categoria"))</f>
        <v/>
      </c>
      <c r="F1835" s="76" t="n"/>
      <c r="G1835" s="74" t="n"/>
      <c r="H1835" s="74" t="n"/>
      <c r="I1835" s="74" t="n"/>
      <c r="J1835" s="77" t="n"/>
      <c r="K1835" s="77" t="n"/>
      <c r="L1835" s="74" t="n"/>
      <c r="M1835" s="74" t="n"/>
      <c r="O1835" s="78">
        <f>IF($A1835="","",YEAR($A1835)*100+MONTH($A1835))</f>
        <v/>
      </c>
      <c r="P1835" s="79">
        <f>IF(OR($F1835="",$D1835=""),"",IF($D1835="Receita",$F1835,IF($D1835="Transferência",0,-$F1835)))</f>
        <v/>
      </c>
    </row>
    <row r="1836">
      <c r="A1836" s="73" t="n"/>
      <c r="B1836" s="74" t="n"/>
      <c r="C1836" s="74" t="n"/>
      <c r="D1836" s="75">
        <f>IF($C1836="","",IFERROR(INDEX(CAT_TIPO,MATCH($C1836,CAT_NOME,0)),"Sem categoria"))</f>
        <v/>
      </c>
      <c r="E1836" s="75">
        <f>IF($C1836="","",IFERROR(INDEX(CAT_GRUPO,MATCH($C1836,CAT_NOME,0)),"Sem categoria"))</f>
        <v/>
      </c>
      <c r="F1836" s="76" t="n"/>
      <c r="G1836" s="74" t="n"/>
      <c r="H1836" s="74" t="n"/>
      <c r="I1836" s="74" t="n"/>
      <c r="J1836" s="77" t="n"/>
      <c r="K1836" s="77" t="n"/>
      <c r="L1836" s="74" t="n"/>
      <c r="M1836" s="74" t="n"/>
      <c r="O1836" s="78">
        <f>IF($A1836="","",YEAR($A1836)*100+MONTH($A1836))</f>
        <v/>
      </c>
      <c r="P1836" s="79">
        <f>IF(OR($F1836="",$D1836=""),"",IF($D1836="Receita",$F1836,IF($D1836="Transferência",0,-$F1836)))</f>
        <v/>
      </c>
    </row>
    <row r="1837">
      <c r="A1837" s="73" t="n"/>
      <c r="B1837" s="74" t="n"/>
      <c r="C1837" s="74" t="n"/>
      <c r="D1837" s="75">
        <f>IF($C1837="","",IFERROR(INDEX(CAT_TIPO,MATCH($C1837,CAT_NOME,0)),"Sem categoria"))</f>
        <v/>
      </c>
      <c r="E1837" s="75">
        <f>IF($C1837="","",IFERROR(INDEX(CAT_GRUPO,MATCH($C1837,CAT_NOME,0)),"Sem categoria"))</f>
        <v/>
      </c>
      <c r="F1837" s="76" t="n"/>
      <c r="G1837" s="74" t="n"/>
      <c r="H1837" s="74" t="n"/>
      <c r="I1837" s="74" t="n"/>
      <c r="J1837" s="77" t="n"/>
      <c r="K1837" s="77" t="n"/>
      <c r="L1837" s="74" t="n"/>
      <c r="M1837" s="74" t="n"/>
      <c r="O1837" s="78">
        <f>IF($A1837="","",YEAR($A1837)*100+MONTH($A1837))</f>
        <v/>
      </c>
      <c r="P1837" s="79">
        <f>IF(OR($F1837="",$D1837=""),"",IF($D1837="Receita",$F1837,IF($D1837="Transferência",0,-$F1837)))</f>
        <v/>
      </c>
    </row>
    <row r="1838">
      <c r="A1838" s="73" t="n"/>
      <c r="B1838" s="74" t="n"/>
      <c r="C1838" s="74" t="n"/>
      <c r="D1838" s="75">
        <f>IF($C1838="","",IFERROR(INDEX(CAT_TIPO,MATCH($C1838,CAT_NOME,0)),"Sem categoria"))</f>
        <v/>
      </c>
      <c r="E1838" s="75">
        <f>IF($C1838="","",IFERROR(INDEX(CAT_GRUPO,MATCH($C1838,CAT_NOME,0)),"Sem categoria"))</f>
        <v/>
      </c>
      <c r="F1838" s="76" t="n"/>
      <c r="G1838" s="74" t="n"/>
      <c r="H1838" s="74" t="n"/>
      <c r="I1838" s="74" t="n"/>
      <c r="J1838" s="77" t="n"/>
      <c r="K1838" s="77" t="n"/>
      <c r="L1838" s="74" t="n"/>
      <c r="M1838" s="74" t="n"/>
      <c r="O1838" s="78">
        <f>IF($A1838="","",YEAR($A1838)*100+MONTH($A1838))</f>
        <v/>
      </c>
      <c r="P1838" s="79">
        <f>IF(OR($F1838="",$D1838=""),"",IF($D1838="Receita",$F1838,IF($D1838="Transferência",0,-$F1838)))</f>
        <v/>
      </c>
    </row>
    <row r="1839">
      <c r="A1839" s="73" t="n"/>
      <c r="B1839" s="74" t="n"/>
      <c r="C1839" s="74" t="n"/>
      <c r="D1839" s="75">
        <f>IF($C1839="","",IFERROR(INDEX(CAT_TIPO,MATCH($C1839,CAT_NOME,0)),"Sem categoria"))</f>
        <v/>
      </c>
      <c r="E1839" s="75">
        <f>IF($C1839="","",IFERROR(INDEX(CAT_GRUPO,MATCH($C1839,CAT_NOME,0)),"Sem categoria"))</f>
        <v/>
      </c>
      <c r="F1839" s="76" t="n"/>
      <c r="G1839" s="74" t="n"/>
      <c r="H1839" s="74" t="n"/>
      <c r="I1839" s="74" t="n"/>
      <c r="J1839" s="77" t="n"/>
      <c r="K1839" s="77" t="n"/>
      <c r="L1839" s="74" t="n"/>
      <c r="M1839" s="74" t="n"/>
      <c r="O1839" s="78">
        <f>IF($A1839="","",YEAR($A1839)*100+MONTH($A1839))</f>
        <v/>
      </c>
      <c r="P1839" s="79">
        <f>IF(OR($F1839="",$D1839=""),"",IF($D1839="Receita",$F1839,IF($D1839="Transferência",0,-$F1839)))</f>
        <v/>
      </c>
    </row>
    <row r="1840">
      <c r="A1840" s="73" t="n"/>
      <c r="B1840" s="74" t="n"/>
      <c r="C1840" s="74" t="n"/>
      <c r="D1840" s="75">
        <f>IF($C1840="","",IFERROR(INDEX(CAT_TIPO,MATCH($C1840,CAT_NOME,0)),"Sem categoria"))</f>
        <v/>
      </c>
      <c r="E1840" s="75">
        <f>IF($C1840="","",IFERROR(INDEX(CAT_GRUPO,MATCH($C1840,CAT_NOME,0)),"Sem categoria"))</f>
        <v/>
      </c>
      <c r="F1840" s="76" t="n"/>
      <c r="G1840" s="74" t="n"/>
      <c r="H1840" s="74" t="n"/>
      <c r="I1840" s="74" t="n"/>
      <c r="J1840" s="77" t="n"/>
      <c r="K1840" s="77" t="n"/>
      <c r="L1840" s="74" t="n"/>
      <c r="M1840" s="74" t="n"/>
      <c r="O1840" s="78">
        <f>IF($A1840="","",YEAR($A1840)*100+MONTH($A1840))</f>
        <v/>
      </c>
      <c r="P1840" s="79">
        <f>IF(OR($F1840="",$D1840=""),"",IF($D1840="Receita",$F1840,IF($D1840="Transferência",0,-$F1840)))</f>
        <v/>
      </c>
    </row>
    <row r="1841">
      <c r="A1841" s="73" t="n"/>
      <c r="B1841" s="74" t="n"/>
      <c r="C1841" s="74" t="n"/>
      <c r="D1841" s="75">
        <f>IF($C1841="","",IFERROR(INDEX(CAT_TIPO,MATCH($C1841,CAT_NOME,0)),"Sem categoria"))</f>
        <v/>
      </c>
      <c r="E1841" s="75">
        <f>IF($C1841="","",IFERROR(INDEX(CAT_GRUPO,MATCH($C1841,CAT_NOME,0)),"Sem categoria"))</f>
        <v/>
      </c>
      <c r="F1841" s="76" t="n"/>
      <c r="G1841" s="74" t="n"/>
      <c r="H1841" s="74" t="n"/>
      <c r="I1841" s="74" t="n"/>
      <c r="J1841" s="77" t="n"/>
      <c r="K1841" s="77" t="n"/>
      <c r="L1841" s="74" t="n"/>
      <c r="M1841" s="74" t="n"/>
      <c r="O1841" s="78">
        <f>IF($A1841="","",YEAR($A1841)*100+MONTH($A1841))</f>
        <v/>
      </c>
      <c r="P1841" s="79">
        <f>IF(OR($F1841="",$D1841=""),"",IF($D1841="Receita",$F1841,IF($D1841="Transferência",0,-$F1841)))</f>
        <v/>
      </c>
    </row>
    <row r="1842">
      <c r="A1842" s="73" t="n"/>
      <c r="B1842" s="74" t="n"/>
      <c r="C1842" s="74" t="n"/>
      <c r="D1842" s="75">
        <f>IF($C1842="","",IFERROR(INDEX(CAT_TIPO,MATCH($C1842,CAT_NOME,0)),"Sem categoria"))</f>
        <v/>
      </c>
      <c r="E1842" s="75">
        <f>IF($C1842="","",IFERROR(INDEX(CAT_GRUPO,MATCH($C1842,CAT_NOME,0)),"Sem categoria"))</f>
        <v/>
      </c>
      <c r="F1842" s="76" t="n"/>
      <c r="G1842" s="74" t="n"/>
      <c r="H1842" s="74" t="n"/>
      <c r="I1842" s="74" t="n"/>
      <c r="J1842" s="77" t="n"/>
      <c r="K1842" s="77" t="n"/>
      <c r="L1842" s="74" t="n"/>
      <c r="M1842" s="74" t="n"/>
      <c r="O1842" s="78">
        <f>IF($A1842="","",YEAR($A1842)*100+MONTH($A1842))</f>
        <v/>
      </c>
      <c r="P1842" s="79">
        <f>IF(OR($F1842="",$D1842=""),"",IF($D1842="Receita",$F1842,IF($D1842="Transferência",0,-$F1842)))</f>
        <v/>
      </c>
    </row>
    <row r="1843">
      <c r="A1843" s="73" t="n"/>
      <c r="B1843" s="74" t="n"/>
      <c r="C1843" s="74" t="n"/>
      <c r="D1843" s="75">
        <f>IF($C1843="","",IFERROR(INDEX(CAT_TIPO,MATCH($C1843,CAT_NOME,0)),"Sem categoria"))</f>
        <v/>
      </c>
      <c r="E1843" s="75">
        <f>IF($C1843="","",IFERROR(INDEX(CAT_GRUPO,MATCH($C1843,CAT_NOME,0)),"Sem categoria"))</f>
        <v/>
      </c>
      <c r="F1843" s="76" t="n"/>
      <c r="G1843" s="74" t="n"/>
      <c r="H1843" s="74" t="n"/>
      <c r="I1843" s="74" t="n"/>
      <c r="J1843" s="77" t="n"/>
      <c r="K1843" s="77" t="n"/>
      <c r="L1843" s="74" t="n"/>
      <c r="M1843" s="74" t="n"/>
      <c r="O1843" s="78">
        <f>IF($A1843="","",YEAR($A1843)*100+MONTH($A1843))</f>
        <v/>
      </c>
      <c r="P1843" s="79">
        <f>IF(OR($F1843="",$D1843=""),"",IF($D1843="Receita",$F1843,IF($D1843="Transferência",0,-$F1843)))</f>
        <v/>
      </c>
    </row>
    <row r="1844">
      <c r="A1844" s="73" t="n"/>
      <c r="B1844" s="74" t="n"/>
      <c r="C1844" s="74" t="n"/>
      <c r="D1844" s="75">
        <f>IF($C1844="","",IFERROR(INDEX(CAT_TIPO,MATCH($C1844,CAT_NOME,0)),"Sem categoria"))</f>
        <v/>
      </c>
      <c r="E1844" s="75">
        <f>IF($C1844="","",IFERROR(INDEX(CAT_GRUPO,MATCH($C1844,CAT_NOME,0)),"Sem categoria"))</f>
        <v/>
      </c>
      <c r="F1844" s="76" t="n"/>
      <c r="G1844" s="74" t="n"/>
      <c r="H1844" s="74" t="n"/>
      <c r="I1844" s="74" t="n"/>
      <c r="J1844" s="77" t="n"/>
      <c r="K1844" s="77" t="n"/>
      <c r="L1844" s="74" t="n"/>
      <c r="M1844" s="74" t="n"/>
      <c r="O1844" s="78">
        <f>IF($A1844="","",YEAR($A1844)*100+MONTH($A1844))</f>
        <v/>
      </c>
      <c r="P1844" s="79">
        <f>IF(OR($F1844="",$D1844=""),"",IF($D1844="Receita",$F1844,IF($D1844="Transferência",0,-$F1844)))</f>
        <v/>
      </c>
    </row>
    <row r="1845">
      <c r="A1845" s="73" t="n"/>
      <c r="B1845" s="74" t="n"/>
      <c r="C1845" s="74" t="n"/>
      <c r="D1845" s="75">
        <f>IF($C1845="","",IFERROR(INDEX(CAT_TIPO,MATCH($C1845,CAT_NOME,0)),"Sem categoria"))</f>
        <v/>
      </c>
      <c r="E1845" s="75">
        <f>IF($C1845="","",IFERROR(INDEX(CAT_GRUPO,MATCH($C1845,CAT_NOME,0)),"Sem categoria"))</f>
        <v/>
      </c>
      <c r="F1845" s="76" t="n"/>
      <c r="G1845" s="74" t="n"/>
      <c r="H1845" s="74" t="n"/>
      <c r="I1845" s="74" t="n"/>
      <c r="J1845" s="77" t="n"/>
      <c r="K1845" s="77" t="n"/>
      <c r="L1845" s="74" t="n"/>
      <c r="M1845" s="74" t="n"/>
      <c r="O1845" s="78">
        <f>IF($A1845="","",YEAR($A1845)*100+MONTH($A1845))</f>
        <v/>
      </c>
      <c r="P1845" s="79">
        <f>IF(OR($F1845="",$D1845=""),"",IF($D1845="Receita",$F1845,IF($D1845="Transferência",0,-$F1845)))</f>
        <v/>
      </c>
    </row>
    <row r="1846">
      <c r="A1846" s="73" t="n"/>
      <c r="B1846" s="74" t="n"/>
      <c r="C1846" s="74" t="n"/>
      <c r="D1846" s="75">
        <f>IF($C1846="","",IFERROR(INDEX(CAT_TIPO,MATCH($C1846,CAT_NOME,0)),"Sem categoria"))</f>
        <v/>
      </c>
      <c r="E1846" s="75">
        <f>IF($C1846="","",IFERROR(INDEX(CAT_GRUPO,MATCH($C1846,CAT_NOME,0)),"Sem categoria"))</f>
        <v/>
      </c>
      <c r="F1846" s="76" t="n"/>
      <c r="G1846" s="74" t="n"/>
      <c r="H1846" s="74" t="n"/>
      <c r="I1846" s="74" t="n"/>
      <c r="J1846" s="77" t="n"/>
      <c r="K1846" s="77" t="n"/>
      <c r="L1846" s="74" t="n"/>
      <c r="M1846" s="74" t="n"/>
      <c r="O1846" s="78">
        <f>IF($A1846="","",YEAR($A1846)*100+MONTH($A1846))</f>
        <v/>
      </c>
      <c r="P1846" s="79">
        <f>IF(OR($F1846="",$D1846=""),"",IF($D1846="Receita",$F1846,IF($D1846="Transferência",0,-$F1846)))</f>
        <v/>
      </c>
    </row>
    <row r="1847">
      <c r="A1847" s="73" t="n"/>
      <c r="B1847" s="74" t="n"/>
      <c r="C1847" s="74" t="n"/>
      <c r="D1847" s="75">
        <f>IF($C1847="","",IFERROR(INDEX(CAT_TIPO,MATCH($C1847,CAT_NOME,0)),"Sem categoria"))</f>
        <v/>
      </c>
      <c r="E1847" s="75">
        <f>IF($C1847="","",IFERROR(INDEX(CAT_GRUPO,MATCH($C1847,CAT_NOME,0)),"Sem categoria"))</f>
        <v/>
      </c>
      <c r="F1847" s="76" t="n"/>
      <c r="G1847" s="74" t="n"/>
      <c r="H1847" s="74" t="n"/>
      <c r="I1847" s="74" t="n"/>
      <c r="J1847" s="77" t="n"/>
      <c r="K1847" s="77" t="n"/>
      <c r="L1847" s="74" t="n"/>
      <c r="M1847" s="74" t="n"/>
      <c r="O1847" s="78">
        <f>IF($A1847="","",YEAR($A1847)*100+MONTH($A1847))</f>
        <v/>
      </c>
      <c r="P1847" s="79">
        <f>IF(OR($F1847="",$D1847=""),"",IF($D1847="Receita",$F1847,IF($D1847="Transferência",0,-$F1847)))</f>
        <v/>
      </c>
    </row>
    <row r="1848">
      <c r="A1848" s="73" t="n"/>
      <c r="B1848" s="74" t="n"/>
      <c r="C1848" s="74" t="n"/>
      <c r="D1848" s="75">
        <f>IF($C1848="","",IFERROR(INDEX(CAT_TIPO,MATCH($C1848,CAT_NOME,0)),"Sem categoria"))</f>
        <v/>
      </c>
      <c r="E1848" s="75">
        <f>IF($C1848="","",IFERROR(INDEX(CAT_GRUPO,MATCH($C1848,CAT_NOME,0)),"Sem categoria"))</f>
        <v/>
      </c>
      <c r="F1848" s="76" t="n"/>
      <c r="G1848" s="74" t="n"/>
      <c r="H1848" s="74" t="n"/>
      <c r="I1848" s="74" t="n"/>
      <c r="J1848" s="77" t="n"/>
      <c r="K1848" s="77" t="n"/>
      <c r="L1848" s="74" t="n"/>
      <c r="M1848" s="74" t="n"/>
      <c r="O1848" s="78">
        <f>IF($A1848="","",YEAR($A1848)*100+MONTH($A1848))</f>
        <v/>
      </c>
      <c r="P1848" s="79">
        <f>IF(OR($F1848="",$D1848=""),"",IF($D1848="Receita",$F1848,IF($D1848="Transferência",0,-$F1848)))</f>
        <v/>
      </c>
    </row>
    <row r="1849">
      <c r="A1849" s="73" t="n"/>
      <c r="B1849" s="74" t="n"/>
      <c r="C1849" s="74" t="n"/>
      <c r="D1849" s="75">
        <f>IF($C1849="","",IFERROR(INDEX(CAT_TIPO,MATCH($C1849,CAT_NOME,0)),"Sem categoria"))</f>
        <v/>
      </c>
      <c r="E1849" s="75">
        <f>IF($C1849="","",IFERROR(INDEX(CAT_GRUPO,MATCH($C1849,CAT_NOME,0)),"Sem categoria"))</f>
        <v/>
      </c>
      <c r="F1849" s="76" t="n"/>
      <c r="G1849" s="74" t="n"/>
      <c r="H1849" s="74" t="n"/>
      <c r="I1849" s="74" t="n"/>
      <c r="J1849" s="77" t="n"/>
      <c r="K1849" s="77" t="n"/>
      <c r="L1849" s="74" t="n"/>
      <c r="M1849" s="74" t="n"/>
      <c r="O1849" s="78">
        <f>IF($A1849="","",YEAR($A1849)*100+MONTH($A1849))</f>
        <v/>
      </c>
      <c r="P1849" s="79">
        <f>IF(OR($F1849="",$D1849=""),"",IF($D1849="Receita",$F1849,IF($D1849="Transferência",0,-$F1849)))</f>
        <v/>
      </c>
    </row>
    <row r="1850">
      <c r="A1850" s="73" t="n"/>
      <c r="B1850" s="74" t="n"/>
      <c r="C1850" s="74" t="n"/>
      <c r="D1850" s="75">
        <f>IF($C1850="","",IFERROR(INDEX(CAT_TIPO,MATCH($C1850,CAT_NOME,0)),"Sem categoria"))</f>
        <v/>
      </c>
      <c r="E1850" s="75">
        <f>IF($C1850="","",IFERROR(INDEX(CAT_GRUPO,MATCH($C1850,CAT_NOME,0)),"Sem categoria"))</f>
        <v/>
      </c>
      <c r="F1850" s="76" t="n"/>
      <c r="G1850" s="74" t="n"/>
      <c r="H1850" s="74" t="n"/>
      <c r="I1850" s="74" t="n"/>
      <c r="J1850" s="77" t="n"/>
      <c r="K1850" s="77" t="n"/>
      <c r="L1850" s="74" t="n"/>
      <c r="M1850" s="74" t="n"/>
      <c r="O1850" s="78">
        <f>IF($A1850="","",YEAR($A1850)*100+MONTH($A1850))</f>
        <v/>
      </c>
      <c r="P1850" s="79">
        <f>IF(OR($F1850="",$D1850=""),"",IF($D1850="Receita",$F1850,IF($D1850="Transferência",0,-$F1850)))</f>
        <v/>
      </c>
    </row>
    <row r="1851">
      <c r="A1851" s="73" t="n"/>
      <c r="B1851" s="74" t="n"/>
      <c r="C1851" s="74" t="n"/>
      <c r="D1851" s="75">
        <f>IF($C1851="","",IFERROR(INDEX(CAT_TIPO,MATCH($C1851,CAT_NOME,0)),"Sem categoria"))</f>
        <v/>
      </c>
      <c r="E1851" s="75">
        <f>IF($C1851="","",IFERROR(INDEX(CAT_GRUPO,MATCH($C1851,CAT_NOME,0)),"Sem categoria"))</f>
        <v/>
      </c>
      <c r="F1851" s="76" t="n"/>
      <c r="G1851" s="74" t="n"/>
      <c r="H1851" s="74" t="n"/>
      <c r="I1851" s="74" t="n"/>
      <c r="J1851" s="77" t="n"/>
      <c r="K1851" s="77" t="n"/>
      <c r="L1851" s="74" t="n"/>
      <c r="M1851" s="74" t="n"/>
      <c r="O1851" s="78">
        <f>IF($A1851="","",YEAR($A1851)*100+MONTH($A1851))</f>
        <v/>
      </c>
      <c r="P1851" s="79">
        <f>IF(OR($F1851="",$D1851=""),"",IF($D1851="Receita",$F1851,IF($D1851="Transferência",0,-$F1851)))</f>
        <v/>
      </c>
    </row>
    <row r="1852">
      <c r="A1852" s="73" t="n"/>
      <c r="B1852" s="74" t="n"/>
      <c r="C1852" s="74" t="n"/>
      <c r="D1852" s="75">
        <f>IF($C1852="","",IFERROR(INDEX(CAT_TIPO,MATCH($C1852,CAT_NOME,0)),"Sem categoria"))</f>
        <v/>
      </c>
      <c r="E1852" s="75">
        <f>IF($C1852="","",IFERROR(INDEX(CAT_GRUPO,MATCH($C1852,CAT_NOME,0)),"Sem categoria"))</f>
        <v/>
      </c>
      <c r="F1852" s="76" t="n"/>
      <c r="G1852" s="74" t="n"/>
      <c r="H1852" s="74" t="n"/>
      <c r="I1852" s="74" t="n"/>
      <c r="J1852" s="77" t="n"/>
      <c r="K1852" s="77" t="n"/>
      <c r="L1852" s="74" t="n"/>
      <c r="M1852" s="74" t="n"/>
      <c r="O1852" s="78">
        <f>IF($A1852="","",YEAR($A1852)*100+MONTH($A1852))</f>
        <v/>
      </c>
      <c r="P1852" s="79">
        <f>IF(OR($F1852="",$D1852=""),"",IF($D1852="Receita",$F1852,IF($D1852="Transferência",0,-$F1852)))</f>
        <v/>
      </c>
    </row>
    <row r="1853">
      <c r="A1853" s="73" t="n"/>
      <c r="B1853" s="74" t="n"/>
      <c r="C1853" s="74" t="n"/>
      <c r="D1853" s="75">
        <f>IF($C1853="","",IFERROR(INDEX(CAT_TIPO,MATCH($C1853,CAT_NOME,0)),"Sem categoria"))</f>
        <v/>
      </c>
      <c r="E1853" s="75">
        <f>IF($C1853="","",IFERROR(INDEX(CAT_GRUPO,MATCH($C1853,CAT_NOME,0)),"Sem categoria"))</f>
        <v/>
      </c>
      <c r="F1853" s="76" t="n"/>
      <c r="G1853" s="74" t="n"/>
      <c r="H1853" s="74" t="n"/>
      <c r="I1853" s="74" t="n"/>
      <c r="J1853" s="77" t="n"/>
      <c r="K1853" s="77" t="n"/>
      <c r="L1853" s="74" t="n"/>
      <c r="M1853" s="74" t="n"/>
      <c r="O1853" s="78">
        <f>IF($A1853="","",YEAR($A1853)*100+MONTH($A1853))</f>
        <v/>
      </c>
      <c r="P1853" s="79">
        <f>IF(OR($F1853="",$D1853=""),"",IF($D1853="Receita",$F1853,IF($D1853="Transferência",0,-$F1853)))</f>
        <v/>
      </c>
    </row>
    <row r="1854">
      <c r="A1854" s="73" t="n"/>
      <c r="B1854" s="74" t="n"/>
      <c r="C1854" s="74" t="n"/>
      <c r="D1854" s="75">
        <f>IF($C1854="","",IFERROR(INDEX(CAT_TIPO,MATCH($C1854,CAT_NOME,0)),"Sem categoria"))</f>
        <v/>
      </c>
      <c r="E1854" s="75">
        <f>IF($C1854="","",IFERROR(INDEX(CAT_GRUPO,MATCH($C1854,CAT_NOME,0)),"Sem categoria"))</f>
        <v/>
      </c>
      <c r="F1854" s="76" t="n"/>
      <c r="G1854" s="74" t="n"/>
      <c r="H1854" s="74" t="n"/>
      <c r="I1854" s="74" t="n"/>
      <c r="J1854" s="77" t="n"/>
      <c r="K1854" s="77" t="n"/>
      <c r="L1854" s="74" t="n"/>
      <c r="M1854" s="74" t="n"/>
      <c r="O1854" s="78">
        <f>IF($A1854="","",YEAR($A1854)*100+MONTH($A1854))</f>
        <v/>
      </c>
      <c r="P1854" s="79">
        <f>IF(OR($F1854="",$D1854=""),"",IF($D1854="Receita",$F1854,IF($D1854="Transferência",0,-$F1854)))</f>
        <v/>
      </c>
    </row>
    <row r="1855">
      <c r="A1855" s="73" t="n"/>
      <c r="B1855" s="74" t="n"/>
      <c r="C1855" s="74" t="n"/>
      <c r="D1855" s="75">
        <f>IF($C1855="","",IFERROR(INDEX(CAT_TIPO,MATCH($C1855,CAT_NOME,0)),"Sem categoria"))</f>
        <v/>
      </c>
      <c r="E1855" s="75">
        <f>IF($C1855="","",IFERROR(INDEX(CAT_GRUPO,MATCH($C1855,CAT_NOME,0)),"Sem categoria"))</f>
        <v/>
      </c>
      <c r="F1855" s="76" t="n"/>
      <c r="G1855" s="74" t="n"/>
      <c r="H1855" s="74" t="n"/>
      <c r="I1855" s="74" t="n"/>
      <c r="J1855" s="77" t="n"/>
      <c r="K1855" s="77" t="n"/>
      <c r="L1855" s="74" t="n"/>
      <c r="M1855" s="74" t="n"/>
      <c r="O1855" s="78">
        <f>IF($A1855="","",YEAR($A1855)*100+MONTH($A1855))</f>
        <v/>
      </c>
      <c r="P1855" s="79">
        <f>IF(OR($F1855="",$D1855=""),"",IF($D1855="Receita",$F1855,IF($D1855="Transferência",0,-$F1855)))</f>
        <v/>
      </c>
    </row>
    <row r="1856">
      <c r="A1856" s="73" t="n"/>
      <c r="B1856" s="74" t="n"/>
      <c r="C1856" s="74" t="n"/>
      <c r="D1856" s="75">
        <f>IF($C1856="","",IFERROR(INDEX(CAT_TIPO,MATCH($C1856,CAT_NOME,0)),"Sem categoria"))</f>
        <v/>
      </c>
      <c r="E1856" s="75">
        <f>IF($C1856="","",IFERROR(INDEX(CAT_GRUPO,MATCH($C1856,CAT_NOME,0)),"Sem categoria"))</f>
        <v/>
      </c>
      <c r="F1856" s="76" t="n"/>
      <c r="G1856" s="74" t="n"/>
      <c r="H1856" s="74" t="n"/>
      <c r="I1856" s="74" t="n"/>
      <c r="J1856" s="77" t="n"/>
      <c r="K1856" s="77" t="n"/>
      <c r="L1856" s="74" t="n"/>
      <c r="M1856" s="74" t="n"/>
      <c r="O1856" s="78">
        <f>IF($A1856="","",YEAR($A1856)*100+MONTH($A1856))</f>
        <v/>
      </c>
      <c r="P1856" s="79">
        <f>IF(OR($F1856="",$D1856=""),"",IF($D1856="Receita",$F1856,IF($D1856="Transferência",0,-$F1856)))</f>
        <v/>
      </c>
    </row>
    <row r="1857">
      <c r="A1857" s="73" t="n"/>
      <c r="B1857" s="74" t="n"/>
      <c r="C1857" s="74" t="n"/>
      <c r="D1857" s="75">
        <f>IF($C1857="","",IFERROR(INDEX(CAT_TIPO,MATCH($C1857,CAT_NOME,0)),"Sem categoria"))</f>
        <v/>
      </c>
      <c r="E1857" s="75">
        <f>IF($C1857="","",IFERROR(INDEX(CAT_GRUPO,MATCH($C1857,CAT_NOME,0)),"Sem categoria"))</f>
        <v/>
      </c>
      <c r="F1857" s="76" t="n"/>
      <c r="G1857" s="74" t="n"/>
      <c r="H1857" s="74" t="n"/>
      <c r="I1857" s="74" t="n"/>
      <c r="J1857" s="77" t="n"/>
      <c r="K1857" s="77" t="n"/>
      <c r="L1857" s="74" t="n"/>
      <c r="M1857" s="74" t="n"/>
      <c r="O1857" s="78">
        <f>IF($A1857="","",YEAR($A1857)*100+MONTH($A1857))</f>
        <v/>
      </c>
      <c r="P1857" s="79">
        <f>IF(OR($F1857="",$D1857=""),"",IF($D1857="Receita",$F1857,IF($D1857="Transferência",0,-$F1857)))</f>
        <v/>
      </c>
    </row>
    <row r="1858">
      <c r="A1858" s="73" t="n"/>
      <c r="B1858" s="74" t="n"/>
      <c r="C1858" s="74" t="n"/>
      <c r="D1858" s="75">
        <f>IF($C1858="","",IFERROR(INDEX(CAT_TIPO,MATCH($C1858,CAT_NOME,0)),"Sem categoria"))</f>
        <v/>
      </c>
      <c r="E1858" s="75">
        <f>IF($C1858="","",IFERROR(INDEX(CAT_GRUPO,MATCH($C1858,CAT_NOME,0)),"Sem categoria"))</f>
        <v/>
      </c>
      <c r="F1858" s="76" t="n"/>
      <c r="G1858" s="74" t="n"/>
      <c r="H1858" s="74" t="n"/>
      <c r="I1858" s="74" t="n"/>
      <c r="J1858" s="77" t="n"/>
      <c r="K1858" s="77" t="n"/>
      <c r="L1858" s="74" t="n"/>
      <c r="M1858" s="74" t="n"/>
      <c r="O1858" s="78">
        <f>IF($A1858="","",YEAR($A1858)*100+MONTH($A1858))</f>
        <v/>
      </c>
      <c r="P1858" s="79">
        <f>IF(OR($F1858="",$D1858=""),"",IF($D1858="Receita",$F1858,IF($D1858="Transferência",0,-$F1858)))</f>
        <v/>
      </c>
    </row>
    <row r="1859">
      <c r="A1859" s="73" t="n"/>
      <c r="B1859" s="74" t="n"/>
      <c r="C1859" s="74" t="n"/>
      <c r="D1859" s="75">
        <f>IF($C1859="","",IFERROR(INDEX(CAT_TIPO,MATCH($C1859,CAT_NOME,0)),"Sem categoria"))</f>
        <v/>
      </c>
      <c r="E1859" s="75">
        <f>IF($C1859="","",IFERROR(INDEX(CAT_GRUPO,MATCH($C1859,CAT_NOME,0)),"Sem categoria"))</f>
        <v/>
      </c>
      <c r="F1859" s="76" t="n"/>
      <c r="G1859" s="74" t="n"/>
      <c r="H1859" s="74" t="n"/>
      <c r="I1859" s="74" t="n"/>
      <c r="J1859" s="77" t="n"/>
      <c r="K1859" s="77" t="n"/>
      <c r="L1859" s="74" t="n"/>
      <c r="M1859" s="74" t="n"/>
      <c r="O1859" s="78">
        <f>IF($A1859="","",YEAR($A1859)*100+MONTH($A1859))</f>
        <v/>
      </c>
      <c r="P1859" s="79">
        <f>IF(OR($F1859="",$D1859=""),"",IF($D1859="Receita",$F1859,IF($D1859="Transferência",0,-$F1859)))</f>
        <v/>
      </c>
    </row>
    <row r="1860">
      <c r="A1860" s="73" t="n"/>
      <c r="B1860" s="74" t="n"/>
      <c r="C1860" s="74" t="n"/>
      <c r="D1860" s="75">
        <f>IF($C1860="","",IFERROR(INDEX(CAT_TIPO,MATCH($C1860,CAT_NOME,0)),"Sem categoria"))</f>
        <v/>
      </c>
      <c r="E1860" s="75">
        <f>IF($C1860="","",IFERROR(INDEX(CAT_GRUPO,MATCH($C1860,CAT_NOME,0)),"Sem categoria"))</f>
        <v/>
      </c>
      <c r="F1860" s="76" t="n"/>
      <c r="G1860" s="74" t="n"/>
      <c r="H1860" s="74" t="n"/>
      <c r="I1860" s="74" t="n"/>
      <c r="J1860" s="77" t="n"/>
      <c r="K1860" s="77" t="n"/>
      <c r="L1860" s="74" t="n"/>
      <c r="M1860" s="74" t="n"/>
      <c r="O1860" s="78">
        <f>IF($A1860="","",YEAR($A1860)*100+MONTH($A1860))</f>
        <v/>
      </c>
      <c r="P1860" s="79">
        <f>IF(OR($F1860="",$D1860=""),"",IF($D1860="Receita",$F1860,IF($D1860="Transferência",0,-$F1860)))</f>
        <v/>
      </c>
    </row>
    <row r="1861">
      <c r="A1861" s="73" t="n"/>
      <c r="B1861" s="74" t="n"/>
      <c r="C1861" s="74" t="n"/>
      <c r="D1861" s="75">
        <f>IF($C1861="","",IFERROR(INDEX(CAT_TIPO,MATCH($C1861,CAT_NOME,0)),"Sem categoria"))</f>
        <v/>
      </c>
      <c r="E1861" s="75">
        <f>IF($C1861="","",IFERROR(INDEX(CAT_GRUPO,MATCH($C1861,CAT_NOME,0)),"Sem categoria"))</f>
        <v/>
      </c>
      <c r="F1861" s="76" t="n"/>
      <c r="G1861" s="74" t="n"/>
      <c r="H1861" s="74" t="n"/>
      <c r="I1861" s="74" t="n"/>
      <c r="J1861" s="77" t="n"/>
      <c r="K1861" s="77" t="n"/>
      <c r="L1861" s="74" t="n"/>
      <c r="M1861" s="74" t="n"/>
      <c r="O1861" s="78">
        <f>IF($A1861="","",YEAR($A1861)*100+MONTH($A1861))</f>
        <v/>
      </c>
      <c r="P1861" s="79">
        <f>IF(OR($F1861="",$D1861=""),"",IF($D1861="Receita",$F1861,IF($D1861="Transferência",0,-$F1861)))</f>
        <v/>
      </c>
    </row>
    <row r="1862">
      <c r="A1862" s="73" t="n"/>
      <c r="B1862" s="74" t="n"/>
      <c r="C1862" s="74" t="n"/>
      <c r="D1862" s="75">
        <f>IF($C1862="","",IFERROR(INDEX(CAT_TIPO,MATCH($C1862,CAT_NOME,0)),"Sem categoria"))</f>
        <v/>
      </c>
      <c r="E1862" s="75">
        <f>IF($C1862="","",IFERROR(INDEX(CAT_GRUPO,MATCH($C1862,CAT_NOME,0)),"Sem categoria"))</f>
        <v/>
      </c>
      <c r="F1862" s="76" t="n"/>
      <c r="G1862" s="74" t="n"/>
      <c r="H1862" s="74" t="n"/>
      <c r="I1862" s="74" t="n"/>
      <c r="J1862" s="77" t="n"/>
      <c r="K1862" s="77" t="n"/>
      <c r="L1862" s="74" t="n"/>
      <c r="M1862" s="74" t="n"/>
      <c r="O1862" s="78">
        <f>IF($A1862="","",YEAR($A1862)*100+MONTH($A1862))</f>
        <v/>
      </c>
      <c r="P1862" s="79">
        <f>IF(OR($F1862="",$D1862=""),"",IF($D1862="Receita",$F1862,IF($D1862="Transferência",0,-$F1862)))</f>
        <v/>
      </c>
    </row>
    <row r="1863">
      <c r="A1863" s="73" t="n"/>
      <c r="B1863" s="74" t="n"/>
      <c r="C1863" s="74" t="n"/>
      <c r="D1863" s="75">
        <f>IF($C1863="","",IFERROR(INDEX(CAT_TIPO,MATCH($C1863,CAT_NOME,0)),"Sem categoria"))</f>
        <v/>
      </c>
      <c r="E1863" s="75">
        <f>IF($C1863="","",IFERROR(INDEX(CAT_GRUPO,MATCH($C1863,CAT_NOME,0)),"Sem categoria"))</f>
        <v/>
      </c>
      <c r="F1863" s="76" t="n"/>
      <c r="G1863" s="74" t="n"/>
      <c r="H1863" s="74" t="n"/>
      <c r="I1863" s="74" t="n"/>
      <c r="J1863" s="77" t="n"/>
      <c r="K1863" s="77" t="n"/>
      <c r="L1863" s="74" t="n"/>
      <c r="M1863" s="74" t="n"/>
      <c r="O1863" s="78">
        <f>IF($A1863="","",YEAR($A1863)*100+MONTH($A1863))</f>
        <v/>
      </c>
      <c r="P1863" s="79">
        <f>IF(OR($F1863="",$D1863=""),"",IF($D1863="Receita",$F1863,IF($D1863="Transferência",0,-$F1863)))</f>
        <v/>
      </c>
    </row>
    <row r="1864">
      <c r="A1864" s="73" t="n"/>
      <c r="B1864" s="74" t="n"/>
      <c r="C1864" s="74" t="n"/>
      <c r="D1864" s="75">
        <f>IF($C1864="","",IFERROR(INDEX(CAT_TIPO,MATCH($C1864,CAT_NOME,0)),"Sem categoria"))</f>
        <v/>
      </c>
      <c r="E1864" s="75">
        <f>IF($C1864="","",IFERROR(INDEX(CAT_GRUPO,MATCH($C1864,CAT_NOME,0)),"Sem categoria"))</f>
        <v/>
      </c>
      <c r="F1864" s="76" t="n"/>
      <c r="G1864" s="74" t="n"/>
      <c r="H1864" s="74" t="n"/>
      <c r="I1864" s="74" t="n"/>
      <c r="J1864" s="77" t="n"/>
      <c r="K1864" s="77" t="n"/>
      <c r="L1864" s="74" t="n"/>
      <c r="M1864" s="74" t="n"/>
      <c r="O1864" s="78">
        <f>IF($A1864="","",YEAR($A1864)*100+MONTH($A1864))</f>
        <v/>
      </c>
      <c r="P1864" s="79">
        <f>IF(OR($F1864="",$D1864=""),"",IF($D1864="Receita",$F1864,IF($D1864="Transferência",0,-$F1864)))</f>
        <v/>
      </c>
    </row>
    <row r="1865">
      <c r="A1865" s="73" t="n"/>
      <c r="B1865" s="74" t="n"/>
      <c r="C1865" s="74" t="n"/>
      <c r="D1865" s="75">
        <f>IF($C1865="","",IFERROR(INDEX(CAT_TIPO,MATCH($C1865,CAT_NOME,0)),"Sem categoria"))</f>
        <v/>
      </c>
      <c r="E1865" s="75">
        <f>IF($C1865="","",IFERROR(INDEX(CAT_GRUPO,MATCH($C1865,CAT_NOME,0)),"Sem categoria"))</f>
        <v/>
      </c>
      <c r="F1865" s="76" t="n"/>
      <c r="G1865" s="74" t="n"/>
      <c r="H1865" s="74" t="n"/>
      <c r="I1865" s="74" t="n"/>
      <c r="J1865" s="77" t="n"/>
      <c r="K1865" s="77" t="n"/>
      <c r="L1865" s="74" t="n"/>
      <c r="M1865" s="74" t="n"/>
      <c r="O1865" s="78">
        <f>IF($A1865="","",YEAR($A1865)*100+MONTH($A1865))</f>
        <v/>
      </c>
      <c r="P1865" s="79">
        <f>IF(OR($F1865="",$D1865=""),"",IF($D1865="Receita",$F1865,IF($D1865="Transferência",0,-$F1865)))</f>
        <v/>
      </c>
    </row>
    <row r="1866">
      <c r="A1866" s="73" t="n"/>
      <c r="B1866" s="74" t="n"/>
      <c r="C1866" s="74" t="n"/>
      <c r="D1866" s="75">
        <f>IF($C1866="","",IFERROR(INDEX(CAT_TIPO,MATCH($C1866,CAT_NOME,0)),"Sem categoria"))</f>
        <v/>
      </c>
      <c r="E1866" s="75">
        <f>IF($C1866="","",IFERROR(INDEX(CAT_GRUPO,MATCH($C1866,CAT_NOME,0)),"Sem categoria"))</f>
        <v/>
      </c>
      <c r="F1866" s="76" t="n"/>
      <c r="G1866" s="74" t="n"/>
      <c r="H1866" s="74" t="n"/>
      <c r="I1866" s="74" t="n"/>
      <c r="J1866" s="77" t="n"/>
      <c r="K1866" s="77" t="n"/>
      <c r="L1866" s="74" t="n"/>
      <c r="M1866" s="74" t="n"/>
      <c r="O1866" s="78">
        <f>IF($A1866="","",YEAR($A1866)*100+MONTH($A1866))</f>
        <v/>
      </c>
      <c r="P1866" s="79">
        <f>IF(OR($F1866="",$D1866=""),"",IF($D1866="Receita",$F1866,IF($D1866="Transferência",0,-$F1866)))</f>
        <v/>
      </c>
    </row>
    <row r="1867">
      <c r="A1867" s="73" t="n"/>
      <c r="B1867" s="74" t="n"/>
      <c r="C1867" s="74" t="n"/>
      <c r="D1867" s="75">
        <f>IF($C1867="","",IFERROR(INDEX(CAT_TIPO,MATCH($C1867,CAT_NOME,0)),"Sem categoria"))</f>
        <v/>
      </c>
      <c r="E1867" s="75">
        <f>IF($C1867="","",IFERROR(INDEX(CAT_GRUPO,MATCH($C1867,CAT_NOME,0)),"Sem categoria"))</f>
        <v/>
      </c>
      <c r="F1867" s="76" t="n"/>
      <c r="G1867" s="74" t="n"/>
      <c r="H1867" s="74" t="n"/>
      <c r="I1867" s="74" t="n"/>
      <c r="J1867" s="77" t="n"/>
      <c r="K1867" s="77" t="n"/>
      <c r="L1867" s="74" t="n"/>
      <c r="M1867" s="74" t="n"/>
      <c r="O1867" s="78">
        <f>IF($A1867="","",YEAR($A1867)*100+MONTH($A1867))</f>
        <v/>
      </c>
      <c r="P1867" s="79">
        <f>IF(OR($F1867="",$D1867=""),"",IF($D1867="Receita",$F1867,IF($D1867="Transferência",0,-$F1867)))</f>
        <v/>
      </c>
    </row>
    <row r="1868">
      <c r="A1868" s="73" t="n"/>
      <c r="B1868" s="74" t="n"/>
      <c r="C1868" s="74" t="n"/>
      <c r="D1868" s="75">
        <f>IF($C1868="","",IFERROR(INDEX(CAT_TIPO,MATCH($C1868,CAT_NOME,0)),"Sem categoria"))</f>
        <v/>
      </c>
      <c r="E1868" s="75">
        <f>IF($C1868="","",IFERROR(INDEX(CAT_GRUPO,MATCH($C1868,CAT_NOME,0)),"Sem categoria"))</f>
        <v/>
      </c>
      <c r="F1868" s="76" t="n"/>
      <c r="G1868" s="74" t="n"/>
      <c r="H1868" s="74" t="n"/>
      <c r="I1868" s="74" t="n"/>
      <c r="J1868" s="77" t="n"/>
      <c r="K1868" s="77" t="n"/>
      <c r="L1868" s="74" t="n"/>
      <c r="M1868" s="74" t="n"/>
      <c r="O1868" s="78">
        <f>IF($A1868="","",YEAR($A1868)*100+MONTH($A1868))</f>
        <v/>
      </c>
      <c r="P1868" s="79">
        <f>IF(OR($F1868="",$D1868=""),"",IF($D1868="Receita",$F1868,IF($D1868="Transferência",0,-$F1868)))</f>
        <v/>
      </c>
    </row>
    <row r="1869">
      <c r="A1869" s="73" t="n"/>
      <c r="B1869" s="74" t="n"/>
      <c r="C1869" s="74" t="n"/>
      <c r="D1869" s="75">
        <f>IF($C1869="","",IFERROR(INDEX(CAT_TIPO,MATCH($C1869,CAT_NOME,0)),"Sem categoria"))</f>
        <v/>
      </c>
      <c r="E1869" s="75">
        <f>IF($C1869="","",IFERROR(INDEX(CAT_GRUPO,MATCH($C1869,CAT_NOME,0)),"Sem categoria"))</f>
        <v/>
      </c>
      <c r="F1869" s="76" t="n"/>
      <c r="G1869" s="74" t="n"/>
      <c r="H1869" s="74" t="n"/>
      <c r="I1869" s="74" t="n"/>
      <c r="J1869" s="77" t="n"/>
      <c r="K1869" s="77" t="n"/>
      <c r="L1869" s="74" t="n"/>
      <c r="M1869" s="74" t="n"/>
      <c r="O1869" s="78">
        <f>IF($A1869="","",YEAR($A1869)*100+MONTH($A1869))</f>
        <v/>
      </c>
      <c r="P1869" s="79">
        <f>IF(OR($F1869="",$D1869=""),"",IF($D1869="Receita",$F1869,IF($D1869="Transferência",0,-$F1869)))</f>
        <v/>
      </c>
    </row>
    <row r="1870">
      <c r="A1870" s="73" t="n"/>
      <c r="B1870" s="74" t="n"/>
      <c r="C1870" s="74" t="n"/>
      <c r="D1870" s="75">
        <f>IF($C1870="","",IFERROR(INDEX(CAT_TIPO,MATCH($C1870,CAT_NOME,0)),"Sem categoria"))</f>
        <v/>
      </c>
      <c r="E1870" s="75">
        <f>IF($C1870="","",IFERROR(INDEX(CAT_GRUPO,MATCH($C1870,CAT_NOME,0)),"Sem categoria"))</f>
        <v/>
      </c>
      <c r="F1870" s="76" t="n"/>
      <c r="G1870" s="74" t="n"/>
      <c r="H1870" s="74" t="n"/>
      <c r="I1870" s="74" t="n"/>
      <c r="J1870" s="77" t="n"/>
      <c r="K1870" s="77" t="n"/>
      <c r="L1870" s="74" t="n"/>
      <c r="M1870" s="74" t="n"/>
      <c r="O1870" s="78">
        <f>IF($A1870="","",YEAR($A1870)*100+MONTH($A1870))</f>
        <v/>
      </c>
      <c r="P1870" s="79">
        <f>IF(OR($F1870="",$D1870=""),"",IF($D1870="Receita",$F1870,IF($D1870="Transferência",0,-$F1870)))</f>
        <v/>
      </c>
    </row>
    <row r="1871">
      <c r="A1871" s="73" t="n"/>
      <c r="B1871" s="74" t="n"/>
      <c r="C1871" s="74" t="n"/>
      <c r="D1871" s="75">
        <f>IF($C1871="","",IFERROR(INDEX(CAT_TIPO,MATCH($C1871,CAT_NOME,0)),"Sem categoria"))</f>
        <v/>
      </c>
      <c r="E1871" s="75">
        <f>IF($C1871="","",IFERROR(INDEX(CAT_GRUPO,MATCH($C1871,CAT_NOME,0)),"Sem categoria"))</f>
        <v/>
      </c>
      <c r="F1871" s="76" t="n"/>
      <c r="G1871" s="74" t="n"/>
      <c r="H1871" s="74" t="n"/>
      <c r="I1871" s="74" t="n"/>
      <c r="J1871" s="77" t="n"/>
      <c r="K1871" s="77" t="n"/>
      <c r="L1871" s="74" t="n"/>
      <c r="M1871" s="74" t="n"/>
      <c r="O1871" s="78">
        <f>IF($A1871="","",YEAR($A1871)*100+MONTH($A1871))</f>
        <v/>
      </c>
      <c r="P1871" s="79">
        <f>IF(OR($F1871="",$D1871=""),"",IF($D1871="Receita",$F1871,IF($D1871="Transferência",0,-$F1871)))</f>
        <v/>
      </c>
    </row>
    <row r="1872">
      <c r="A1872" s="73" t="n"/>
      <c r="B1872" s="74" t="n"/>
      <c r="C1872" s="74" t="n"/>
      <c r="D1872" s="75">
        <f>IF($C1872="","",IFERROR(INDEX(CAT_TIPO,MATCH($C1872,CAT_NOME,0)),"Sem categoria"))</f>
        <v/>
      </c>
      <c r="E1872" s="75">
        <f>IF($C1872="","",IFERROR(INDEX(CAT_GRUPO,MATCH($C1872,CAT_NOME,0)),"Sem categoria"))</f>
        <v/>
      </c>
      <c r="F1872" s="76" t="n"/>
      <c r="G1872" s="74" t="n"/>
      <c r="H1872" s="74" t="n"/>
      <c r="I1872" s="74" t="n"/>
      <c r="J1872" s="77" t="n"/>
      <c r="K1872" s="77" t="n"/>
      <c r="L1872" s="74" t="n"/>
      <c r="M1872" s="74" t="n"/>
      <c r="O1872" s="78">
        <f>IF($A1872="","",YEAR($A1872)*100+MONTH($A1872))</f>
        <v/>
      </c>
      <c r="P1872" s="79">
        <f>IF(OR($F1872="",$D1872=""),"",IF($D1872="Receita",$F1872,IF($D1872="Transferência",0,-$F1872)))</f>
        <v/>
      </c>
    </row>
    <row r="1873">
      <c r="A1873" s="73" t="n"/>
      <c r="B1873" s="74" t="n"/>
      <c r="C1873" s="74" t="n"/>
      <c r="D1873" s="75">
        <f>IF($C1873="","",IFERROR(INDEX(CAT_TIPO,MATCH($C1873,CAT_NOME,0)),"Sem categoria"))</f>
        <v/>
      </c>
      <c r="E1873" s="75">
        <f>IF($C1873="","",IFERROR(INDEX(CAT_GRUPO,MATCH($C1873,CAT_NOME,0)),"Sem categoria"))</f>
        <v/>
      </c>
      <c r="F1873" s="76" t="n"/>
      <c r="G1873" s="74" t="n"/>
      <c r="H1873" s="74" t="n"/>
      <c r="I1873" s="74" t="n"/>
      <c r="J1873" s="77" t="n"/>
      <c r="K1873" s="77" t="n"/>
      <c r="L1873" s="74" t="n"/>
      <c r="M1873" s="74" t="n"/>
      <c r="O1873" s="78">
        <f>IF($A1873="","",YEAR($A1873)*100+MONTH($A1873))</f>
        <v/>
      </c>
      <c r="P1873" s="79">
        <f>IF(OR($F1873="",$D1873=""),"",IF($D1873="Receita",$F1873,IF($D1873="Transferência",0,-$F1873)))</f>
        <v/>
      </c>
    </row>
    <row r="1874">
      <c r="A1874" s="73" t="n"/>
      <c r="B1874" s="74" t="n"/>
      <c r="C1874" s="74" t="n"/>
      <c r="D1874" s="75">
        <f>IF($C1874="","",IFERROR(INDEX(CAT_TIPO,MATCH($C1874,CAT_NOME,0)),"Sem categoria"))</f>
        <v/>
      </c>
      <c r="E1874" s="75">
        <f>IF($C1874="","",IFERROR(INDEX(CAT_GRUPO,MATCH($C1874,CAT_NOME,0)),"Sem categoria"))</f>
        <v/>
      </c>
      <c r="F1874" s="76" t="n"/>
      <c r="G1874" s="74" t="n"/>
      <c r="H1874" s="74" t="n"/>
      <c r="I1874" s="74" t="n"/>
      <c r="J1874" s="77" t="n"/>
      <c r="K1874" s="77" t="n"/>
      <c r="L1874" s="74" t="n"/>
      <c r="M1874" s="74" t="n"/>
      <c r="O1874" s="78">
        <f>IF($A1874="","",YEAR($A1874)*100+MONTH($A1874))</f>
        <v/>
      </c>
      <c r="P1874" s="79">
        <f>IF(OR($F1874="",$D1874=""),"",IF($D1874="Receita",$F1874,IF($D1874="Transferência",0,-$F1874)))</f>
        <v/>
      </c>
    </row>
    <row r="1875">
      <c r="A1875" s="73" t="n"/>
      <c r="B1875" s="74" t="n"/>
      <c r="C1875" s="74" t="n"/>
      <c r="D1875" s="75">
        <f>IF($C1875="","",IFERROR(INDEX(CAT_TIPO,MATCH($C1875,CAT_NOME,0)),"Sem categoria"))</f>
        <v/>
      </c>
      <c r="E1875" s="75">
        <f>IF($C1875="","",IFERROR(INDEX(CAT_GRUPO,MATCH($C1875,CAT_NOME,0)),"Sem categoria"))</f>
        <v/>
      </c>
      <c r="F1875" s="76" t="n"/>
      <c r="G1875" s="74" t="n"/>
      <c r="H1875" s="74" t="n"/>
      <c r="I1875" s="74" t="n"/>
      <c r="J1875" s="77" t="n"/>
      <c r="K1875" s="77" t="n"/>
      <c r="L1875" s="74" t="n"/>
      <c r="M1875" s="74" t="n"/>
      <c r="O1875" s="78">
        <f>IF($A1875="","",YEAR($A1875)*100+MONTH($A1875))</f>
        <v/>
      </c>
      <c r="P1875" s="79">
        <f>IF(OR($F1875="",$D1875=""),"",IF($D1875="Receita",$F1875,IF($D1875="Transferência",0,-$F1875)))</f>
        <v/>
      </c>
    </row>
    <row r="1876">
      <c r="A1876" s="73" t="n"/>
      <c r="B1876" s="74" t="n"/>
      <c r="C1876" s="74" t="n"/>
      <c r="D1876" s="75">
        <f>IF($C1876="","",IFERROR(INDEX(CAT_TIPO,MATCH($C1876,CAT_NOME,0)),"Sem categoria"))</f>
        <v/>
      </c>
      <c r="E1876" s="75">
        <f>IF($C1876="","",IFERROR(INDEX(CAT_GRUPO,MATCH($C1876,CAT_NOME,0)),"Sem categoria"))</f>
        <v/>
      </c>
      <c r="F1876" s="76" t="n"/>
      <c r="G1876" s="74" t="n"/>
      <c r="H1876" s="74" t="n"/>
      <c r="I1876" s="74" t="n"/>
      <c r="J1876" s="77" t="n"/>
      <c r="K1876" s="77" t="n"/>
      <c r="L1876" s="74" t="n"/>
      <c r="M1876" s="74" t="n"/>
      <c r="O1876" s="78">
        <f>IF($A1876="","",YEAR($A1876)*100+MONTH($A1876))</f>
        <v/>
      </c>
      <c r="P1876" s="79">
        <f>IF(OR($F1876="",$D1876=""),"",IF($D1876="Receita",$F1876,IF($D1876="Transferência",0,-$F1876)))</f>
        <v/>
      </c>
    </row>
    <row r="1877">
      <c r="A1877" s="73" t="n"/>
      <c r="B1877" s="74" t="n"/>
      <c r="C1877" s="74" t="n"/>
      <c r="D1877" s="75">
        <f>IF($C1877="","",IFERROR(INDEX(CAT_TIPO,MATCH($C1877,CAT_NOME,0)),"Sem categoria"))</f>
        <v/>
      </c>
      <c r="E1877" s="75">
        <f>IF($C1877="","",IFERROR(INDEX(CAT_GRUPO,MATCH($C1877,CAT_NOME,0)),"Sem categoria"))</f>
        <v/>
      </c>
      <c r="F1877" s="76" t="n"/>
      <c r="G1877" s="74" t="n"/>
      <c r="H1877" s="74" t="n"/>
      <c r="I1877" s="74" t="n"/>
      <c r="J1877" s="77" t="n"/>
      <c r="K1877" s="77" t="n"/>
      <c r="L1877" s="74" t="n"/>
      <c r="M1877" s="74" t="n"/>
      <c r="O1877" s="78">
        <f>IF($A1877="","",YEAR($A1877)*100+MONTH($A1877))</f>
        <v/>
      </c>
      <c r="P1877" s="79">
        <f>IF(OR($F1877="",$D1877=""),"",IF($D1877="Receita",$F1877,IF($D1877="Transferência",0,-$F1877)))</f>
        <v/>
      </c>
    </row>
    <row r="1878">
      <c r="A1878" s="73" t="n"/>
      <c r="B1878" s="74" t="n"/>
      <c r="C1878" s="74" t="n"/>
      <c r="D1878" s="75">
        <f>IF($C1878="","",IFERROR(INDEX(CAT_TIPO,MATCH($C1878,CAT_NOME,0)),"Sem categoria"))</f>
        <v/>
      </c>
      <c r="E1878" s="75">
        <f>IF($C1878="","",IFERROR(INDEX(CAT_GRUPO,MATCH($C1878,CAT_NOME,0)),"Sem categoria"))</f>
        <v/>
      </c>
      <c r="F1878" s="76" t="n"/>
      <c r="G1878" s="74" t="n"/>
      <c r="H1878" s="74" t="n"/>
      <c r="I1878" s="74" t="n"/>
      <c r="J1878" s="77" t="n"/>
      <c r="K1878" s="77" t="n"/>
      <c r="L1878" s="74" t="n"/>
      <c r="M1878" s="74" t="n"/>
      <c r="O1878" s="78">
        <f>IF($A1878="","",YEAR($A1878)*100+MONTH($A1878))</f>
        <v/>
      </c>
      <c r="P1878" s="79">
        <f>IF(OR($F1878="",$D1878=""),"",IF($D1878="Receita",$F1878,IF($D1878="Transferência",0,-$F1878)))</f>
        <v/>
      </c>
    </row>
    <row r="1879">
      <c r="A1879" s="73" t="n"/>
      <c r="B1879" s="74" t="n"/>
      <c r="C1879" s="74" t="n"/>
      <c r="D1879" s="75">
        <f>IF($C1879="","",IFERROR(INDEX(CAT_TIPO,MATCH($C1879,CAT_NOME,0)),"Sem categoria"))</f>
        <v/>
      </c>
      <c r="E1879" s="75">
        <f>IF($C1879="","",IFERROR(INDEX(CAT_GRUPO,MATCH($C1879,CAT_NOME,0)),"Sem categoria"))</f>
        <v/>
      </c>
      <c r="F1879" s="76" t="n"/>
      <c r="G1879" s="74" t="n"/>
      <c r="H1879" s="74" t="n"/>
      <c r="I1879" s="74" t="n"/>
      <c r="J1879" s="77" t="n"/>
      <c r="K1879" s="77" t="n"/>
      <c r="L1879" s="74" t="n"/>
      <c r="M1879" s="74" t="n"/>
      <c r="O1879" s="78">
        <f>IF($A1879="","",YEAR($A1879)*100+MONTH($A1879))</f>
        <v/>
      </c>
      <c r="P1879" s="79">
        <f>IF(OR($F1879="",$D1879=""),"",IF($D1879="Receita",$F1879,IF($D1879="Transferência",0,-$F1879)))</f>
        <v/>
      </c>
    </row>
    <row r="1880">
      <c r="A1880" s="73" t="n"/>
      <c r="B1880" s="74" t="n"/>
      <c r="C1880" s="74" t="n"/>
      <c r="D1880" s="75">
        <f>IF($C1880="","",IFERROR(INDEX(CAT_TIPO,MATCH($C1880,CAT_NOME,0)),"Sem categoria"))</f>
        <v/>
      </c>
      <c r="E1880" s="75">
        <f>IF($C1880="","",IFERROR(INDEX(CAT_GRUPO,MATCH($C1880,CAT_NOME,0)),"Sem categoria"))</f>
        <v/>
      </c>
      <c r="F1880" s="76" t="n"/>
      <c r="G1880" s="74" t="n"/>
      <c r="H1880" s="74" t="n"/>
      <c r="I1880" s="74" t="n"/>
      <c r="J1880" s="77" t="n"/>
      <c r="K1880" s="77" t="n"/>
      <c r="L1880" s="74" t="n"/>
      <c r="M1880" s="74" t="n"/>
      <c r="O1880" s="78">
        <f>IF($A1880="","",YEAR($A1880)*100+MONTH($A1880))</f>
        <v/>
      </c>
      <c r="P1880" s="79">
        <f>IF(OR($F1880="",$D1880=""),"",IF($D1880="Receita",$F1880,IF($D1880="Transferência",0,-$F1880)))</f>
        <v/>
      </c>
    </row>
    <row r="1881">
      <c r="A1881" s="73" t="n"/>
      <c r="B1881" s="74" t="n"/>
      <c r="C1881" s="74" t="n"/>
      <c r="D1881" s="75">
        <f>IF($C1881="","",IFERROR(INDEX(CAT_TIPO,MATCH($C1881,CAT_NOME,0)),"Sem categoria"))</f>
        <v/>
      </c>
      <c r="E1881" s="75">
        <f>IF($C1881="","",IFERROR(INDEX(CAT_GRUPO,MATCH($C1881,CAT_NOME,0)),"Sem categoria"))</f>
        <v/>
      </c>
      <c r="F1881" s="76" t="n"/>
      <c r="G1881" s="74" t="n"/>
      <c r="H1881" s="74" t="n"/>
      <c r="I1881" s="74" t="n"/>
      <c r="J1881" s="77" t="n"/>
      <c r="K1881" s="77" t="n"/>
      <c r="L1881" s="74" t="n"/>
      <c r="M1881" s="74" t="n"/>
      <c r="O1881" s="78">
        <f>IF($A1881="","",YEAR($A1881)*100+MONTH($A1881))</f>
        <v/>
      </c>
      <c r="P1881" s="79">
        <f>IF(OR($F1881="",$D1881=""),"",IF($D1881="Receita",$F1881,IF($D1881="Transferência",0,-$F1881)))</f>
        <v/>
      </c>
    </row>
    <row r="1882">
      <c r="A1882" s="73" t="n"/>
      <c r="B1882" s="74" t="n"/>
      <c r="C1882" s="74" t="n"/>
      <c r="D1882" s="75">
        <f>IF($C1882="","",IFERROR(INDEX(CAT_TIPO,MATCH($C1882,CAT_NOME,0)),"Sem categoria"))</f>
        <v/>
      </c>
      <c r="E1882" s="75">
        <f>IF($C1882="","",IFERROR(INDEX(CAT_GRUPO,MATCH($C1882,CAT_NOME,0)),"Sem categoria"))</f>
        <v/>
      </c>
      <c r="F1882" s="76" t="n"/>
      <c r="G1882" s="74" t="n"/>
      <c r="H1882" s="74" t="n"/>
      <c r="I1882" s="74" t="n"/>
      <c r="J1882" s="77" t="n"/>
      <c r="K1882" s="77" t="n"/>
      <c r="L1882" s="74" t="n"/>
      <c r="M1882" s="74" t="n"/>
      <c r="O1882" s="78">
        <f>IF($A1882="","",YEAR($A1882)*100+MONTH($A1882))</f>
        <v/>
      </c>
      <c r="P1882" s="79">
        <f>IF(OR($F1882="",$D1882=""),"",IF($D1882="Receita",$F1882,IF($D1882="Transferência",0,-$F1882)))</f>
        <v/>
      </c>
    </row>
    <row r="1883">
      <c r="A1883" s="73" t="n"/>
      <c r="B1883" s="74" t="n"/>
      <c r="C1883" s="74" t="n"/>
      <c r="D1883" s="75">
        <f>IF($C1883="","",IFERROR(INDEX(CAT_TIPO,MATCH($C1883,CAT_NOME,0)),"Sem categoria"))</f>
        <v/>
      </c>
      <c r="E1883" s="75">
        <f>IF($C1883="","",IFERROR(INDEX(CAT_GRUPO,MATCH($C1883,CAT_NOME,0)),"Sem categoria"))</f>
        <v/>
      </c>
      <c r="F1883" s="76" t="n"/>
      <c r="G1883" s="74" t="n"/>
      <c r="H1883" s="74" t="n"/>
      <c r="I1883" s="74" t="n"/>
      <c r="J1883" s="77" t="n"/>
      <c r="K1883" s="77" t="n"/>
      <c r="L1883" s="74" t="n"/>
      <c r="M1883" s="74" t="n"/>
      <c r="O1883" s="78">
        <f>IF($A1883="","",YEAR($A1883)*100+MONTH($A1883))</f>
        <v/>
      </c>
      <c r="P1883" s="79">
        <f>IF(OR($F1883="",$D1883=""),"",IF($D1883="Receita",$F1883,IF($D1883="Transferência",0,-$F1883)))</f>
        <v/>
      </c>
    </row>
    <row r="1884">
      <c r="A1884" s="73" t="n"/>
      <c r="B1884" s="74" t="n"/>
      <c r="C1884" s="74" t="n"/>
      <c r="D1884" s="75">
        <f>IF($C1884="","",IFERROR(INDEX(CAT_TIPO,MATCH($C1884,CAT_NOME,0)),"Sem categoria"))</f>
        <v/>
      </c>
      <c r="E1884" s="75">
        <f>IF($C1884="","",IFERROR(INDEX(CAT_GRUPO,MATCH($C1884,CAT_NOME,0)),"Sem categoria"))</f>
        <v/>
      </c>
      <c r="F1884" s="76" t="n"/>
      <c r="G1884" s="74" t="n"/>
      <c r="H1884" s="74" t="n"/>
      <c r="I1884" s="74" t="n"/>
      <c r="J1884" s="77" t="n"/>
      <c r="K1884" s="77" t="n"/>
      <c r="L1884" s="74" t="n"/>
      <c r="M1884" s="74" t="n"/>
      <c r="O1884" s="78">
        <f>IF($A1884="","",YEAR($A1884)*100+MONTH($A1884))</f>
        <v/>
      </c>
      <c r="P1884" s="79">
        <f>IF(OR($F1884="",$D1884=""),"",IF($D1884="Receita",$F1884,IF($D1884="Transferência",0,-$F1884)))</f>
        <v/>
      </c>
    </row>
    <row r="1885">
      <c r="A1885" s="73" t="n"/>
      <c r="B1885" s="74" t="n"/>
      <c r="C1885" s="74" t="n"/>
      <c r="D1885" s="75">
        <f>IF($C1885="","",IFERROR(INDEX(CAT_TIPO,MATCH($C1885,CAT_NOME,0)),"Sem categoria"))</f>
        <v/>
      </c>
      <c r="E1885" s="75">
        <f>IF($C1885="","",IFERROR(INDEX(CAT_GRUPO,MATCH($C1885,CAT_NOME,0)),"Sem categoria"))</f>
        <v/>
      </c>
      <c r="F1885" s="76" t="n"/>
      <c r="G1885" s="74" t="n"/>
      <c r="H1885" s="74" t="n"/>
      <c r="I1885" s="74" t="n"/>
      <c r="J1885" s="77" t="n"/>
      <c r="K1885" s="77" t="n"/>
      <c r="L1885" s="74" t="n"/>
      <c r="M1885" s="74" t="n"/>
      <c r="O1885" s="78">
        <f>IF($A1885="","",YEAR($A1885)*100+MONTH($A1885))</f>
        <v/>
      </c>
      <c r="P1885" s="79">
        <f>IF(OR($F1885="",$D1885=""),"",IF($D1885="Receita",$F1885,IF($D1885="Transferência",0,-$F1885)))</f>
        <v/>
      </c>
    </row>
    <row r="1886">
      <c r="A1886" s="73" t="n"/>
      <c r="B1886" s="74" t="n"/>
      <c r="C1886" s="74" t="n"/>
      <c r="D1886" s="75">
        <f>IF($C1886="","",IFERROR(INDEX(CAT_TIPO,MATCH($C1886,CAT_NOME,0)),"Sem categoria"))</f>
        <v/>
      </c>
      <c r="E1886" s="75">
        <f>IF($C1886="","",IFERROR(INDEX(CAT_GRUPO,MATCH($C1886,CAT_NOME,0)),"Sem categoria"))</f>
        <v/>
      </c>
      <c r="F1886" s="76" t="n"/>
      <c r="G1886" s="74" t="n"/>
      <c r="H1886" s="74" t="n"/>
      <c r="I1886" s="74" t="n"/>
      <c r="J1886" s="77" t="n"/>
      <c r="K1886" s="77" t="n"/>
      <c r="L1886" s="74" t="n"/>
      <c r="M1886" s="74" t="n"/>
      <c r="O1886" s="78">
        <f>IF($A1886="","",YEAR($A1886)*100+MONTH($A1886))</f>
        <v/>
      </c>
      <c r="P1886" s="79">
        <f>IF(OR($F1886="",$D1886=""),"",IF($D1886="Receita",$F1886,IF($D1886="Transferência",0,-$F1886)))</f>
        <v/>
      </c>
    </row>
    <row r="1887">
      <c r="A1887" s="73" t="n"/>
      <c r="B1887" s="74" t="n"/>
      <c r="C1887" s="74" t="n"/>
      <c r="D1887" s="75">
        <f>IF($C1887="","",IFERROR(INDEX(CAT_TIPO,MATCH($C1887,CAT_NOME,0)),"Sem categoria"))</f>
        <v/>
      </c>
      <c r="E1887" s="75">
        <f>IF($C1887="","",IFERROR(INDEX(CAT_GRUPO,MATCH($C1887,CAT_NOME,0)),"Sem categoria"))</f>
        <v/>
      </c>
      <c r="F1887" s="76" t="n"/>
      <c r="G1887" s="74" t="n"/>
      <c r="H1887" s="74" t="n"/>
      <c r="I1887" s="74" t="n"/>
      <c r="J1887" s="77" t="n"/>
      <c r="K1887" s="77" t="n"/>
      <c r="L1887" s="74" t="n"/>
      <c r="M1887" s="74" t="n"/>
      <c r="O1887" s="78">
        <f>IF($A1887="","",YEAR($A1887)*100+MONTH($A1887))</f>
        <v/>
      </c>
      <c r="P1887" s="79">
        <f>IF(OR($F1887="",$D1887=""),"",IF($D1887="Receita",$F1887,IF($D1887="Transferência",0,-$F1887)))</f>
        <v/>
      </c>
    </row>
    <row r="1888">
      <c r="A1888" s="73" t="n"/>
      <c r="B1888" s="74" t="n"/>
      <c r="C1888" s="74" t="n"/>
      <c r="D1888" s="75">
        <f>IF($C1888="","",IFERROR(INDEX(CAT_TIPO,MATCH($C1888,CAT_NOME,0)),"Sem categoria"))</f>
        <v/>
      </c>
      <c r="E1888" s="75">
        <f>IF($C1888="","",IFERROR(INDEX(CAT_GRUPO,MATCH($C1888,CAT_NOME,0)),"Sem categoria"))</f>
        <v/>
      </c>
      <c r="F1888" s="76" t="n"/>
      <c r="G1888" s="74" t="n"/>
      <c r="H1888" s="74" t="n"/>
      <c r="I1888" s="74" t="n"/>
      <c r="J1888" s="77" t="n"/>
      <c r="K1888" s="77" t="n"/>
      <c r="L1888" s="74" t="n"/>
      <c r="M1888" s="74" t="n"/>
      <c r="O1888" s="78">
        <f>IF($A1888="","",YEAR($A1888)*100+MONTH($A1888))</f>
        <v/>
      </c>
      <c r="P1888" s="79">
        <f>IF(OR($F1888="",$D1888=""),"",IF($D1888="Receita",$F1888,IF($D1888="Transferência",0,-$F1888)))</f>
        <v/>
      </c>
    </row>
    <row r="1889">
      <c r="A1889" s="73" t="n"/>
      <c r="B1889" s="74" t="n"/>
      <c r="C1889" s="74" t="n"/>
      <c r="D1889" s="75">
        <f>IF($C1889="","",IFERROR(INDEX(CAT_TIPO,MATCH($C1889,CAT_NOME,0)),"Sem categoria"))</f>
        <v/>
      </c>
      <c r="E1889" s="75">
        <f>IF($C1889="","",IFERROR(INDEX(CAT_GRUPO,MATCH($C1889,CAT_NOME,0)),"Sem categoria"))</f>
        <v/>
      </c>
      <c r="F1889" s="76" t="n"/>
      <c r="G1889" s="74" t="n"/>
      <c r="H1889" s="74" t="n"/>
      <c r="I1889" s="74" t="n"/>
      <c r="J1889" s="77" t="n"/>
      <c r="K1889" s="77" t="n"/>
      <c r="L1889" s="74" t="n"/>
      <c r="M1889" s="74" t="n"/>
      <c r="O1889" s="78">
        <f>IF($A1889="","",YEAR($A1889)*100+MONTH($A1889))</f>
        <v/>
      </c>
      <c r="P1889" s="79">
        <f>IF(OR($F1889="",$D1889=""),"",IF($D1889="Receita",$F1889,IF($D1889="Transferência",0,-$F1889)))</f>
        <v/>
      </c>
    </row>
    <row r="1890">
      <c r="A1890" s="73" t="n"/>
      <c r="B1890" s="74" t="n"/>
      <c r="C1890" s="74" t="n"/>
      <c r="D1890" s="75">
        <f>IF($C1890="","",IFERROR(INDEX(CAT_TIPO,MATCH($C1890,CAT_NOME,0)),"Sem categoria"))</f>
        <v/>
      </c>
      <c r="E1890" s="75">
        <f>IF($C1890="","",IFERROR(INDEX(CAT_GRUPO,MATCH($C1890,CAT_NOME,0)),"Sem categoria"))</f>
        <v/>
      </c>
      <c r="F1890" s="76" t="n"/>
      <c r="G1890" s="74" t="n"/>
      <c r="H1890" s="74" t="n"/>
      <c r="I1890" s="74" t="n"/>
      <c r="J1890" s="77" t="n"/>
      <c r="K1890" s="77" t="n"/>
      <c r="L1890" s="74" t="n"/>
      <c r="M1890" s="74" t="n"/>
      <c r="O1890" s="78">
        <f>IF($A1890="","",YEAR($A1890)*100+MONTH($A1890))</f>
        <v/>
      </c>
      <c r="P1890" s="79">
        <f>IF(OR($F1890="",$D1890=""),"",IF($D1890="Receita",$F1890,IF($D1890="Transferência",0,-$F1890)))</f>
        <v/>
      </c>
    </row>
    <row r="1891">
      <c r="A1891" s="73" t="n"/>
      <c r="B1891" s="74" t="n"/>
      <c r="C1891" s="74" t="n"/>
      <c r="D1891" s="75">
        <f>IF($C1891="","",IFERROR(INDEX(CAT_TIPO,MATCH($C1891,CAT_NOME,0)),"Sem categoria"))</f>
        <v/>
      </c>
      <c r="E1891" s="75">
        <f>IF($C1891="","",IFERROR(INDEX(CAT_GRUPO,MATCH($C1891,CAT_NOME,0)),"Sem categoria"))</f>
        <v/>
      </c>
      <c r="F1891" s="76" t="n"/>
      <c r="G1891" s="74" t="n"/>
      <c r="H1891" s="74" t="n"/>
      <c r="I1891" s="74" t="n"/>
      <c r="J1891" s="77" t="n"/>
      <c r="K1891" s="77" t="n"/>
      <c r="L1891" s="74" t="n"/>
      <c r="M1891" s="74" t="n"/>
      <c r="O1891" s="78">
        <f>IF($A1891="","",YEAR($A1891)*100+MONTH($A1891))</f>
        <v/>
      </c>
      <c r="P1891" s="79">
        <f>IF(OR($F1891="",$D1891=""),"",IF($D1891="Receita",$F1891,IF($D1891="Transferência",0,-$F1891)))</f>
        <v/>
      </c>
    </row>
    <row r="1892">
      <c r="A1892" s="73" t="n"/>
      <c r="B1892" s="74" t="n"/>
      <c r="C1892" s="74" t="n"/>
      <c r="D1892" s="75">
        <f>IF($C1892="","",IFERROR(INDEX(CAT_TIPO,MATCH($C1892,CAT_NOME,0)),"Sem categoria"))</f>
        <v/>
      </c>
      <c r="E1892" s="75">
        <f>IF($C1892="","",IFERROR(INDEX(CAT_GRUPO,MATCH($C1892,CAT_NOME,0)),"Sem categoria"))</f>
        <v/>
      </c>
      <c r="F1892" s="76" t="n"/>
      <c r="G1892" s="74" t="n"/>
      <c r="H1892" s="74" t="n"/>
      <c r="I1892" s="74" t="n"/>
      <c r="J1892" s="77" t="n"/>
      <c r="K1892" s="77" t="n"/>
      <c r="L1892" s="74" t="n"/>
      <c r="M1892" s="74" t="n"/>
      <c r="O1892" s="78">
        <f>IF($A1892="","",YEAR($A1892)*100+MONTH($A1892))</f>
        <v/>
      </c>
      <c r="P1892" s="79">
        <f>IF(OR($F1892="",$D1892=""),"",IF($D1892="Receita",$F1892,IF($D1892="Transferência",0,-$F1892)))</f>
        <v/>
      </c>
    </row>
    <row r="1893">
      <c r="A1893" s="73" t="n"/>
      <c r="B1893" s="74" t="n"/>
      <c r="C1893" s="74" t="n"/>
      <c r="D1893" s="75">
        <f>IF($C1893="","",IFERROR(INDEX(CAT_TIPO,MATCH($C1893,CAT_NOME,0)),"Sem categoria"))</f>
        <v/>
      </c>
      <c r="E1893" s="75">
        <f>IF($C1893="","",IFERROR(INDEX(CAT_GRUPO,MATCH($C1893,CAT_NOME,0)),"Sem categoria"))</f>
        <v/>
      </c>
      <c r="F1893" s="76" t="n"/>
      <c r="G1893" s="74" t="n"/>
      <c r="H1893" s="74" t="n"/>
      <c r="I1893" s="74" t="n"/>
      <c r="J1893" s="77" t="n"/>
      <c r="K1893" s="77" t="n"/>
      <c r="L1893" s="74" t="n"/>
      <c r="M1893" s="74" t="n"/>
      <c r="O1893" s="78">
        <f>IF($A1893="","",YEAR($A1893)*100+MONTH($A1893))</f>
        <v/>
      </c>
      <c r="P1893" s="79">
        <f>IF(OR($F1893="",$D1893=""),"",IF($D1893="Receita",$F1893,IF($D1893="Transferência",0,-$F1893)))</f>
        <v/>
      </c>
    </row>
    <row r="1894">
      <c r="A1894" s="73" t="n"/>
      <c r="B1894" s="74" t="n"/>
      <c r="C1894" s="74" t="n"/>
      <c r="D1894" s="75">
        <f>IF($C1894="","",IFERROR(INDEX(CAT_TIPO,MATCH($C1894,CAT_NOME,0)),"Sem categoria"))</f>
        <v/>
      </c>
      <c r="E1894" s="75">
        <f>IF($C1894="","",IFERROR(INDEX(CAT_GRUPO,MATCH($C1894,CAT_NOME,0)),"Sem categoria"))</f>
        <v/>
      </c>
      <c r="F1894" s="76" t="n"/>
      <c r="G1894" s="74" t="n"/>
      <c r="H1894" s="74" t="n"/>
      <c r="I1894" s="74" t="n"/>
      <c r="J1894" s="77" t="n"/>
      <c r="K1894" s="77" t="n"/>
      <c r="L1894" s="74" t="n"/>
      <c r="M1894" s="74" t="n"/>
      <c r="O1894" s="78">
        <f>IF($A1894="","",YEAR($A1894)*100+MONTH($A1894))</f>
        <v/>
      </c>
      <c r="P1894" s="79">
        <f>IF(OR($F1894="",$D1894=""),"",IF($D1894="Receita",$F1894,IF($D1894="Transferência",0,-$F1894)))</f>
        <v/>
      </c>
    </row>
    <row r="1895">
      <c r="A1895" s="73" t="n"/>
      <c r="B1895" s="74" t="n"/>
      <c r="C1895" s="74" t="n"/>
      <c r="D1895" s="75">
        <f>IF($C1895="","",IFERROR(INDEX(CAT_TIPO,MATCH($C1895,CAT_NOME,0)),"Sem categoria"))</f>
        <v/>
      </c>
      <c r="E1895" s="75">
        <f>IF($C1895="","",IFERROR(INDEX(CAT_GRUPO,MATCH($C1895,CAT_NOME,0)),"Sem categoria"))</f>
        <v/>
      </c>
      <c r="F1895" s="76" t="n"/>
      <c r="G1895" s="74" t="n"/>
      <c r="H1895" s="74" t="n"/>
      <c r="I1895" s="74" t="n"/>
      <c r="J1895" s="77" t="n"/>
      <c r="K1895" s="77" t="n"/>
      <c r="L1895" s="74" t="n"/>
      <c r="M1895" s="74" t="n"/>
      <c r="O1895" s="78">
        <f>IF($A1895="","",YEAR($A1895)*100+MONTH($A1895))</f>
        <v/>
      </c>
      <c r="P1895" s="79">
        <f>IF(OR($F1895="",$D1895=""),"",IF($D1895="Receita",$F1895,IF($D1895="Transferência",0,-$F1895)))</f>
        <v/>
      </c>
    </row>
    <row r="1896">
      <c r="A1896" s="73" t="n"/>
      <c r="B1896" s="74" t="n"/>
      <c r="C1896" s="74" t="n"/>
      <c r="D1896" s="75">
        <f>IF($C1896="","",IFERROR(INDEX(CAT_TIPO,MATCH($C1896,CAT_NOME,0)),"Sem categoria"))</f>
        <v/>
      </c>
      <c r="E1896" s="75">
        <f>IF($C1896="","",IFERROR(INDEX(CAT_GRUPO,MATCH($C1896,CAT_NOME,0)),"Sem categoria"))</f>
        <v/>
      </c>
      <c r="F1896" s="76" t="n"/>
      <c r="G1896" s="74" t="n"/>
      <c r="H1896" s="74" t="n"/>
      <c r="I1896" s="74" t="n"/>
      <c r="J1896" s="77" t="n"/>
      <c r="K1896" s="77" t="n"/>
      <c r="L1896" s="74" t="n"/>
      <c r="M1896" s="74" t="n"/>
      <c r="O1896" s="78">
        <f>IF($A1896="","",YEAR($A1896)*100+MONTH($A1896))</f>
        <v/>
      </c>
      <c r="P1896" s="79">
        <f>IF(OR($F1896="",$D1896=""),"",IF($D1896="Receita",$F1896,IF($D1896="Transferência",0,-$F1896)))</f>
        <v/>
      </c>
    </row>
    <row r="1897">
      <c r="A1897" s="73" t="n"/>
      <c r="B1897" s="74" t="n"/>
      <c r="C1897" s="74" t="n"/>
      <c r="D1897" s="75">
        <f>IF($C1897="","",IFERROR(INDEX(CAT_TIPO,MATCH($C1897,CAT_NOME,0)),"Sem categoria"))</f>
        <v/>
      </c>
      <c r="E1897" s="75">
        <f>IF($C1897="","",IFERROR(INDEX(CAT_GRUPO,MATCH($C1897,CAT_NOME,0)),"Sem categoria"))</f>
        <v/>
      </c>
      <c r="F1897" s="76" t="n"/>
      <c r="G1897" s="74" t="n"/>
      <c r="H1897" s="74" t="n"/>
      <c r="I1897" s="74" t="n"/>
      <c r="J1897" s="77" t="n"/>
      <c r="K1897" s="77" t="n"/>
      <c r="L1897" s="74" t="n"/>
      <c r="M1897" s="74" t="n"/>
      <c r="O1897" s="78">
        <f>IF($A1897="","",YEAR($A1897)*100+MONTH($A1897))</f>
        <v/>
      </c>
      <c r="P1897" s="79">
        <f>IF(OR($F1897="",$D1897=""),"",IF($D1897="Receita",$F1897,IF($D1897="Transferência",0,-$F1897)))</f>
        <v/>
      </c>
    </row>
    <row r="1898">
      <c r="A1898" s="73" t="n"/>
      <c r="B1898" s="74" t="n"/>
      <c r="C1898" s="74" t="n"/>
      <c r="D1898" s="75">
        <f>IF($C1898="","",IFERROR(INDEX(CAT_TIPO,MATCH($C1898,CAT_NOME,0)),"Sem categoria"))</f>
        <v/>
      </c>
      <c r="E1898" s="75">
        <f>IF($C1898="","",IFERROR(INDEX(CAT_GRUPO,MATCH($C1898,CAT_NOME,0)),"Sem categoria"))</f>
        <v/>
      </c>
      <c r="F1898" s="76" t="n"/>
      <c r="G1898" s="74" t="n"/>
      <c r="H1898" s="74" t="n"/>
      <c r="I1898" s="74" t="n"/>
      <c r="J1898" s="77" t="n"/>
      <c r="K1898" s="77" t="n"/>
      <c r="L1898" s="74" t="n"/>
      <c r="M1898" s="74" t="n"/>
      <c r="O1898" s="78">
        <f>IF($A1898="","",YEAR($A1898)*100+MONTH($A1898))</f>
        <v/>
      </c>
      <c r="P1898" s="79">
        <f>IF(OR($F1898="",$D1898=""),"",IF($D1898="Receita",$F1898,IF($D1898="Transferência",0,-$F1898)))</f>
        <v/>
      </c>
    </row>
    <row r="1899">
      <c r="A1899" s="73" t="n"/>
      <c r="B1899" s="74" t="n"/>
      <c r="C1899" s="74" t="n"/>
      <c r="D1899" s="75">
        <f>IF($C1899="","",IFERROR(INDEX(CAT_TIPO,MATCH($C1899,CAT_NOME,0)),"Sem categoria"))</f>
        <v/>
      </c>
      <c r="E1899" s="75">
        <f>IF($C1899="","",IFERROR(INDEX(CAT_GRUPO,MATCH($C1899,CAT_NOME,0)),"Sem categoria"))</f>
        <v/>
      </c>
      <c r="F1899" s="76" t="n"/>
      <c r="G1899" s="74" t="n"/>
      <c r="H1899" s="74" t="n"/>
      <c r="I1899" s="74" t="n"/>
      <c r="J1899" s="77" t="n"/>
      <c r="K1899" s="77" t="n"/>
      <c r="L1899" s="74" t="n"/>
      <c r="M1899" s="74" t="n"/>
      <c r="O1899" s="78">
        <f>IF($A1899="","",YEAR($A1899)*100+MONTH($A1899))</f>
        <v/>
      </c>
      <c r="P1899" s="79">
        <f>IF(OR($F1899="",$D1899=""),"",IF($D1899="Receita",$F1899,IF($D1899="Transferência",0,-$F1899)))</f>
        <v/>
      </c>
    </row>
    <row r="1900">
      <c r="A1900" s="73" t="n"/>
      <c r="B1900" s="74" t="n"/>
      <c r="C1900" s="74" t="n"/>
      <c r="D1900" s="75">
        <f>IF($C1900="","",IFERROR(INDEX(CAT_TIPO,MATCH($C1900,CAT_NOME,0)),"Sem categoria"))</f>
        <v/>
      </c>
      <c r="E1900" s="75">
        <f>IF($C1900="","",IFERROR(INDEX(CAT_GRUPO,MATCH($C1900,CAT_NOME,0)),"Sem categoria"))</f>
        <v/>
      </c>
      <c r="F1900" s="76" t="n"/>
      <c r="G1900" s="74" t="n"/>
      <c r="H1900" s="74" t="n"/>
      <c r="I1900" s="74" t="n"/>
      <c r="J1900" s="77" t="n"/>
      <c r="K1900" s="77" t="n"/>
      <c r="L1900" s="74" t="n"/>
      <c r="M1900" s="74" t="n"/>
      <c r="O1900" s="78">
        <f>IF($A1900="","",YEAR($A1900)*100+MONTH($A1900))</f>
        <v/>
      </c>
      <c r="P1900" s="79">
        <f>IF(OR($F1900="",$D1900=""),"",IF($D1900="Receita",$F1900,IF($D1900="Transferência",0,-$F1900)))</f>
        <v/>
      </c>
    </row>
    <row r="1901">
      <c r="A1901" s="73" t="n"/>
      <c r="B1901" s="74" t="n"/>
      <c r="C1901" s="74" t="n"/>
      <c r="D1901" s="75">
        <f>IF($C1901="","",IFERROR(INDEX(CAT_TIPO,MATCH($C1901,CAT_NOME,0)),"Sem categoria"))</f>
        <v/>
      </c>
      <c r="E1901" s="75">
        <f>IF($C1901="","",IFERROR(INDEX(CAT_GRUPO,MATCH($C1901,CAT_NOME,0)),"Sem categoria"))</f>
        <v/>
      </c>
      <c r="F1901" s="76" t="n"/>
      <c r="G1901" s="74" t="n"/>
      <c r="H1901" s="74" t="n"/>
      <c r="I1901" s="74" t="n"/>
      <c r="J1901" s="77" t="n"/>
      <c r="K1901" s="77" t="n"/>
      <c r="L1901" s="74" t="n"/>
      <c r="M1901" s="74" t="n"/>
      <c r="O1901" s="78">
        <f>IF($A1901="","",YEAR($A1901)*100+MONTH($A1901))</f>
        <v/>
      </c>
      <c r="P1901" s="79">
        <f>IF(OR($F1901="",$D1901=""),"",IF($D1901="Receita",$F1901,IF($D1901="Transferência",0,-$F1901)))</f>
        <v/>
      </c>
    </row>
    <row r="1902">
      <c r="A1902" s="73" t="n"/>
      <c r="B1902" s="74" t="n"/>
      <c r="C1902" s="74" t="n"/>
      <c r="D1902" s="75">
        <f>IF($C1902="","",IFERROR(INDEX(CAT_TIPO,MATCH($C1902,CAT_NOME,0)),"Sem categoria"))</f>
        <v/>
      </c>
      <c r="E1902" s="75">
        <f>IF($C1902="","",IFERROR(INDEX(CAT_GRUPO,MATCH($C1902,CAT_NOME,0)),"Sem categoria"))</f>
        <v/>
      </c>
      <c r="F1902" s="76" t="n"/>
      <c r="G1902" s="74" t="n"/>
      <c r="H1902" s="74" t="n"/>
      <c r="I1902" s="74" t="n"/>
      <c r="J1902" s="77" t="n"/>
      <c r="K1902" s="77" t="n"/>
      <c r="L1902" s="74" t="n"/>
      <c r="M1902" s="74" t="n"/>
      <c r="O1902" s="78">
        <f>IF($A1902="","",YEAR($A1902)*100+MONTH($A1902))</f>
        <v/>
      </c>
      <c r="P1902" s="79">
        <f>IF(OR($F1902="",$D1902=""),"",IF($D1902="Receita",$F1902,IF($D1902="Transferência",0,-$F1902)))</f>
        <v/>
      </c>
    </row>
    <row r="1903">
      <c r="A1903" s="73" t="n"/>
      <c r="B1903" s="74" t="n"/>
      <c r="C1903" s="74" t="n"/>
      <c r="D1903" s="75">
        <f>IF($C1903="","",IFERROR(INDEX(CAT_TIPO,MATCH($C1903,CAT_NOME,0)),"Sem categoria"))</f>
        <v/>
      </c>
      <c r="E1903" s="75">
        <f>IF($C1903="","",IFERROR(INDEX(CAT_GRUPO,MATCH($C1903,CAT_NOME,0)),"Sem categoria"))</f>
        <v/>
      </c>
      <c r="F1903" s="76" t="n"/>
      <c r="G1903" s="74" t="n"/>
      <c r="H1903" s="74" t="n"/>
      <c r="I1903" s="74" t="n"/>
      <c r="J1903" s="77" t="n"/>
      <c r="K1903" s="77" t="n"/>
      <c r="L1903" s="74" t="n"/>
      <c r="M1903" s="74" t="n"/>
      <c r="O1903" s="78">
        <f>IF($A1903="","",YEAR($A1903)*100+MONTH($A1903))</f>
        <v/>
      </c>
      <c r="P1903" s="79">
        <f>IF(OR($F1903="",$D1903=""),"",IF($D1903="Receita",$F1903,IF($D1903="Transferência",0,-$F1903)))</f>
        <v/>
      </c>
    </row>
    <row r="1904">
      <c r="A1904" s="73" t="n"/>
      <c r="B1904" s="74" t="n"/>
      <c r="C1904" s="74" t="n"/>
      <c r="D1904" s="75">
        <f>IF($C1904="","",IFERROR(INDEX(CAT_TIPO,MATCH($C1904,CAT_NOME,0)),"Sem categoria"))</f>
        <v/>
      </c>
      <c r="E1904" s="75">
        <f>IF($C1904="","",IFERROR(INDEX(CAT_GRUPO,MATCH($C1904,CAT_NOME,0)),"Sem categoria"))</f>
        <v/>
      </c>
      <c r="F1904" s="76" t="n"/>
      <c r="G1904" s="74" t="n"/>
      <c r="H1904" s="74" t="n"/>
      <c r="I1904" s="74" t="n"/>
      <c r="J1904" s="77" t="n"/>
      <c r="K1904" s="77" t="n"/>
      <c r="L1904" s="74" t="n"/>
      <c r="M1904" s="74" t="n"/>
      <c r="O1904" s="78">
        <f>IF($A1904="","",YEAR($A1904)*100+MONTH($A1904))</f>
        <v/>
      </c>
      <c r="P1904" s="79">
        <f>IF(OR($F1904="",$D1904=""),"",IF($D1904="Receita",$F1904,IF($D1904="Transferência",0,-$F1904)))</f>
        <v/>
      </c>
    </row>
    <row r="1905">
      <c r="A1905" s="73" t="n"/>
      <c r="B1905" s="74" t="n"/>
      <c r="C1905" s="74" t="n"/>
      <c r="D1905" s="75">
        <f>IF($C1905="","",IFERROR(INDEX(CAT_TIPO,MATCH($C1905,CAT_NOME,0)),"Sem categoria"))</f>
        <v/>
      </c>
      <c r="E1905" s="75">
        <f>IF($C1905="","",IFERROR(INDEX(CAT_GRUPO,MATCH($C1905,CAT_NOME,0)),"Sem categoria"))</f>
        <v/>
      </c>
      <c r="F1905" s="76" t="n"/>
      <c r="G1905" s="74" t="n"/>
      <c r="H1905" s="74" t="n"/>
      <c r="I1905" s="74" t="n"/>
      <c r="J1905" s="77" t="n"/>
      <c r="K1905" s="77" t="n"/>
      <c r="L1905" s="74" t="n"/>
      <c r="M1905" s="74" t="n"/>
      <c r="O1905" s="78">
        <f>IF($A1905="","",YEAR($A1905)*100+MONTH($A1905))</f>
        <v/>
      </c>
      <c r="P1905" s="79">
        <f>IF(OR($F1905="",$D1905=""),"",IF($D1905="Receita",$F1905,IF($D1905="Transferência",0,-$F1905)))</f>
        <v/>
      </c>
    </row>
    <row r="1906">
      <c r="A1906" s="73" t="n"/>
      <c r="B1906" s="74" t="n"/>
      <c r="C1906" s="74" t="n"/>
      <c r="D1906" s="75">
        <f>IF($C1906="","",IFERROR(INDEX(CAT_TIPO,MATCH($C1906,CAT_NOME,0)),"Sem categoria"))</f>
        <v/>
      </c>
      <c r="E1906" s="75">
        <f>IF($C1906="","",IFERROR(INDEX(CAT_GRUPO,MATCH($C1906,CAT_NOME,0)),"Sem categoria"))</f>
        <v/>
      </c>
      <c r="F1906" s="76" t="n"/>
      <c r="G1906" s="74" t="n"/>
      <c r="H1906" s="74" t="n"/>
      <c r="I1906" s="74" t="n"/>
      <c r="J1906" s="77" t="n"/>
      <c r="K1906" s="77" t="n"/>
      <c r="L1906" s="74" t="n"/>
      <c r="M1906" s="74" t="n"/>
      <c r="O1906" s="78">
        <f>IF($A1906="","",YEAR($A1906)*100+MONTH($A1906))</f>
        <v/>
      </c>
      <c r="P1906" s="79">
        <f>IF(OR($F1906="",$D1906=""),"",IF($D1906="Receita",$F1906,IF($D1906="Transferência",0,-$F1906)))</f>
        <v/>
      </c>
    </row>
    <row r="1907">
      <c r="A1907" s="73" t="n"/>
      <c r="B1907" s="74" t="n"/>
      <c r="C1907" s="74" t="n"/>
      <c r="D1907" s="75">
        <f>IF($C1907="","",IFERROR(INDEX(CAT_TIPO,MATCH($C1907,CAT_NOME,0)),"Sem categoria"))</f>
        <v/>
      </c>
      <c r="E1907" s="75">
        <f>IF($C1907="","",IFERROR(INDEX(CAT_GRUPO,MATCH($C1907,CAT_NOME,0)),"Sem categoria"))</f>
        <v/>
      </c>
      <c r="F1907" s="76" t="n"/>
      <c r="G1907" s="74" t="n"/>
      <c r="H1907" s="74" t="n"/>
      <c r="I1907" s="74" t="n"/>
      <c r="J1907" s="77" t="n"/>
      <c r="K1907" s="77" t="n"/>
      <c r="L1907" s="74" t="n"/>
      <c r="M1907" s="74" t="n"/>
      <c r="O1907" s="78">
        <f>IF($A1907="","",YEAR($A1907)*100+MONTH($A1907))</f>
        <v/>
      </c>
      <c r="P1907" s="79">
        <f>IF(OR($F1907="",$D1907=""),"",IF($D1907="Receita",$F1907,IF($D1907="Transferência",0,-$F1907)))</f>
        <v/>
      </c>
    </row>
    <row r="1908">
      <c r="A1908" s="73" t="n"/>
      <c r="B1908" s="74" t="n"/>
      <c r="C1908" s="74" t="n"/>
      <c r="D1908" s="75">
        <f>IF($C1908="","",IFERROR(INDEX(CAT_TIPO,MATCH($C1908,CAT_NOME,0)),"Sem categoria"))</f>
        <v/>
      </c>
      <c r="E1908" s="75">
        <f>IF($C1908="","",IFERROR(INDEX(CAT_GRUPO,MATCH($C1908,CAT_NOME,0)),"Sem categoria"))</f>
        <v/>
      </c>
      <c r="F1908" s="76" t="n"/>
      <c r="G1908" s="74" t="n"/>
      <c r="H1908" s="74" t="n"/>
      <c r="I1908" s="74" t="n"/>
      <c r="J1908" s="77" t="n"/>
      <c r="K1908" s="77" t="n"/>
      <c r="L1908" s="74" t="n"/>
      <c r="M1908" s="74" t="n"/>
      <c r="O1908" s="78">
        <f>IF($A1908="","",YEAR($A1908)*100+MONTH($A1908))</f>
        <v/>
      </c>
      <c r="P1908" s="79">
        <f>IF(OR($F1908="",$D1908=""),"",IF($D1908="Receita",$F1908,IF($D1908="Transferência",0,-$F1908)))</f>
        <v/>
      </c>
    </row>
    <row r="1909">
      <c r="A1909" s="73" t="n"/>
      <c r="B1909" s="74" t="n"/>
      <c r="C1909" s="74" t="n"/>
      <c r="D1909" s="75">
        <f>IF($C1909="","",IFERROR(INDEX(CAT_TIPO,MATCH($C1909,CAT_NOME,0)),"Sem categoria"))</f>
        <v/>
      </c>
      <c r="E1909" s="75">
        <f>IF($C1909="","",IFERROR(INDEX(CAT_GRUPO,MATCH($C1909,CAT_NOME,0)),"Sem categoria"))</f>
        <v/>
      </c>
      <c r="F1909" s="76" t="n"/>
      <c r="G1909" s="74" t="n"/>
      <c r="H1909" s="74" t="n"/>
      <c r="I1909" s="74" t="n"/>
      <c r="J1909" s="77" t="n"/>
      <c r="K1909" s="77" t="n"/>
      <c r="L1909" s="74" t="n"/>
      <c r="M1909" s="74" t="n"/>
      <c r="O1909" s="78">
        <f>IF($A1909="","",YEAR($A1909)*100+MONTH($A1909))</f>
        <v/>
      </c>
      <c r="P1909" s="79">
        <f>IF(OR($F1909="",$D1909=""),"",IF($D1909="Receita",$F1909,IF($D1909="Transferência",0,-$F1909)))</f>
        <v/>
      </c>
    </row>
    <row r="1910">
      <c r="A1910" s="73" t="n"/>
      <c r="B1910" s="74" t="n"/>
      <c r="C1910" s="74" t="n"/>
      <c r="D1910" s="75">
        <f>IF($C1910="","",IFERROR(INDEX(CAT_TIPO,MATCH($C1910,CAT_NOME,0)),"Sem categoria"))</f>
        <v/>
      </c>
      <c r="E1910" s="75">
        <f>IF($C1910="","",IFERROR(INDEX(CAT_GRUPO,MATCH($C1910,CAT_NOME,0)),"Sem categoria"))</f>
        <v/>
      </c>
      <c r="F1910" s="76" t="n"/>
      <c r="G1910" s="74" t="n"/>
      <c r="H1910" s="74" t="n"/>
      <c r="I1910" s="74" t="n"/>
      <c r="J1910" s="77" t="n"/>
      <c r="K1910" s="77" t="n"/>
      <c r="L1910" s="74" t="n"/>
      <c r="M1910" s="74" t="n"/>
      <c r="O1910" s="78">
        <f>IF($A1910="","",YEAR($A1910)*100+MONTH($A1910))</f>
        <v/>
      </c>
      <c r="P1910" s="79">
        <f>IF(OR($F1910="",$D1910=""),"",IF($D1910="Receita",$F1910,IF($D1910="Transferência",0,-$F1910)))</f>
        <v/>
      </c>
    </row>
    <row r="1911">
      <c r="A1911" s="73" t="n"/>
      <c r="B1911" s="74" t="n"/>
      <c r="C1911" s="74" t="n"/>
      <c r="D1911" s="75">
        <f>IF($C1911="","",IFERROR(INDEX(CAT_TIPO,MATCH($C1911,CAT_NOME,0)),"Sem categoria"))</f>
        <v/>
      </c>
      <c r="E1911" s="75">
        <f>IF($C1911="","",IFERROR(INDEX(CAT_GRUPO,MATCH($C1911,CAT_NOME,0)),"Sem categoria"))</f>
        <v/>
      </c>
      <c r="F1911" s="76" t="n"/>
      <c r="G1911" s="74" t="n"/>
      <c r="H1911" s="74" t="n"/>
      <c r="I1911" s="74" t="n"/>
      <c r="J1911" s="77" t="n"/>
      <c r="K1911" s="77" t="n"/>
      <c r="L1911" s="74" t="n"/>
      <c r="M1911" s="74" t="n"/>
      <c r="O1911" s="78">
        <f>IF($A1911="","",YEAR($A1911)*100+MONTH($A1911))</f>
        <v/>
      </c>
      <c r="P1911" s="79">
        <f>IF(OR($F1911="",$D1911=""),"",IF($D1911="Receita",$F1911,IF($D1911="Transferência",0,-$F1911)))</f>
        <v/>
      </c>
    </row>
    <row r="1912">
      <c r="A1912" s="73" t="n"/>
      <c r="B1912" s="74" t="n"/>
      <c r="C1912" s="74" t="n"/>
      <c r="D1912" s="75">
        <f>IF($C1912="","",IFERROR(INDEX(CAT_TIPO,MATCH($C1912,CAT_NOME,0)),"Sem categoria"))</f>
        <v/>
      </c>
      <c r="E1912" s="75">
        <f>IF($C1912="","",IFERROR(INDEX(CAT_GRUPO,MATCH($C1912,CAT_NOME,0)),"Sem categoria"))</f>
        <v/>
      </c>
      <c r="F1912" s="76" t="n"/>
      <c r="G1912" s="74" t="n"/>
      <c r="H1912" s="74" t="n"/>
      <c r="I1912" s="74" t="n"/>
      <c r="J1912" s="77" t="n"/>
      <c r="K1912" s="77" t="n"/>
      <c r="L1912" s="74" t="n"/>
      <c r="M1912" s="74" t="n"/>
      <c r="O1912" s="78">
        <f>IF($A1912="","",YEAR($A1912)*100+MONTH($A1912))</f>
        <v/>
      </c>
      <c r="P1912" s="79">
        <f>IF(OR($F1912="",$D1912=""),"",IF($D1912="Receita",$F1912,IF($D1912="Transferência",0,-$F1912)))</f>
        <v/>
      </c>
    </row>
    <row r="1913">
      <c r="A1913" s="73" t="n"/>
      <c r="B1913" s="74" t="n"/>
      <c r="C1913" s="74" t="n"/>
      <c r="D1913" s="75">
        <f>IF($C1913="","",IFERROR(INDEX(CAT_TIPO,MATCH($C1913,CAT_NOME,0)),"Sem categoria"))</f>
        <v/>
      </c>
      <c r="E1913" s="75">
        <f>IF($C1913="","",IFERROR(INDEX(CAT_GRUPO,MATCH($C1913,CAT_NOME,0)),"Sem categoria"))</f>
        <v/>
      </c>
      <c r="F1913" s="76" t="n"/>
      <c r="G1913" s="74" t="n"/>
      <c r="H1913" s="74" t="n"/>
      <c r="I1913" s="74" t="n"/>
      <c r="J1913" s="77" t="n"/>
      <c r="K1913" s="77" t="n"/>
      <c r="L1913" s="74" t="n"/>
      <c r="M1913" s="74" t="n"/>
      <c r="O1913" s="78">
        <f>IF($A1913="","",YEAR($A1913)*100+MONTH($A1913))</f>
        <v/>
      </c>
      <c r="P1913" s="79">
        <f>IF(OR($F1913="",$D1913=""),"",IF($D1913="Receita",$F1913,IF($D1913="Transferência",0,-$F1913)))</f>
        <v/>
      </c>
    </row>
    <row r="1914">
      <c r="A1914" s="73" t="n"/>
      <c r="B1914" s="74" t="n"/>
      <c r="C1914" s="74" t="n"/>
      <c r="D1914" s="75">
        <f>IF($C1914="","",IFERROR(INDEX(CAT_TIPO,MATCH($C1914,CAT_NOME,0)),"Sem categoria"))</f>
        <v/>
      </c>
      <c r="E1914" s="75">
        <f>IF($C1914="","",IFERROR(INDEX(CAT_GRUPO,MATCH($C1914,CAT_NOME,0)),"Sem categoria"))</f>
        <v/>
      </c>
      <c r="F1914" s="76" t="n"/>
      <c r="G1914" s="74" t="n"/>
      <c r="H1914" s="74" t="n"/>
      <c r="I1914" s="74" t="n"/>
      <c r="J1914" s="77" t="n"/>
      <c r="K1914" s="77" t="n"/>
      <c r="L1914" s="74" t="n"/>
      <c r="M1914" s="74" t="n"/>
      <c r="O1914" s="78">
        <f>IF($A1914="","",YEAR($A1914)*100+MONTH($A1914))</f>
        <v/>
      </c>
      <c r="P1914" s="79">
        <f>IF(OR($F1914="",$D1914=""),"",IF($D1914="Receita",$F1914,IF($D1914="Transferência",0,-$F1914)))</f>
        <v/>
      </c>
    </row>
    <row r="1915">
      <c r="A1915" s="73" t="n"/>
      <c r="B1915" s="74" t="n"/>
      <c r="C1915" s="74" t="n"/>
      <c r="D1915" s="75">
        <f>IF($C1915="","",IFERROR(INDEX(CAT_TIPO,MATCH($C1915,CAT_NOME,0)),"Sem categoria"))</f>
        <v/>
      </c>
      <c r="E1915" s="75">
        <f>IF($C1915="","",IFERROR(INDEX(CAT_GRUPO,MATCH($C1915,CAT_NOME,0)),"Sem categoria"))</f>
        <v/>
      </c>
      <c r="F1915" s="76" t="n"/>
      <c r="G1915" s="74" t="n"/>
      <c r="H1915" s="74" t="n"/>
      <c r="I1915" s="74" t="n"/>
      <c r="J1915" s="77" t="n"/>
      <c r="K1915" s="77" t="n"/>
      <c r="L1915" s="74" t="n"/>
      <c r="M1915" s="74" t="n"/>
      <c r="O1915" s="78">
        <f>IF($A1915="","",YEAR($A1915)*100+MONTH($A1915))</f>
        <v/>
      </c>
      <c r="P1915" s="79">
        <f>IF(OR($F1915="",$D1915=""),"",IF($D1915="Receita",$F1915,IF($D1915="Transferência",0,-$F1915)))</f>
        <v/>
      </c>
    </row>
    <row r="1916">
      <c r="A1916" s="73" t="n"/>
      <c r="B1916" s="74" t="n"/>
      <c r="C1916" s="74" t="n"/>
      <c r="D1916" s="75">
        <f>IF($C1916="","",IFERROR(INDEX(CAT_TIPO,MATCH($C1916,CAT_NOME,0)),"Sem categoria"))</f>
        <v/>
      </c>
      <c r="E1916" s="75">
        <f>IF($C1916="","",IFERROR(INDEX(CAT_GRUPO,MATCH($C1916,CAT_NOME,0)),"Sem categoria"))</f>
        <v/>
      </c>
      <c r="F1916" s="76" t="n"/>
      <c r="G1916" s="74" t="n"/>
      <c r="H1916" s="74" t="n"/>
      <c r="I1916" s="74" t="n"/>
      <c r="J1916" s="77" t="n"/>
      <c r="K1916" s="77" t="n"/>
      <c r="L1916" s="74" t="n"/>
      <c r="M1916" s="74" t="n"/>
      <c r="O1916" s="78">
        <f>IF($A1916="","",YEAR($A1916)*100+MONTH($A1916))</f>
        <v/>
      </c>
      <c r="P1916" s="79">
        <f>IF(OR($F1916="",$D1916=""),"",IF($D1916="Receita",$F1916,IF($D1916="Transferência",0,-$F1916)))</f>
        <v/>
      </c>
    </row>
    <row r="1917">
      <c r="A1917" s="73" t="n"/>
      <c r="B1917" s="74" t="n"/>
      <c r="C1917" s="74" t="n"/>
      <c r="D1917" s="75">
        <f>IF($C1917="","",IFERROR(INDEX(CAT_TIPO,MATCH($C1917,CAT_NOME,0)),"Sem categoria"))</f>
        <v/>
      </c>
      <c r="E1917" s="75">
        <f>IF($C1917="","",IFERROR(INDEX(CAT_GRUPO,MATCH($C1917,CAT_NOME,0)),"Sem categoria"))</f>
        <v/>
      </c>
      <c r="F1917" s="76" t="n"/>
      <c r="G1917" s="74" t="n"/>
      <c r="H1917" s="74" t="n"/>
      <c r="I1917" s="74" t="n"/>
      <c r="J1917" s="77" t="n"/>
      <c r="K1917" s="77" t="n"/>
      <c r="L1917" s="74" t="n"/>
      <c r="M1917" s="74" t="n"/>
      <c r="O1917" s="78">
        <f>IF($A1917="","",YEAR($A1917)*100+MONTH($A1917))</f>
        <v/>
      </c>
      <c r="P1917" s="79">
        <f>IF(OR($F1917="",$D1917=""),"",IF($D1917="Receita",$F1917,IF($D1917="Transferência",0,-$F1917)))</f>
        <v/>
      </c>
    </row>
    <row r="1918">
      <c r="A1918" s="73" t="n"/>
      <c r="B1918" s="74" t="n"/>
      <c r="C1918" s="74" t="n"/>
      <c r="D1918" s="75">
        <f>IF($C1918="","",IFERROR(INDEX(CAT_TIPO,MATCH($C1918,CAT_NOME,0)),"Sem categoria"))</f>
        <v/>
      </c>
      <c r="E1918" s="75">
        <f>IF($C1918="","",IFERROR(INDEX(CAT_GRUPO,MATCH($C1918,CAT_NOME,0)),"Sem categoria"))</f>
        <v/>
      </c>
      <c r="F1918" s="76" t="n"/>
      <c r="G1918" s="74" t="n"/>
      <c r="H1918" s="74" t="n"/>
      <c r="I1918" s="74" t="n"/>
      <c r="J1918" s="77" t="n"/>
      <c r="K1918" s="77" t="n"/>
      <c r="L1918" s="74" t="n"/>
      <c r="M1918" s="74" t="n"/>
      <c r="O1918" s="78">
        <f>IF($A1918="","",YEAR($A1918)*100+MONTH($A1918))</f>
        <v/>
      </c>
      <c r="P1918" s="79">
        <f>IF(OR($F1918="",$D1918=""),"",IF($D1918="Receita",$F1918,IF($D1918="Transferência",0,-$F1918)))</f>
        <v/>
      </c>
    </row>
    <row r="1919">
      <c r="A1919" s="73" t="n"/>
      <c r="B1919" s="74" t="n"/>
      <c r="C1919" s="74" t="n"/>
      <c r="D1919" s="75">
        <f>IF($C1919="","",IFERROR(INDEX(CAT_TIPO,MATCH($C1919,CAT_NOME,0)),"Sem categoria"))</f>
        <v/>
      </c>
      <c r="E1919" s="75">
        <f>IF($C1919="","",IFERROR(INDEX(CAT_GRUPO,MATCH($C1919,CAT_NOME,0)),"Sem categoria"))</f>
        <v/>
      </c>
      <c r="F1919" s="76" t="n"/>
      <c r="G1919" s="74" t="n"/>
      <c r="H1919" s="74" t="n"/>
      <c r="I1919" s="74" t="n"/>
      <c r="J1919" s="77" t="n"/>
      <c r="K1919" s="77" t="n"/>
      <c r="L1919" s="74" t="n"/>
      <c r="M1919" s="74" t="n"/>
      <c r="O1919" s="78">
        <f>IF($A1919="","",YEAR($A1919)*100+MONTH($A1919))</f>
        <v/>
      </c>
      <c r="P1919" s="79">
        <f>IF(OR($F1919="",$D1919=""),"",IF($D1919="Receita",$F1919,IF($D1919="Transferência",0,-$F1919)))</f>
        <v/>
      </c>
    </row>
    <row r="1920">
      <c r="A1920" s="73" t="n"/>
      <c r="B1920" s="74" t="n"/>
      <c r="C1920" s="74" t="n"/>
      <c r="D1920" s="75">
        <f>IF($C1920="","",IFERROR(INDEX(CAT_TIPO,MATCH($C1920,CAT_NOME,0)),"Sem categoria"))</f>
        <v/>
      </c>
      <c r="E1920" s="75">
        <f>IF($C1920="","",IFERROR(INDEX(CAT_GRUPO,MATCH($C1920,CAT_NOME,0)),"Sem categoria"))</f>
        <v/>
      </c>
      <c r="F1920" s="76" t="n"/>
      <c r="G1920" s="74" t="n"/>
      <c r="H1920" s="74" t="n"/>
      <c r="I1920" s="74" t="n"/>
      <c r="J1920" s="77" t="n"/>
      <c r="K1920" s="77" t="n"/>
      <c r="L1920" s="74" t="n"/>
      <c r="M1920" s="74" t="n"/>
      <c r="O1920" s="78">
        <f>IF($A1920="","",YEAR($A1920)*100+MONTH($A1920))</f>
        <v/>
      </c>
      <c r="P1920" s="79">
        <f>IF(OR($F1920="",$D1920=""),"",IF($D1920="Receita",$F1920,IF($D1920="Transferência",0,-$F1920)))</f>
        <v/>
      </c>
    </row>
    <row r="1921">
      <c r="A1921" s="73" t="n"/>
      <c r="B1921" s="74" t="n"/>
      <c r="C1921" s="74" t="n"/>
      <c r="D1921" s="75">
        <f>IF($C1921="","",IFERROR(INDEX(CAT_TIPO,MATCH($C1921,CAT_NOME,0)),"Sem categoria"))</f>
        <v/>
      </c>
      <c r="E1921" s="75">
        <f>IF($C1921="","",IFERROR(INDEX(CAT_GRUPO,MATCH($C1921,CAT_NOME,0)),"Sem categoria"))</f>
        <v/>
      </c>
      <c r="F1921" s="76" t="n"/>
      <c r="G1921" s="74" t="n"/>
      <c r="H1921" s="74" t="n"/>
      <c r="I1921" s="74" t="n"/>
      <c r="J1921" s="77" t="n"/>
      <c r="K1921" s="77" t="n"/>
      <c r="L1921" s="74" t="n"/>
      <c r="M1921" s="74" t="n"/>
      <c r="O1921" s="78">
        <f>IF($A1921="","",YEAR($A1921)*100+MONTH($A1921))</f>
        <v/>
      </c>
      <c r="P1921" s="79">
        <f>IF(OR($F1921="",$D1921=""),"",IF($D1921="Receita",$F1921,IF($D1921="Transferência",0,-$F1921)))</f>
        <v/>
      </c>
    </row>
    <row r="1922">
      <c r="A1922" s="73" t="n"/>
      <c r="B1922" s="74" t="n"/>
      <c r="C1922" s="74" t="n"/>
      <c r="D1922" s="75">
        <f>IF($C1922="","",IFERROR(INDEX(CAT_TIPO,MATCH($C1922,CAT_NOME,0)),"Sem categoria"))</f>
        <v/>
      </c>
      <c r="E1922" s="75">
        <f>IF($C1922="","",IFERROR(INDEX(CAT_GRUPO,MATCH($C1922,CAT_NOME,0)),"Sem categoria"))</f>
        <v/>
      </c>
      <c r="F1922" s="76" t="n"/>
      <c r="G1922" s="74" t="n"/>
      <c r="H1922" s="74" t="n"/>
      <c r="I1922" s="74" t="n"/>
      <c r="J1922" s="77" t="n"/>
      <c r="K1922" s="77" t="n"/>
      <c r="L1922" s="74" t="n"/>
      <c r="M1922" s="74" t="n"/>
      <c r="O1922" s="78">
        <f>IF($A1922="","",YEAR($A1922)*100+MONTH($A1922))</f>
        <v/>
      </c>
      <c r="P1922" s="79">
        <f>IF(OR($F1922="",$D1922=""),"",IF($D1922="Receita",$F1922,IF($D1922="Transferência",0,-$F1922)))</f>
        <v/>
      </c>
    </row>
    <row r="1923">
      <c r="A1923" s="73" t="n"/>
      <c r="B1923" s="74" t="n"/>
      <c r="C1923" s="74" t="n"/>
      <c r="D1923" s="75">
        <f>IF($C1923="","",IFERROR(INDEX(CAT_TIPO,MATCH($C1923,CAT_NOME,0)),"Sem categoria"))</f>
        <v/>
      </c>
      <c r="E1923" s="75">
        <f>IF($C1923="","",IFERROR(INDEX(CAT_GRUPO,MATCH($C1923,CAT_NOME,0)),"Sem categoria"))</f>
        <v/>
      </c>
      <c r="F1923" s="76" t="n"/>
      <c r="G1923" s="74" t="n"/>
      <c r="H1923" s="74" t="n"/>
      <c r="I1923" s="74" t="n"/>
      <c r="J1923" s="77" t="n"/>
      <c r="K1923" s="77" t="n"/>
      <c r="L1923" s="74" t="n"/>
      <c r="M1923" s="74" t="n"/>
      <c r="O1923" s="78">
        <f>IF($A1923="","",YEAR($A1923)*100+MONTH($A1923))</f>
        <v/>
      </c>
      <c r="P1923" s="79">
        <f>IF(OR($F1923="",$D1923=""),"",IF($D1923="Receita",$F1923,IF($D1923="Transferência",0,-$F1923)))</f>
        <v/>
      </c>
    </row>
    <row r="1924">
      <c r="A1924" s="73" t="n"/>
      <c r="B1924" s="74" t="n"/>
      <c r="C1924" s="74" t="n"/>
      <c r="D1924" s="75">
        <f>IF($C1924="","",IFERROR(INDEX(CAT_TIPO,MATCH($C1924,CAT_NOME,0)),"Sem categoria"))</f>
        <v/>
      </c>
      <c r="E1924" s="75">
        <f>IF($C1924="","",IFERROR(INDEX(CAT_GRUPO,MATCH($C1924,CAT_NOME,0)),"Sem categoria"))</f>
        <v/>
      </c>
      <c r="F1924" s="76" t="n"/>
      <c r="G1924" s="74" t="n"/>
      <c r="H1924" s="74" t="n"/>
      <c r="I1924" s="74" t="n"/>
      <c r="J1924" s="77" t="n"/>
      <c r="K1924" s="77" t="n"/>
      <c r="L1924" s="74" t="n"/>
      <c r="M1924" s="74" t="n"/>
      <c r="O1924" s="78">
        <f>IF($A1924="","",YEAR($A1924)*100+MONTH($A1924))</f>
        <v/>
      </c>
      <c r="P1924" s="79">
        <f>IF(OR($F1924="",$D1924=""),"",IF($D1924="Receita",$F1924,IF($D1924="Transferência",0,-$F1924)))</f>
        <v/>
      </c>
    </row>
    <row r="1925">
      <c r="A1925" s="73" t="n"/>
      <c r="B1925" s="74" t="n"/>
      <c r="C1925" s="74" t="n"/>
      <c r="D1925" s="75">
        <f>IF($C1925="","",IFERROR(INDEX(CAT_TIPO,MATCH($C1925,CAT_NOME,0)),"Sem categoria"))</f>
        <v/>
      </c>
      <c r="E1925" s="75">
        <f>IF($C1925="","",IFERROR(INDEX(CAT_GRUPO,MATCH($C1925,CAT_NOME,0)),"Sem categoria"))</f>
        <v/>
      </c>
      <c r="F1925" s="76" t="n"/>
      <c r="G1925" s="74" t="n"/>
      <c r="H1925" s="74" t="n"/>
      <c r="I1925" s="74" t="n"/>
      <c r="J1925" s="77" t="n"/>
      <c r="K1925" s="77" t="n"/>
      <c r="L1925" s="74" t="n"/>
      <c r="M1925" s="74" t="n"/>
      <c r="O1925" s="78">
        <f>IF($A1925="","",YEAR($A1925)*100+MONTH($A1925))</f>
        <v/>
      </c>
      <c r="P1925" s="79">
        <f>IF(OR($F1925="",$D1925=""),"",IF($D1925="Receita",$F1925,IF($D1925="Transferência",0,-$F1925)))</f>
        <v/>
      </c>
    </row>
    <row r="1926">
      <c r="A1926" s="73" t="n"/>
      <c r="B1926" s="74" t="n"/>
      <c r="C1926" s="74" t="n"/>
      <c r="D1926" s="75">
        <f>IF($C1926="","",IFERROR(INDEX(CAT_TIPO,MATCH($C1926,CAT_NOME,0)),"Sem categoria"))</f>
        <v/>
      </c>
      <c r="E1926" s="75">
        <f>IF($C1926="","",IFERROR(INDEX(CAT_GRUPO,MATCH($C1926,CAT_NOME,0)),"Sem categoria"))</f>
        <v/>
      </c>
      <c r="F1926" s="76" t="n"/>
      <c r="G1926" s="74" t="n"/>
      <c r="H1926" s="74" t="n"/>
      <c r="I1926" s="74" t="n"/>
      <c r="J1926" s="77" t="n"/>
      <c r="K1926" s="77" t="n"/>
      <c r="L1926" s="74" t="n"/>
      <c r="M1926" s="74" t="n"/>
      <c r="O1926" s="78">
        <f>IF($A1926="","",YEAR($A1926)*100+MONTH($A1926))</f>
        <v/>
      </c>
      <c r="P1926" s="79">
        <f>IF(OR($F1926="",$D1926=""),"",IF($D1926="Receita",$F1926,IF($D1926="Transferência",0,-$F1926)))</f>
        <v/>
      </c>
    </row>
    <row r="1927">
      <c r="A1927" s="73" t="n"/>
      <c r="B1927" s="74" t="n"/>
      <c r="C1927" s="74" t="n"/>
      <c r="D1927" s="75">
        <f>IF($C1927="","",IFERROR(INDEX(CAT_TIPO,MATCH($C1927,CAT_NOME,0)),"Sem categoria"))</f>
        <v/>
      </c>
      <c r="E1927" s="75">
        <f>IF($C1927="","",IFERROR(INDEX(CAT_GRUPO,MATCH($C1927,CAT_NOME,0)),"Sem categoria"))</f>
        <v/>
      </c>
      <c r="F1927" s="76" t="n"/>
      <c r="G1927" s="74" t="n"/>
      <c r="H1927" s="74" t="n"/>
      <c r="I1927" s="74" t="n"/>
      <c r="J1927" s="77" t="n"/>
      <c r="K1927" s="77" t="n"/>
      <c r="L1927" s="74" t="n"/>
      <c r="M1927" s="74" t="n"/>
      <c r="O1927" s="78">
        <f>IF($A1927="","",YEAR($A1927)*100+MONTH($A1927))</f>
        <v/>
      </c>
      <c r="P1927" s="79">
        <f>IF(OR($F1927="",$D1927=""),"",IF($D1927="Receita",$F1927,IF($D1927="Transferência",0,-$F1927)))</f>
        <v/>
      </c>
    </row>
    <row r="1928">
      <c r="A1928" s="73" t="n"/>
      <c r="B1928" s="74" t="n"/>
      <c r="C1928" s="74" t="n"/>
      <c r="D1928" s="75">
        <f>IF($C1928="","",IFERROR(INDEX(CAT_TIPO,MATCH($C1928,CAT_NOME,0)),"Sem categoria"))</f>
        <v/>
      </c>
      <c r="E1928" s="75">
        <f>IF($C1928="","",IFERROR(INDEX(CAT_GRUPO,MATCH($C1928,CAT_NOME,0)),"Sem categoria"))</f>
        <v/>
      </c>
      <c r="F1928" s="76" t="n"/>
      <c r="G1928" s="74" t="n"/>
      <c r="H1928" s="74" t="n"/>
      <c r="I1928" s="74" t="n"/>
      <c r="J1928" s="77" t="n"/>
      <c r="K1928" s="77" t="n"/>
      <c r="L1928" s="74" t="n"/>
      <c r="M1928" s="74" t="n"/>
      <c r="O1928" s="78">
        <f>IF($A1928="","",YEAR($A1928)*100+MONTH($A1928))</f>
        <v/>
      </c>
      <c r="P1928" s="79">
        <f>IF(OR($F1928="",$D1928=""),"",IF($D1928="Receita",$F1928,IF($D1928="Transferência",0,-$F1928)))</f>
        <v/>
      </c>
    </row>
    <row r="1929">
      <c r="A1929" s="73" t="n"/>
      <c r="B1929" s="74" t="n"/>
      <c r="C1929" s="74" t="n"/>
      <c r="D1929" s="75">
        <f>IF($C1929="","",IFERROR(INDEX(CAT_TIPO,MATCH($C1929,CAT_NOME,0)),"Sem categoria"))</f>
        <v/>
      </c>
      <c r="E1929" s="75">
        <f>IF($C1929="","",IFERROR(INDEX(CAT_GRUPO,MATCH($C1929,CAT_NOME,0)),"Sem categoria"))</f>
        <v/>
      </c>
      <c r="F1929" s="76" t="n"/>
      <c r="G1929" s="74" t="n"/>
      <c r="H1929" s="74" t="n"/>
      <c r="I1929" s="74" t="n"/>
      <c r="J1929" s="77" t="n"/>
      <c r="K1929" s="77" t="n"/>
      <c r="L1929" s="74" t="n"/>
      <c r="M1929" s="74" t="n"/>
      <c r="O1929" s="78">
        <f>IF($A1929="","",YEAR($A1929)*100+MONTH($A1929))</f>
        <v/>
      </c>
      <c r="P1929" s="79">
        <f>IF(OR($F1929="",$D1929=""),"",IF($D1929="Receita",$F1929,IF($D1929="Transferência",0,-$F1929)))</f>
        <v/>
      </c>
    </row>
    <row r="1930">
      <c r="A1930" s="73" t="n"/>
      <c r="B1930" s="74" t="n"/>
      <c r="C1930" s="74" t="n"/>
      <c r="D1930" s="75">
        <f>IF($C1930="","",IFERROR(INDEX(CAT_TIPO,MATCH($C1930,CAT_NOME,0)),"Sem categoria"))</f>
        <v/>
      </c>
      <c r="E1930" s="75">
        <f>IF($C1930="","",IFERROR(INDEX(CAT_GRUPO,MATCH($C1930,CAT_NOME,0)),"Sem categoria"))</f>
        <v/>
      </c>
      <c r="F1930" s="76" t="n"/>
      <c r="G1930" s="74" t="n"/>
      <c r="H1930" s="74" t="n"/>
      <c r="I1930" s="74" t="n"/>
      <c r="J1930" s="77" t="n"/>
      <c r="K1930" s="77" t="n"/>
      <c r="L1930" s="74" t="n"/>
      <c r="M1930" s="74" t="n"/>
      <c r="O1930" s="78">
        <f>IF($A1930="","",YEAR($A1930)*100+MONTH($A1930))</f>
        <v/>
      </c>
      <c r="P1930" s="79">
        <f>IF(OR($F1930="",$D1930=""),"",IF($D1930="Receita",$F1930,IF($D1930="Transferência",0,-$F1930)))</f>
        <v/>
      </c>
    </row>
    <row r="1931">
      <c r="A1931" s="73" t="n"/>
      <c r="B1931" s="74" t="n"/>
      <c r="C1931" s="74" t="n"/>
      <c r="D1931" s="75">
        <f>IF($C1931="","",IFERROR(INDEX(CAT_TIPO,MATCH($C1931,CAT_NOME,0)),"Sem categoria"))</f>
        <v/>
      </c>
      <c r="E1931" s="75">
        <f>IF($C1931="","",IFERROR(INDEX(CAT_GRUPO,MATCH($C1931,CAT_NOME,0)),"Sem categoria"))</f>
        <v/>
      </c>
      <c r="F1931" s="76" t="n"/>
      <c r="G1931" s="74" t="n"/>
      <c r="H1931" s="74" t="n"/>
      <c r="I1931" s="74" t="n"/>
      <c r="J1931" s="77" t="n"/>
      <c r="K1931" s="77" t="n"/>
      <c r="L1931" s="74" t="n"/>
      <c r="M1931" s="74" t="n"/>
      <c r="O1931" s="78">
        <f>IF($A1931="","",YEAR($A1931)*100+MONTH($A1931))</f>
        <v/>
      </c>
      <c r="P1931" s="79">
        <f>IF(OR($F1931="",$D1931=""),"",IF($D1931="Receita",$F1931,IF($D1931="Transferência",0,-$F1931)))</f>
        <v/>
      </c>
    </row>
    <row r="1932">
      <c r="A1932" s="73" t="n"/>
      <c r="B1932" s="74" t="n"/>
      <c r="C1932" s="74" t="n"/>
      <c r="D1932" s="75">
        <f>IF($C1932="","",IFERROR(INDEX(CAT_TIPO,MATCH($C1932,CAT_NOME,0)),"Sem categoria"))</f>
        <v/>
      </c>
      <c r="E1932" s="75">
        <f>IF($C1932="","",IFERROR(INDEX(CAT_GRUPO,MATCH($C1932,CAT_NOME,0)),"Sem categoria"))</f>
        <v/>
      </c>
      <c r="F1932" s="76" t="n"/>
      <c r="G1932" s="74" t="n"/>
      <c r="H1932" s="74" t="n"/>
      <c r="I1932" s="74" t="n"/>
      <c r="J1932" s="77" t="n"/>
      <c r="K1932" s="77" t="n"/>
      <c r="L1932" s="74" t="n"/>
      <c r="M1932" s="74" t="n"/>
      <c r="O1932" s="78">
        <f>IF($A1932="","",YEAR($A1932)*100+MONTH($A1932))</f>
        <v/>
      </c>
      <c r="P1932" s="79">
        <f>IF(OR($F1932="",$D1932=""),"",IF($D1932="Receita",$F1932,IF($D1932="Transferência",0,-$F1932)))</f>
        <v/>
      </c>
    </row>
    <row r="1933">
      <c r="A1933" s="73" t="n"/>
      <c r="B1933" s="74" t="n"/>
      <c r="C1933" s="74" t="n"/>
      <c r="D1933" s="75">
        <f>IF($C1933="","",IFERROR(INDEX(CAT_TIPO,MATCH($C1933,CAT_NOME,0)),"Sem categoria"))</f>
        <v/>
      </c>
      <c r="E1933" s="75">
        <f>IF($C1933="","",IFERROR(INDEX(CAT_GRUPO,MATCH($C1933,CAT_NOME,0)),"Sem categoria"))</f>
        <v/>
      </c>
      <c r="F1933" s="76" t="n"/>
      <c r="G1933" s="74" t="n"/>
      <c r="H1933" s="74" t="n"/>
      <c r="I1933" s="74" t="n"/>
      <c r="J1933" s="77" t="n"/>
      <c r="K1933" s="77" t="n"/>
      <c r="L1933" s="74" t="n"/>
      <c r="M1933" s="74" t="n"/>
      <c r="O1933" s="78">
        <f>IF($A1933="","",YEAR($A1933)*100+MONTH($A1933))</f>
        <v/>
      </c>
      <c r="P1933" s="79">
        <f>IF(OR($F1933="",$D1933=""),"",IF($D1933="Receita",$F1933,IF($D1933="Transferência",0,-$F1933)))</f>
        <v/>
      </c>
    </row>
    <row r="1934">
      <c r="A1934" s="73" t="n"/>
      <c r="B1934" s="74" t="n"/>
      <c r="C1934" s="74" t="n"/>
      <c r="D1934" s="75">
        <f>IF($C1934="","",IFERROR(INDEX(CAT_TIPO,MATCH($C1934,CAT_NOME,0)),"Sem categoria"))</f>
        <v/>
      </c>
      <c r="E1934" s="75">
        <f>IF($C1934="","",IFERROR(INDEX(CAT_GRUPO,MATCH($C1934,CAT_NOME,0)),"Sem categoria"))</f>
        <v/>
      </c>
      <c r="F1934" s="76" t="n"/>
      <c r="G1934" s="74" t="n"/>
      <c r="H1934" s="74" t="n"/>
      <c r="I1934" s="74" t="n"/>
      <c r="J1934" s="77" t="n"/>
      <c r="K1934" s="77" t="n"/>
      <c r="L1934" s="74" t="n"/>
      <c r="M1934" s="74" t="n"/>
      <c r="O1934" s="78">
        <f>IF($A1934="","",YEAR($A1934)*100+MONTH($A1934))</f>
        <v/>
      </c>
      <c r="P1934" s="79">
        <f>IF(OR($F1934="",$D1934=""),"",IF($D1934="Receita",$F1934,IF($D1934="Transferência",0,-$F1934)))</f>
        <v/>
      </c>
    </row>
    <row r="1935">
      <c r="A1935" s="73" t="n"/>
      <c r="B1935" s="74" t="n"/>
      <c r="C1935" s="74" t="n"/>
      <c r="D1935" s="75">
        <f>IF($C1935="","",IFERROR(INDEX(CAT_TIPO,MATCH($C1935,CAT_NOME,0)),"Sem categoria"))</f>
        <v/>
      </c>
      <c r="E1935" s="75">
        <f>IF($C1935="","",IFERROR(INDEX(CAT_GRUPO,MATCH($C1935,CAT_NOME,0)),"Sem categoria"))</f>
        <v/>
      </c>
      <c r="F1935" s="76" t="n"/>
      <c r="G1935" s="74" t="n"/>
      <c r="H1935" s="74" t="n"/>
      <c r="I1935" s="74" t="n"/>
      <c r="J1935" s="77" t="n"/>
      <c r="K1935" s="77" t="n"/>
      <c r="L1935" s="74" t="n"/>
      <c r="M1935" s="74" t="n"/>
      <c r="O1935" s="78">
        <f>IF($A1935="","",YEAR($A1935)*100+MONTH($A1935))</f>
        <v/>
      </c>
      <c r="P1935" s="79">
        <f>IF(OR($F1935="",$D1935=""),"",IF($D1935="Receita",$F1935,IF($D1935="Transferência",0,-$F1935)))</f>
        <v/>
      </c>
    </row>
    <row r="1936">
      <c r="A1936" s="73" t="n"/>
      <c r="B1936" s="74" t="n"/>
      <c r="C1936" s="74" t="n"/>
      <c r="D1936" s="75">
        <f>IF($C1936="","",IFERROR(INDEX(CAT_TIPO,MATCH($C1936,CAT_NOME,0)),"Sem categoria"))</f>
        <v/>
      </c>
      <c r="E1936" s="75">
        <f>IF($C1936="","",IFERROR(INDEX(CAT_GRUPO,MATCH($C1936,CAT_NOME,0)),"Sem categoria"))</f>
        <v/>
      </c>
      <c r="F1936" s="76" t="n"/>
      <c r="G1936" s="74" t="n"/>
      <c r="H1936" s="74" t="n"/>
      <c r="I1936" s="74" t="n"/>
      <c r="J1936" s="77" t="n"/>
      <c r="K1936" s="77" t="n"/>
      <c r="L1936" s="74" t="n"/>
      <c r="M1936" s="74" t="n"/>
      <c r="O1936" s="78">
        <f>IF($A1936="","",YEAR($A1936)*100+MONTH($A1936))</f>
        <v/>
      </c>
      <c r="P1936" s="79">
        <f>IF(OR($F1936="",$D1936=""),"",IF($D1936="Receita",$F1936,IF($D1936="Transferência",0,-$F1936)))</f>
        <v/>
      </c>
    </row>
    <row r="1937">
      <c r="A1937" s="73" t="n"/>
      <c r="B1937" s="74" t="n"/>
      <c r="C1937" s="74" t="n"/>
      <c r="D1937" s="75">
        <f>IF($C1937="","",IFERROR(INDEX(CAT_TIPO,MATCH($C1937,CAT_NOME,0)),"Sem categoria"))</f>
        <v/>
      </c>
      <c r="E1937" s="75">
        <f>IF($C1937="","",IFERROR(INDEX(CAT_GRUPO,MATCH($C1937,CAT_NOME,0)),"Sem categoria"))</f>
        <v/>
      </c>
      <c r="F1937" s="76" t="n"/>
      <c r="G1937" s="74" t="n"/>
      <c r="H1937" s="74" t="n"/>
      <c r="I1937" s="74" t="n"/>
      <c r="J1937" s="77" t="n"/>
      <c r="K1937" s="77" t="n"/>
      <c r="L1937" s="74" t="n"/>
      <c r="M1937" s="74" t="n"/>
      <c r="O1937" s="78">
        <f>IF($A1937="","",YEAR($A1937)*100+MONTH($A1937))</f>
        <v/>
      </c>
      <c r="P1937" s="79">
        <f>IF(OR($F1937="",$D1937=""),"",IF($D1937="Receita",$F1937,IF($D1937="Transferência",0,-$F1937)))</f>
        <v/>
      </c>
    </row>
    <row r="1938">
      <c r="A1938" s="73" t="n"/>
      <c r="B1938" s="74" t="n"/>
      <c r="C1938" s="74" t="n"/>
      <c r="D1938" s="75">
        <f>IF($C1938="","",IFERROR(INDEX(CAT_TIPO,MATCH($C1938,CAT_NOME,0)),"Sem categoria"))</f>
        <v/>
      </c>
      <c r="E1938" s="75">
        <f>IF($C1938="","",IFERROR(INDEX(CAT_GRUPO,MATCH($C1938,CAT_NOME,0)),"Sem categoria"))</f>
        <v/>
      </c>
      <c r="F1938" s="76" t="n"/>
      <c r="G1938" s="74" t="n"/>
      <c r="H1938" s="74" t="n"/>
      <c r="I1938" s="74" t="n"/>
      <c r="J1938" s="77" t="n"/>
      <c r="K1938" s="77" t="n"/>
      <c r="L1938" s="74" t="n"/>
      <c r="M1938" s="74" t="n"/>
      <c r="O1938" s="78">
        <f>IF($A1938="","",YEAR($A1938)*100+MONTH($A1938))</f>
        <v/>
      </c>
      <c r="P1938" s="79">
        <f>IF(OR($F1938="",$D1938=""),"",IF($D1938="Receita",$F1938,IF($D1938="Transferência",0,-$F1938)))</f>
        <v/>
      </c>
    </row>
    <row r="1939">
      <c r="A1939" s="73" t="n"/>
      <c r="B1939" s="74" t="n"/>
      <c r="C1939" s="74" t="n"/>
      <c r="D1939" s="75">
        <f>IF($C1939="","",IFERROR(INDEX(CAT_TIPO,MATCH($C1939,CAT_NOME,0)),"Sem categoria"))</f>
        <v/>
      </c>
      <c r="E1939" s="75">
        <f>IF($C1939="","",IFERROR(INDEX(CAT_GRUPO,MATCH($C1939,CAT_NOME,0)),"Sem categoria"))</f>
        <v/>
      </c>
      <c r="F1939" s="76" t="n"/>
      <c r="G1939" s="74" t="n"/>
      <c r="H1939" s="74" t="n"/>
      <c r="I1939" s="74" t="n"/>
      <c r="J1939" s="77" t="n"/>
      <c r="K1939" s="77" t="n"/>
      <c r="L1939" s="74" t="n"/>
      <c r="M1939" s="74" t="n"/>
      <c r="O1939" s="78">
        <f>IF($A1939="","",YEAR($A1939)*100+MONTH($A1939))</f>
        <v/>
      </c>
      <c r="P1939" s="79">
        <f>IF(OR($F1939="",$D1939=""),"",IF($D1939="Receita",$F1939,IF($D1939="Transferência",0,-$F1939)))</f>
        <v/>
      </c>
    </row>
    <row r="1940">
      <c r="A1940" s="73" t="n"/>
      <c r="B1940" s="74" t="n"/>
      <c r="C1940" s="74" t="n"/>
      <c r="D1940" s="75">
        <f>IF($C1940="","",IFERROR(INDEX(CAT_TIPO,MATCH($C1940,CAT_NOME,0)),"Sem categoria"))</f>
        <v/>
      </c>
      <c r="E1940" s="75">
        <f>IF($C1940="","",IFERROR(INDEX(CAT_GRUPO,MATCH($C1940,CAT_NOME,0)),"Sem categoria"))</f>
        <v/>
      </c>
      <c r="F1940" s="76" t="n"/>
      <c r="G1940" s="74" t="n"/>
      <c r="H1940" s="74" t="n"/>
      <c r="I1940" s="74" t="n"/>
      <c r="J1940" s="77" t="n"/>
      <c r="K1940" s="77" t="n"/>
      <c r="L1940" s="74" t="n"/>
      <c r="M1940" s="74" t="n"/>
      <c r="O1940" s="78">
        <f>IF($A1940="","",YEAR($A1940)*100+MONTH($A1940))</f>
        <v/>
      </c>
      <c r="P1940" s="79">
        <f>IF(OR($F1940="",$D1940=""),"",IF($D1940="Receita",$F1940,IF($D1940="Transferência",0,-$F1940)))</f>
        <v/>
      </c>
    </row>
    <row r="1941">
      <c r="A1941" s="73" t="n"/>
      <c r="B1941" s="74" t="n"/>
      <c r="C1941" s="74" t="n"/>
      <c r="D1941" s="75">
        <f>IF($C1941="","",IFERROR(INDEX(CAT_TIPO,MATCH($C1941,CAT_NOME,0)),"Sem categoria"))</f>
        <v/>
      </c>
      <c r="E1941" s="75">
        <f>IF($C1941="","",IFERROR(INDEX(CAT_GRUPO,MATCH($C1941,CAT_NOME,0)),"Sem categoria"))</f>
        <v/>
      </c>
      <c r="F1941" s="76" t="n"/>
      <c r="G1941" s="74" t="n"/>
      <c r="H1941" s="74" t="n"/>
      <c r="I1941" s="74" t="n"/>
      <c r="J1941" s="77" t="n"/>
      <c r="K1941" s="77" t="n"/>
      <c r="L1941" s="74" t="n"/>
      <c r="M1941" s="74" t="n"/>
      <c r="O1941" s="78">
        <f>IF($A1941="","",YEAR($A1941)*100+MONTH($A1941))</f>
        <v/>
      </c>
      <c r="P1941" s="79">
        <f>IF(OR($F1941="",$D1941=""),"",IF($D1941="Receita",$F1941,IF($D1941="Transferência",0,-$F1941)))</f>
        <v/>
      </c>
    </row>
    <row r="1942">
      <c r="A1942" s="73" t="n"/>
      <c r="B1942" s="74" t="n"/>
      <c r="C1942" s="74" t="n"/>
      <c r="D1942" s="75">
        <f>IF($C1942="","",IFERROR(INDEX(CAT_TIPO,MATCH($C1942,CAT_NOME,0)),"Sem categoria"))</f>
        <v/>
      </c>
      <c r="E1942" s="75">
        <f>IF($C1942="","",IFERROR(INDEX(CAT_GRUPO,MATCH($C1942,CAT_NOME,0)),"Sem categoria"))</f>
        <v/>
      </c>
      <c r="F1942" s="76" t="n"/>
      <c r="G1942" s="74" t="n"/>
      <c r="H1942" s="74" t="n"/>
      <c r="I1942" s="74" t="n"/>
      <c r="J1942" s="77" t="n"/>
      <c r="K1942" s="77" t="n"/>
      <c r="L1942" s="74" t="n"/>
      <c r="M1942" s="74" t="n"/>
      <c r="O1942" s="78">
        <f>IF($A1942="","",YEAR($A1942)*100+MONTH($A1942))</f>
        <v/>
      </c>
      <c r="P1942" s="79">
        <f>IF(OR($F1942="",$D1942=""),"",IF($D1942="Receita",$F1942,IF($D1942="Transferência",0,-$F1942)))</f>
        <v/>
      </c>
    </row>
    <row r="1943">
      <c r="A1943" s="73" t="n"/>
      <c r="B1943" s="74" t="n"/>
      <c r="C1943" s="74" t="n"/>
      <c r="D1943" s="75">
        <f>IF($C1943="","",IFERROR(INDEX(CAT_TIPO,MATCH($C1943,CAT_NOME,0)),"Sem categoria"))</f>
        <v/>
      </c>
      <c r="E1943" s="75">
        <f>IF($C1943="","",IFERROR(INDEX(CAT_GRUPO,MATCH($C1943,CAT_NOME,0)),"Sem categoria"))</f>
        <v/>
      </c>
      <c r="F1943" s="76" t="n"/>
      <c r="G1943" s="74" t="n"/>
      <c r="H1943" s="74" t="n"/>
      <c r="I1943" s="74" t="n"/>
      <c r="J1943" s="77" t="n"/>
      <c r="K1943" s="77" t="n"/>
      <c r="L1943" s="74" t="n"/>
      <c r="M1943" s="74" t="n"/>
      <c r="O1943" s="78">
        <f>IF($A1943="","",YEAR($A1943)*100+MONTH($A1943))</f>
        <v/>
      </c>
      <c r="P1943" s="79">
        <f>IF(OR($F1943="",$D1943=""),"",IF($D1943="Receita",$F1943,IF($D1943="Transferência",0,-$F1943)))</f>
        <v/>
      </c>
    </row>
    <row r="1944">
      <c r="A1944" s="73" t="n"/>
      <c r="B1944" s="74" t="n"/>
      <c r="C1944" s="74" t="n"/>
      <c r="D1944" s="75">
        <f>IF($C1944="","",IFERROR(INDEX(CAT_TIPO,MATCH($C1944,CAT_NOME,0)),"Sem categoria"))</f>
        <v/>
      </c>
      <c r="E1944" s="75">
        <f>IF($C1944="","",IFERROR(INDEX(CAT_GRUPO,MATCH($C1944,CAT_NOME,0)),"Sem categoria"))</f>
        <v/>
      </c>
      <c r="F1944" s="76" t="n"/>
      <c r="G1944" s="74" t="n"/>
      <c r="H1944" s="74" t="n"/>
      <c r="I1944" s="74" t="n"/>
      <c r="J1944" s="77" t="n"/>
      <c r="K1944" s="77" t="n"/>
      <c r="L1944" s="74" t="n"/>
      <c r="M1944" s="74" t="n"/>
      <c r="O1944" s="78">
        <f>IF($A1944="","",YEAR($A1944)*100+MONTH($A1944))</f>
        <v/>
      </c>
      <c r="P1944" s="79">
        <f>IF(OR($F1944="",$D1944=""),"",IF($D1944="Receita",$F1944,IF($D1944="Transferência",0,-$F1944)))</f>
        <v/>
      </c>
    </row>
    <row r="1945">
      <c r="A1945" s="73" t="n"/>
      <c r="B1945" s="74" t="n"/>
      <c r="C1945" s="74" t="n"/>
      <c r="D1945" s="75">
        <f>IF($C1945="","",IFERROR(INDEX(CAT_TIPO,MATCH($C1945,CAT_NOME,0)),"Sem categoria"))</f>
        <v/>
      </c>
      <c r="E1945" s="75">
        <f>IF($C1945="","",IFERROR(INDEX(CAT_GRUPO,MATCH($C1945,CAT_NOME,0)),"Sem categoria"))</f>
        <v/>
      </c>
      <c r="F1945" s="76" t="n"/>
      <c r="G1945" s="74" t="n"/>
      <c r="H1945" s="74" t="n"/>
      <c r="I1945" s="74" t="n"/>
      <c r="J1945" s="77" t="n"/>
      <c r="K1945" s="77" t="n"/>
      <c r="L1945" s="74" t="n"/>
      <c r="M1945" s="74" t="n"/>
      <c r="O1945" s="78">
        <f>IF($A1945="","",YEAR($A1945)*100+MONTH($A1945))</f>
        <v/>
      </c>
      <c r="P1945" s="79">
        <f>IF(OR($F1945="",$D1945=""),"",IF($D1945="Receita",$F1945,IF($D1945="Transferência",0,-$F1945)))</f>
        <v/>
      </c>
    </row>
    <row r="1946">
      <c r="A1946" s="73" t="n"/>
      <c r="B1946" s="74" t="n"/>
      <c r="C1946" s="74" t="n"/>
      <c r="D1946" s="75">
        <f>IF($C1946="","",IFERROR(INDEX(CAT_TIPO,MATCH($C1946,CAT_NOME,0)),"Sem categoria"))</f>
        <v/>
      </c>
      <c r="E1946" s="75">
        <f>IF($C1946="","",IFERROR(INDEX(CAT_GRUPO,MATCH($C1946,CAT_NOME,0)),"Sem categoria"))</f>
        <v/>
      </c>
      <c r="F1946" s="76" t="n"/>
      <c r="G1946" s="74" t="n"/>
      <c r="H1946" s="74" t="n"/>
      <c r="I1946" s="74" t="n"/>
      <c r="J1946" s="77" t="n"/>
      <c r="K1946" s="77" t="n"/>
      <c r="L1946" s="74" t="n"/>
      <c r="M1946" s="74" t="n"/>
      <c r="O1946" s="78">
        <f>IF($A1946="","",YEAR($A1946)*100+MONTH($A1946))</f>
        <v/>
      </c>
      <c r="P1946" s="79">
        <f>IF(OR($F1946="",$D1946=""),"",IF($D1946="Receita",$F1946,IF($D1946="Transferência",0,-$F1946)))</f>
        <v/>
      </c>
    </row>
    <row r="1947">
      <c r="A1947" s="73" t="n"/>
      <c r="B1947" s="74" t="n"/>
      <c r="C1947" s="74" t="n"/>
      <c r="D1947" s="75">
        <f>IF($C1947="","",IFERROR(INDEX(CAT_TIPO,MATCH($C1947,CAT_NOME,0)),"Sem categoria"))</f>
        <v/>
      </c>
      <c r="E1947" s="75">
        <f>IF($C1947="","",IFERROR(INDEX(CAT_GRUPO,MATCH($C1947,CAT_NOME,0)),"Sem categoria"))</f>
        <v/>
      </c>
      <c r="F1947" s="76" t="n"/>
      <c r="G1947" s="74" t="n"/>
      <c r="H1947" s="74" t="n"/>
      <c r="I1947" s="74" t="n"/>
      <c r="J1947" s="77" t="n"/>
      <c r="K1947" s="77" t="n"/>
      <c r="L1947" s="74" t="n"/>
      <c r="M1947" s="74" t="n"/>
      <c r="O1947" s="78">
        <f>IF($A1947="","",YEAR($A1947)*100+MONTH($A1947))</f>
        <v/>
      </c>
      <c r="P1947" s="79">
        <f>IF(OR($F1947="",$D1947=""),"",IF($D1947="Receita",$F1947,IF($D1947="Transferência",0,-$F1947)))</f>
        <v/>
      </c>
    </row>
    <row r="1948">
      <c r="A1948" s="73" t="n"/>
      <c r="B1948" s="74" t="n"/>
      <c r="C1948" s="74" t="n"/>
      <c r="D1948" s="75">
        <f>IF($C1948="","",IFERROR(INDEX(CAT_TIPO,MATCH($C1948,CAT_NOME,0)),"Sem categoria"))</f>
        <v/>
      </c>
      <c r="E1948" s="75">
        <f>IF($C1948="","",IFERROR(INDEX(CAT_GRUPO,MATCH($C1948,CAT_NOME,0)),"Sem categoria"))</f>
        <v/>
      </c>
      <c r="F1948" s="76" t="n"/>
      <c r="G1948" s="74" t="n"/>
      <c r="H1948" s="74" t="n"/>
      <c r="I1948" s="74" t="n"/>
      <c r="J1948" s="77" t="n"/>
      <c r="K1948" s="77" t="n"/>
      <c r="L1948" s="74" t="n"/>
      <c r="M1948" s="74" t="n"/>
      <c r="O1948" s="78">
        <f>IF($A1948="","",YEAR($A1948)*100+MONTH($A1948))</f>
        <v/>
      </c>
      <c r="P1948" s="79">
        <f>IF(OR($F1948="",$D1948=""),"",IF($D1948="Receita",$F1948,IF($D1948="Transferência",0,-$F1948)))</f>
        <v/>
      </c>
    </row>
    <row r="1949">
      <c r="A1949" s="73" t="n"/>
      <c r="B1949" s="74" t="n"/>
      <c r="C1949" s="74" t="n"/>
      <c r="D1949" s="75">
        <f>IF($C1949="","",IFERROR(INDEX(CAT_TIPO,MATCH($C1949,CAT_NOME,0)),"Sem categoria"))</f>
        <v/>
      </c>
      <c r="E1949" s="75">
        <f>IF($C1949="","",IFERROR(INDEX(CAT_GRUPO,MATCH($C1949,CAT_NOME,0)),"Sem categoria"))</f>
        <v/>
      </c>
      <c r="F1949" s="76" t="n"/>
      <c r="G1949" s="74" t="n"/>
      <c r="H1949" s="74" t="n"/>
      <c r="I1949" s="74" t="n"/>
      <c r="J1949" s="77" t="n"/>
      <c r="K1949" s="77" t="n"/>
      <c r="L1949" s="74" t="n"/>
      <c r="M1949" s="74" t="n"/>
      <c r="O1949" s="78">
        <f>IF($A1949="","",YEAR($A1949)*100+MONTH($A1949))</f>
        <v/>
      </c>
      <c r="P1949" s="79">
        <f>IF(OR($F1949="",$D1949=""),"",IF($D1949="Receita",$F1949,IF($D1949="Transferência",0,-$F1949)))</f>
        <v/>
      </c>
    </row>
    <row r="1950">
      <c r="A1950" s="73" t="n"/>
      <c r="B1950" s="74" t="n"/>
      <c r="C1950" s="74" t="n"/>
      <c r="D1950" s="75">
        <f>IF($C1950="","",IFERROR(INDEX(CAT_TIPO,MATCH($C1950,CAT_NOME,0)),"Sem categoria"))</f>
        <v/>
      </c>
      <c r="E1950" s="75">
        <f>IF($C1950="","",IFERROR(INDEX(CAT_GRUPO,MATCH($C1950,CAT_NOME,0)),"Sem categoria"))</f>
        <v/>
      </c>
      <c r="F1950" s="76" t="n"/>
      <c r="G1950" s="74" t="n"/>
      <c r="H1950" s="74" t="n"/>
      <c r="I1950" s="74" t="n"/>
      <c r="J1950" s="77" t="n"/>
      <c r="K1950" s="77" t="n"/>
      <c r="L1950" s="74" t="n"/>
      <c r="M1950" s="74" t="n"/>
      <c r="O1950" s="78">
        <f>IF($A1950="","",YEAR($A1950)*100+MONTH($A1950))</f>
        <v/>
      </c>
      <c r="P1950" s="79">
        <f>IF(OR($F1950="",$D1950=""),"",IF($D1950="Receita",$F1950,IF($D1950="Transferência",0,-$F1950)))</f>
        <v/>
      </c>
    </row>
    <row r="1951">
      <c r="A1951" s="73" t="n"/>
      <c r="B1951" s="74" t="n"/>
      <c r="C1951" s="74" t="n"/>
      <c r="D1951" s="75">
        <f>IF($C1951="","",IFERROR(INDEX(CAT_TIPO,MATCH($C1951,CAT_NOME,0)),"Sem categoria"))</f>
        <v/>
      </c>
      <c r="E1951" s="75">
        <f>IF($C1951="","",IFERROR(INDEX(CAT_GRUPO,MATCH($C1951,CAT_NOME,0)),"Sem categoria"))</f>
        <v/>
      </c>
      <c r="F1951" s="76" t="n"/>
      <c r="G1951" s="74" t="n"/>
      <c r="H1951" s="74" t="n"/>
      <c r="I1951" s="74" t="n"/>
      <c r="J1951" s="77" t="n"/>
      <c r="K1951" s="77" t="n"/>
      <c r="L1951" s="74" t="n"/>
      <c r="M1951" s="74" t="n"/>
      <c r="O1951" s="78">
        <f>IF($A1951="","",YEAR($A1951)*100+MONTH($A1951))</f>
        <v/>
      </c>
      <c r="P1951" s="79">
        <f>IF(OR($F1951="",$D1951=""),"",IF($D1951="Receita",$F1951,IF($D1951="Transferência",0,-$F1951)))</f>
        <v/>
      </c>
    </row>
    <row r="1952">
      <c r="A1952" s="73" t="n"/>
      <c r="B1952" s="74" t="n"/>
      <c r="C1952" s="74" t="n"/>
      <c r="D1952" s="75">
        <f>IF($C1952="","",IFERROR(INDEX(CAT_TIPO,MATCH($C1952,CAT_NOME,0)),"Sem categoria"))</f>
        <v/>
      </c>
      <c r="E1952" s="75">
        <f>IF($C1952="","",IFERROR(INDEX(CAT_GRUPO,MATCH($C1952,CAT_NOME,0)),"Sem categoria"))</f>
        <v/>
      </c>
      <c r="F1952" s="76" t="n"/>
      <c r="G1952" s="74" t="n"/>
      <c r="H1952" s="74" t="n"/>
      <c r="I1952" s="74" t="n"/>
      <c r="J1952" s="77" t="n"/>
      <c r="K1952" s="77" t="n"/>
      <c r="L1952" s="74" t="n"/>
      <c r="M1952" s="74" t="n"/>
      <c r="O1952" s="78">
        <f>IF($A1952="","",YEAR($A1952)*100+MONTH($A1952))</f>
        <v/>
      </c>
      <c r="P1952" s="79">
        <f>IF(OR($F1952="",$D1952=""),"",IF($D1952="Receita",$F1952,IF($D1952="Transferência",0,-$F1952)))</f>
        <v/>
      </c>
    </row>
    <row r="1953">
      <c r="A1953" s="73" t="n"/>
      <c r="B1953" s="74" t="n"/>
      <c r="C1953" s="74" t="n"/>
      <c r="D1953" s="75">
        <f>IF($C1953="","",IFERROR(INDEX(CAT_TIPO,MATCH($C1953,CAT_NOME,0)),"Sem categoria"))</f>
        <v/>
      </c>
      <c r="E1953" s="75">
        <f>IF($C1953="","",IFERROR(INDEX(CAT_GRUPO,MATCH($C1953,CAT_NOME,0)),"Sem categoria"))</f>
        <v/>
      </c>
      <c r="F1953" s="76" t="n"/>
      <c r="G1953" s="74" t="n"/>
      <c r="H1953" s="74" t="n"/>
      <c r="I1953" s="74" t="n"/>
      <c r="J1953" s="77" t="n"/>
      <c r="K1953" s="77" t="n"/>
      <c r="L1953" s="74" t="n"/>
      <c r="M1953" s="74" t="n"/>
      <c r="O1953" s="78">
        <f>IF($A1953="","",YEAR($A1953)*100+MONTH($A1953))</f>
        <v/>
      </c>
      <c r="P1953" s="79">
        <f>IF(OR($F1953="",$D1953=""),"",IF($D1953="Receita",$F1953,IF($D1953="Transferência",0,-$F1953)))</f>
        <v/>
      </c>
    </row>
    <row r="1954">
      <c r="A1954" s="73" t="n"/>
      <c r="B1954" s="74" t="n"/>
      <c r="C1954" s="74" t="n"/>
      <c r="D1954" s="75">
        <f>IF($C1954="","",IFERROR(INDEX(CAT_TIPO,MATCH($C1954,CAT_NOME,0)),"Sem categoria"))</f>
        <v/>
      </c>
      <c r="E1954" s="75">
        <f>IF($C1954="","",IFERROR(INDEX(CAT_GRUPO,MATCH($C1954,CAT_NOME,0)),"Sem categoria"))</f>
        <v/>
      </c>
      <c r="F1954" s="76" t="n"/>
      <c r="G1954" s="74" t="n"/>
      <c r="H1954" s="74" t="n"/>
      <c r="I1954" s="74" t="n"/>
      <c r="J1954" s="77" t="n"/>
      <c r="K1954" s="77" t="n"/>
      <c r="L1954" s="74" t="n"/>
      <c r="M1954" s="74" t="n"/>
      <c r="O1954" s="78">
        <f>IF($A1954="","",YEAR($A1954)*100+MONTH($A1954))</f>
        <v/>
      </c>
      <c r="P1954" s="79">
        <f>IF(OR($F1954="",$D1954=""),"",IF($D1954="Receita",$F1954,IF($D1954="Transferência",0,-$F1954)))</f>
        <v/>
      </c>
    </row>
    <row r="1955">
      <c r="A1955" s="73" t="n"/>
      <c r="B1955" s="74" t="n"/>
      <c r="C1955" s="74" t="n"/>
      <c r="D1955" s="75">
        <f>IF($C1955="","",IFERROR(INDEX(CAT_TIPO,MATCH($C1955,CAT_NOME,0)),"Sem categoria"))</f>
        <v/>
      </c>
      <c r="E1955" s="75">
        <f>IF($C1955="","",IFERROR(INDEX(CAT_GRUPO,MATCH($C1955,CAT_NOME,0)),"Sem categoria"))</f>
        <v/>
      </c>
      <c r="F1955" s="76" t="n"/>
      <c r="G1955" s="74" t="n"/>
      <c r="H1955" s="74" t="n"/>
      <c r="I1955" s="74" t="n"/>
      <c r="J1955" s="77" t="n"/>
      <c r="K1955" s="77" t="n"/>
      <c r="L1955" s="74" t="n"/>
      <c r="M1955" s="74" t="n"/>
      <c r="O1955" s="78">
        <f>IF($A1955="","",YEAR($A1955)*100+MONTH($A1955))</f>
        <v/>
      </c>
      <c r="P1955" s="79">
        <f>IF(OR($F1955="",$D1955=""),"",IF($D1955="Receita",$F1955,IF($D1955="Transferência",0,-$F1955)))</f>
        <v/>
      </c>
    </row>
    <row r="1956">
      <c r="A1956" s="73" t="n"/>
      <c r="B1956" s="74" t="n"/>
      <c r="C1956" s="74" t="n"/>
      <c r="D1956" s="75">
        <f>IF($C1956="","",IFERROR(INDEX(CAT_TIPO,MATCH($C1956,CAT_NOME,0)),"Sem categoria"))</f>
        <v/>
      </c>
      <c r="E1956" s="75">
        <f>IF($C1956="","",IFERROR(INDEX(CAT_GRUPO,MATCH($C1956,CAT_NOME,0)),"Sem categoria"))</f>
        <v/>
      </c>
      <c r="F1956" s="76" t="n"/>
      <c r="G1956" s="74" t="n"/>
      <c r="H1956" s="74" t="n"/>
      <c r="I1956" s="74" t="n"/>
      <c r="J1956" s="77" t="n"/>
      <c r="K1956" s="77" t="n"/>
      <c r="L1956" s="74" t="n"/>
      <c r="M1956" s="74" t="n"/>
      <c r="O1956" s="78">
        <f>IF($A1956="","",YEAR($A1956)*100+MONTH($A1956))</f>
        <v/>
      </c>
      <c r="P1956" s="79">
        <f>IF(OR($F1956="",$D1956=""),"",IF($D1956="Receita",$F1956,IF($D1956="Transferência",0,-$F1956)))</f>
        <v/>
      </c>
    </row>
    <row r="1957">
      <c r="A1957" s="73" t="n"/>
      <c r="B1957" s="74" t="n"/>
      <c r="C1957" s="74" t="n"/>
      <c r="D1957" s="75">
        <f>IF($C1957="","",IFERROR(INDEX(CAT_TIPO,MATCH($C1957,CAT_NOME,0)),"Sem categoria"))</f>
        <v/>
      </c>
      <c r="E1957" s="75">
        <f>IF($C1957="","",IFERROR(INDEX(CAT_GRUPO,MATCH($C1957,CAT_NOME,0)),"Sem categoria"))</f>
        <v/>
      </c>
      <c r="F1957" s="76" t="n"/>
      <c r="G1957" s="74" t="n"/>
      <c r="H1957" s="74" t="n"/>
      <c r="I1957" s="74" t="n"/>
      <c r="J1957" s="77" t="n"/>
      <c r="K1957" s="77" t="n"/>
      <c r="L1957" s="74" t="n"/>
      <c r="M1957" s="74" t="n"/>
      <c r="O1957" s="78">
        <f>IF($A1957="","",YEAR($A1957)*100+MONTH($A1957))</f>
        <v/>
      </c>
      <c r="P1957" s="79">
        <f>IF(OR($F1957="",$D1957=""),"",IF($D1957="Receita",$F1957,IF($D1957="Transferência",0,-$F1957)))</f>
        <v/>
      </c>
    </row>
    <row r="1958">
      <c r="A1958" s="73" t="n"/>
      <c r="B1958" s="74" t="n"/>
      <c r="C1958" s="74" t="n"/>
      <c r="D1958" s="75">
        <f>IF($C1958="","",IFERROR(INDEX(CAT_TIPO,MATCH($C1958,CAT_NOME,0)),"Sem categoria"))</f>
        <v/>
      </c>
      <c r="E1958" s="75">
        <f>IF($C1958="","",IFERROR(INDEX(CAT_GRUPO,MATCH($C1958,CAT_NOME,0)),"Sem categoria"))</f>
        <v/>
      </c>
      <c r="F1958" s="76" t="n"/>
      <c r="G1958" s="74" t="n"/>
      <c r="H1958" s="74" t="n"/>
      <c r="I1958" s="74" t="n"/>
      <c r="J1958" s="77" t="n"/>
      <c r="K1958" s="77" t="n"/>
      <c r="L1958" s="74" t="n"/>
      <c r="M1958" s="74" t="n"/>
      <c r="O1958" s="78">
        <f>IF($A1958="","",YEAR($A1958)*100+MONTH($A1958))</f>
        <v/>
      </c>
      <c r="P1958" s="79">
        <f>IF(OR($F1958="",$D1958=""),"",IF($D1958="Receita",$F1958,IF($D1958="Transferência",0,-$F1958)))</f>
        <v/>
      </c>
    </row>
    <row r="1959">
      <c r="A1959" s="73" t="n"/>
      <c r="B1959" s="74" t="n"/>
      <c r="C1959" s="74" t="n"/>
      <c r="D1959" s="75">
        <f>IF($C1959="","",IFERROR(INDEX(CAT_TIPO,MATCH($C1959,CAT_NOME,0)),"Sem categoria"))</f>
        <v/>
      </c>
      <c r="E1959" s="75">
        <f>IF($C1959="","",IFERROR(INDEX(CAT_GRUPO,MATCH($C1959,CAT_NOME,0)),"Sem categoria"))</f>
        <v/>
      </c>
      <c r="F1959" s="76" t="n"/>
      <c r="G1959" s="74" t="n"/>
      <c r="H1959" s="74" t="n"/>
      <c r="I1959" s="74" t="n"/>
      <c r="J1959" s="77" t="n"/>
      <c r="K1959" s="77" t="n"/>
      <c r="L1959" s="74" t="n"/>
      <c r="M1959" s="74" t="n"/>
      <c r="O1959" s="78">
        <f>IF($A1959="","",YEAR($A1959)*100+MONTH($A1959))</f>
        <v/>
      </c>
      <c r="P1959" s="79">
        <f>IF(OR($F1959="",$D1959=""),"",IF($D1959="Receita",$F1959,IF($D1959="Transferência",0,-$F1959)))</f>
        <v/>
      </c>
    </row>
    <row r="1960">
      <c r="A1960" s="73" t="n"/>
      <c r="B1960" s="74" t="n"/>
      <c r="C1960" s="74" t="n"/>
      <c r="D1960" s="75">
        <f>IF($C1960="","",IFERROR(INDEX(CAT_TIPO,MATCH($C1960,CAT_NOME,0)),"Sem categoria"))</f>
        <v/>
      </c>
      <c r="E1960" s="75">
        <f>IF($C1960="","",IFERROR(INDEX(CAT_GRUPO,MATCH($C1960,CAT_NOME,0)),"Sem categoria"))</f>
        <v/>
      </c>
      <c r="F1960" s="76" t="n"/>
      <c r="G1960" s="74" t="n"/>
      <c r="H1960" s="74" t="n"/>
      <c r="I1960" s="74" t="n"/>
      <c r="J1960" s="77" t="n"/>
      <c r="K1960" s="77" t="n"/>
      <c r="L1960" s="74" t="n"/>
      <c r="M1960" s="74" t="n"/>
      <c r="O1960" s="78">
        <f>IF($A1960="","",YEAR($A1960)*100+MONTH($A1960))</f>
        <v/>
      </c>
      <c r="P1960" s="79">
        <f>IF(OR($F1960="",$D1960=""),"",IF($D1960="Receita",$F1960,IF($D1960="Transferência",0,-$F1960)))</f>
        <v/>
      </c>
    </row>
    <row r="1961">
      <c r="A1961" s="73" t="n"/>
      <c r="B1961" s="74" t="n"/>
      <c r="C1961" s="74" t="n"/>
      <c r="D1961" s="75">
        <f>IF($C1961="","",IFERROR(INDEX(CAT_TIPO,MATCH($C1961,CAT_NOME,0)),"Sem categoria"))</f>
        <v/>
      </c>
      <c r="E1961" s="75">
        <f>IF($C1961="","",IFERROR(INDEX(CAT_GRUPO,MATCH($C1961,CAT_NOME,0)),"Sem categoria"))</f>
        <v/>
      </c>
      <c r="F1961" s="76" t="n"/>
      <c r="G1961" s="74" t="n"/>
      <c r="H1961" s="74" t="n"/>
      <c r="I1961" s="74" t="n"/>
      <c r="J1961" s="77" t="n"/>
      <c r="K1961" s="77" t="n"/>
      <c r="L1961" s="74" t="n"/>
      <c r="M1961" s="74" t="n"/>
      <c r="O1961" s="78">
        <f>IF($A1961="","",YEAR($A1961)*100+MONTH($A1961))</f>
        <v/>
      </c>
      <c r="P1961" s="79">
        <f>IF(OR($F1961="",$D1961=""),"",IF($D1961="Receita",$F1961,IF($D1961="Transferência",0,-$F1961)))</f>
        <v/>
      </c>
    </row>
    <row r="1962">
      <c r="A1962" s="73" t="n"/>
      <c r="B1962" s="74" t="n"/>
      <c r="C1962" s="74" t="n"/>
      <c r="D1962" s="75">
        <f>IF($C1962="","",IFERROR(INDEX(CAT_TIPO,MATCH($C1962,CAT_NOME,0)),"Sem categoria"))</f>
        <v/>
      </c>
      <c r="E1962" s="75">
        <f>IF($C1962="","",IFERROR(INDEX(CAT_GRUPO,MATCH($C1962,CAT_NOME,0)),"Sem categoria"))</f>
        <v/>
      </c>
      <c r="F1962" s="76" t="n"/>
      <c r="G1962" s="74" t="n"/>
      <c r="H1962" s="74" t="n"/>
      <c r="I1962" s="74" t="n"/>
      <c r="J1962" s="77" t="n"/>
      <c r="K1962" s="77" t="n"/>
      <c r="L1962" s="74" t="n"/>
      <c r="M1962" s="74" t="n"/>
      <c r="O1962" s="78">
        <f>IF($A1962="","",YEAR($A1962)*100+MONTH($A1962))</f>
        <v/>
      </c>
      <c r="P1962" s="79">
        <f>IF(OR($F1962="",$D1962=""),"",IF($D1962="Receita",$F1962,IF($D1962="Transferência",0,-$F1962)))</f>
        <v/>
      </c>
    </row>
    <row r="1963">
      <c r="A1963" s="73" t="n"/>
      <c r="B1963" s="74" t="n"/>
      <c r="C1963" s="74" t="n"/>
      <c r="D1963" s="75">
        <f>IF($C1963="","",IFERROR(INDEX(CAT_TIPO,MATCH($C1963,CAT_NOME,0)),"Sem categoria"))</f>
        <v/>
      </c>
      <c r="E1963" s="75">
        <f>IF($C1963="","",IFERROR(INDEX(CAT_GRUPO,MATCH($C1963,CAT_NOME,0)),"Sem categoria"))</f>
        <v/>
      </c>
      <c r="F1963" s="76" t="n"/>
      <c r="G1963" s="74" t="n"/>
      <c r="H1963" s="74" t="n"/>
      <c r="I1963" s="74" t="n"/>
      <c r="J1963" s="77" t="n"/>
      <c r="K1963" s="77" t="n"/>
      <c r="L1963" s="74" t="n"/>
      <c r="M1963" s="74" t="n"/>
      <c r="O1963" s="78">
        <f>IF($A1963="","",YEAR($A1963)*100+MONTH($A1963))</f>
        <v/>
      </c>
      <c r="P1963" s="79">
        <f>IF(OR($F1963="",$D1963=""),"",IF($D1963="Receita",$F1963,IF($D1963="Transferência",0,-$F1963)))</f>
        <v/>
      </c>
    </row>
    <row r="1964">
      <c r="A1964" s="73" t="n"/>
      <c r="B1964" s="74" t="n"/>
      <c r="C1964" s="74" t="n"/>
      <c r="D1964" s="75">
        <f>IF($C1964="","",IFERROR(INDEX(CAT_TIPO,MATCH($C1964,CAT_NOME,0)),"Sem categoria"))</f>
        <v/>
      </c>
      <c r="E1964" s="75">
        <f>IF($C1964="","",IFERROR(INDEX(CAT_GRUPO,MATCH($C1964,CAT_NOME,0)),"Sem categoria"))</f>
        <v/>
      </c>
      <c r="F1964" s="76" t="n"/>
      <c r="G1964" s="74" t="n"/>
      <c r="H1964" s="74" t="n"/>
      <c r="I1964" s="74" t="n"/>
      <c r="J1964" s="77" t="n"/>
      <c r="K1964" s="77" t="n"/>
      <c r="L1964" s="74" t="n"/>
      <c r="M1964" s="74" t="n"/>
      <c r="O1964" s="78">
        <f>IF($A1964="","",YEAR($A1964)*100+MONTH($A1964))</f>
        <v/>
      </c>
      <c r="P1964" s="79">
        <f>IF(OR($F1964="",$D1964=""),"",IF($D1964="Receita",$F1964,IF($D1964="Transferência",0,-$F1964)))</f>
        <v/>
      </c>
    </row>
    <row r="1965">
      <c r="A1965" s="73" t="n"/>
      <c r="B1965" s="74" t="n"/>
      <c r="C1965" s="74" t="n"/>
      <c r="D1965" s="75">
        <f>IF($C1965="","",IFERROR(INDEX(CAT_TIPO,MATCH($C1965,CAT_NOME,0)),"Sem categoria"))</f>
        <v/>
      </c>
      <c r="E1965" s="75">
        <f>IF($C1965="","",IFERROR(INDEX(CAT_GRUPO,MATCH($C1965,CAT_NOME,0)),"Sem categoria"))</f>
        <v/>
      </c>
      <c r="F1965" s="76" t="n"/>
      <c r="G1965" s="74" t="n"/>
      <c r="H1965" s="74" t="n"/>
      <c r="I1965" s="74" t="n"/>
      <c r="J1965" s="77" t="n"/>
      <c r="K1965" s="77" t="n"/>
      <c r="L1965" s="74" t="n"/>
      <c r="M1965" s="74" t="n"/>
      <c r="O1965" s="78">
        <f>IF($A1965="","",YEAR($A1965)*100+MONTH($A1965))</f>
        <v/>
      </c>
      <c r="P1965" s="79">
        <f>IF(OR($F1965="",$D1965=""),"",IF($D1965="Receita",$F1965,IF($D1965="Transferência",0,-$F1965)))</f>
        <v/>
      </c>
    </row>
    <row r="1966">
      <c r="A1966" s="73" t="n"/>
      <c r="B1966" s="74" t="n"/>
      <c r="C1966" s="74" t="n"/>
      <c r="D1966" s="75">
        <f>IF($C1966="","",IFERROR(INDEX(CAT_TIPO,MATCH($C1966,CAT_NOME,0)),"Sem categoria"))</f>
        <v/>
      </c>
      <c r="E1966" s="75">
        <f>IF($C1966="","",IFERROR(INDEX(CAT_GRUPO,MATCH($C1966,CAT_NOME,0)),"Sem categoria"))</f>
        <v/>
      </c>
      <c r="F1966" s="76" t="n"/>
      <c r="G1966" s="74" t="n"/>
      <c r="H1966" s="74" t="n"/>
      <c r="I1966" s="74" t="n"/>
      <c r="J1966" s="77" t="n"/>
      <c r="K1966" s="77" t="n"/>
      <c r="L1966" s="74" t="n"/>
      <c r="M1966" s="74" t="n"/>
      <c r="O1966" s="78">
        <f>IF($A1966="","",YEAR($A1966)*100+MONTH($A1966))</f>
        <v/>
      </c>
      <c r="P1966" s="79">
        <f>IF(OR($F1966="",$D1966=""),"",IF($D1966="Receita",$F1966,IF($D1966="Transferência",0,-$F1966)))</f>
        <v/>
      </c>
    </row>
    <row r="1967">
      <c r="A1967" s="73" t="n"/>
      <c r="B1967" s="74" t="n"/>
      <c r="C1967" s="74" t="n"/>
      <c r="D1967" s="75">
        <f>IF($C1967="","",IFERROR(INDEX(CAT_TIPO,MATCH($C1967,CAT_NOME,0)),"Sem categoria"))</f>
        <v/>
      </c>
      <c r="E1967" s="75">
        <f>IF($C1967="","",IFERROR(INDEX(CAT_GRUPO,MATCH($C1967,CAT_NOME,0)),"Sem categoria"))</f>
        <v/>
      </c>
      <c r="F1967" s="76" t="n"/>
      <c r="G1967" s="74" t="n"/>
      <c r="H1967" s="74" t="n"/>
      <c r="I1967" s="74" t="n"/>
      <c r="J1967" s="77" t="n"/>
      <c r="K1967" s="77" t="n"/>
      <c r="L1967" s="74" t="n"/>
      <c r="M1967" s="74" t="n"/>
      <c r="O1967" s="78">
        <f>IF($A1967="","",YEAR($A1967)*100+MONTH($A1967))</f>
        <v/>
      </c>
      <c r="P1967" s="79">
        <f>IF(OR($F1967="",$D1967=""),"",IF($D1967="Receita",$F1967,IF($D1967="Transferência",0,-$F1967)))</f>
        <v/>
      </c>
    </row>
    <row r="1968">
      <c r="A1968" s="73" t="n"/>
      <c r="B1968" s="74" t="n"/>
      <c r="C1968" s="74" t="n"/>
      <c r="D1968" s="75">
        <f>IF($C1968="","",IFERROR(INDEX(CAT_TIPO,MATCH($C1968,CAT_NOME,0)),"Sem categoria"))</f>
        <v/>
      </c>
      <c r="E1968" s="75">
        <f>IF($C1968="","",IFERROR(INDEX(CAT_GRUPO,MATCH($C1968,CAT_NOME,0)),"Sem categoria"))</f>
        <v/>
      </c>
      <c r="F1968" s="76" t="n"/>
      <c r="G1968" s="74" t="n"/>
      <c r="H1968" s="74" t="n"/>
      <c r="I1968" s="74" t="n"/>
      <c r="J1968" s="77" t="n"/>
      <c r="K1968" s="77" t="n"/>
      <c r="L1968" s="74" t="n"/>
      <c r="M1968" s="74" t="n"/>
      <c r="O1968" s="78">
        <f>IF($A1968="","",YEAR($A1968)*100+MONTH($A1968))</f>
        <v/>
      </c>
      <c r="P1968" s="79">
        <f>IF(OR($F1968="",$D1968=""),"",IF($D1968="Receita",$F1968,IF($D1968="Transferência",0,-$F1968)))</f>
        <v/>
      </c>
    </row>
    <row r="1969">
      <c r="A1969" s="73" t="n"/>
      <c r="B1969" s="74" t="n"/>
      <c r="C1969" s="74" t="n"/>
      <c r="D1969" s="75">
        <f>IF($C1969="","",IFERROR(INDEX(CAT_TIPO,MATCH($C1969,CAT_NOME,0)),"Sem categoria"))</f>
        <v/>
      </c>
      <c r="E1969" s="75">
        <f>IF($C1969="","",IFERROR(INDEX(CAT_GRUPO,MATCH($C1969,CAT_NOME,0)),"Sem categoria"))</f>
        <v/>
      </c>
      <c r="F1969" s="76" t="n"/>
      <c r="G1969" s="74" t="n"/>
      <c r="H1969" s="74" t="n"/>
      <c r="I1969" s="74" t="n"/>
      <c r="J1969" s="77" t="n"/>
      <c r="K1969" s="77" t="n"/>
      <c r="L1969" s="74" t="n"/>
      <c r="M1969" s="74" t="n"/>
      <c r="O1969" s="78">
        <f>IF($A1969="","",YEAR($A1969)*100+MONTH($A1969))</f>
        <v/>
      </c>
      <c r="P1969" s="79">
        <f>IF(OR($F1969="",$D1969=""),"",IF($D1969="Receita",$F1969,IF($D1969="Transferência",0,-$F1969)))</f>
        <v/>
      </c>
    </row>
    <row r="1970">
      <c r="A1970" s="73" t="n"/>
      <c r="B1970" s="74" t="n"/>
      <c r="C1970" s="74" t="n"/>
      <c r="D1970" s="75">
        <f>IF($C1970="","",IFERROR(INDEX(CAT_TIPO,MATCH($C1970,CAT_NOME,0)),"Sem categoria"))</f>
        <v/>
      </c>
      <c r="E1970" s="75">
        <f>IF($C1970="","",IFERROR(INDEX(CAT_GRUPO,MATCH($C1970,CAT_NOME,0)),"Sem categoria"))</f>
        <v/>
      </c>
      <c r="F1970" s="76" t="n"/>
      <c r="G1970" s="74" t="n"/>
      <c r="H1970" s="74" t="n"/>
      <c r="I1970" s="74" t="n"/>
      <c r="J1970" s="77" t="n"/>
      <c r="K1970" s="77" t="n"/>
      <c r="L1970" s="74" t="n"/>
      <c r="M1970" s="74" t="n"/>
      <c r="O1970" s="78">
        <f>IF($A1970="","",YEAR($A1970)*100+MONTH($A1970))</f>
        <v/>
      </c>
      <c r="P1970" s="79">
        <f>IF(OR($F1970="",$D1970=""),"",IF($D1970="Receita",$F1970,IF($D1970="Transferência",0,-$F1970)))</f>
        <v/>
      </c>
    </row>
    <row r="1971">
      <c r="A1971" s="73" t="n"/>
      <c r="B1971" s="74" t="n"/>
      <c r="C1971" s="74" t="n"/>
      <c r="D1971" s="75">
        <f>IF($C1971="","",IFERROR(INDEX(CAT_TIPO,MATCH($C1971,CAT_NOME,0)),"Sem categoria"))</f>
        <v/>
      </c>
      <c r="E1971" s="75">
        <f>IF($C1971="","",IFERROR(INDEX(CAT_GRUPO,MATCH($C1971,CAT_NOME,0)),"Sem categoria"))</f>
        <v/>
      </c>
      <c r="F1971" s="76" t="n"/>
      <c r="G1971" s="74" t="n"/>
      <c r="H1971" s="74" t="n"/>
      <c r="I1971" s="74" t="n"/>
      <c r="J1971" s="77" t="n"/>
      <c r="K1971" s="77" t="n"/>
      <c r="L1971" s="74" t="n"/>
      <c r="M1971" s="74" t="n"/>
      <c r="O1971" s="78">
        <f>IF($A1971="","",YEAR($A1971)*100+MONTH($A1971))</f>
        <v/>
      </c>
      <c r="P1971" s="79">
        <f>IF(OR($F1971="",$D1971=""),"",IF($D1971="Receita",$F1971,IF($D1971="Transferência",0,-$F1971)))</f>
        <v/>
      </c>
    </row>
    <row r="1972">
      <c r="A1972" s="73" t="n"/>
      <c r="B1972" s="74" t="n"/>
      <c r="C1972" s="74" t="n"/>
      <c r="D1972" s="75">
        <f>IF($C1972="","",IFERROR(INDEX(CAT_TIPO,MATCH($C1972,CAT_NOME,0)),"Sem categoria"))</f>
        <v/>
      </c>
      <c r="E1972" s="75">
        <f>IF($C1972="","",IFERROR(INDEX(CAT_GRUPO,MATCH($C1972,CAT_NOME,0)),"Sem categoria"))</f>
        <v/>
      </c>
      <c r="F1972" s="76" t="n"/>
      <c r="G1972" s="74" t="n"/>
      <c r="H1972" s="74" t="n"/>
      <c r="I1972" s="74" t="n"/>
      <c r="J1972" s="77" t="n"/>
      <c r="K1972" s="77" t="n"/>
      <c r="L1972" s="74" t="n"/>
      <c r="M1972" s="74" t="n"/>
      <c r="O1972" s="78">
        <f>IF($A1972="","",YEAR($A1972)*100+MONTH($A1972))</f>
        <v/>
      </c>
      <c r="P1972" s="79">
        <f>IF(OR($F1972="",$D1972=""),"",IF($D1972="Receita",$F1972,IF($D1972="Transferência",0,-$F1972)))</f>
        <v/>
      </c>
    </row>
    <row r="1973">
      <c r="A1973" s="73" t="n"/>
      <c r="B1973" s="74" t="n"/>
      <c r="C1973" s="74" t="n"/>
      <c r="D1973" s="75">
        <f>IF($C1973="","",IFERROR(INDEX(CAT_TIPO,MATCH($C1973,CAT_NOME,0)),"Sem categoria"))</f>
        <v/>
      </c>
      <c r="E1973" s="75">
        <f>IF($C1973="","",IFERROR(INDEX(CAT_GRUPO,MATCH($C1973,CAT_NOME,0)),"Sem categoria"))</f>
        <v/>
      </c>
      <c r="F1973" s="76" t="n"/>
      <c r="G1973" s="74" t="n"/>
      <c r="H1973" s="74" t="n"/>
      <c r="I1973" s="74" t="n"/>
      <c r="J1973" s="77" t="n"/>
      <c r="K1973" s="77" t="n"/>
      <c r="L1973" s="74" t="n"/>
      <c r="M1973" s="74" t="n"/>
      <c r="O1973" s="78">
        <f>IF($A1973="","",YEAR($A1973)*100+MONTH($A1973))</f>
        <v/>
      </c>
      <c r="P1973" s="79">
        <f>IF(OR($F1973="",$D1973=""),"",IF($D1973="Receita",$F1973,IF($D1973="Transferência",0,-$F1973)))</f>
        <v/>
      </c>
    </row>
    <row r="1974">
      <c r="A1974" s="73" t="n"/>
      <c r="B1974" s="74" t="n"/>
      <c r="C1974" s="74" t="n"/>
      <c r="D1974" s="75">
        <f>IF($C1974="","",IFERROR(INDEX(CAT_TIPO,MATCH($C1974,CAT_NOME,0)),"Sem categoria"))</f>
        <v/>
      </c>
      <c r="E1974" s="75">
        <f>IF($C1974="","",IFERROR(INDEX(CAT_GRUPO,MATCH($C1974,CAT_NOME,0)),"Sem categoria"))</f>
        <v/>
      </c>
      <c r="F1974" s="76" t="n"/>
      <c r="G1974" s="74" t="n"/>
      <c r="H1974" s="74" t="n"/>
      <c r="I1974" s="74" t="n"/>
      <c r="J1974" s="77" t="n"/>
      <c r="K1974" s="77" t="n"/>
      <c r="L1974" s="74" t="n"/>
      <c r="M1974" s="74" t="n"/>
      <c r="O1974" s="78">
        <f>IF($A1974="","",YEAR($A1974)*100+MONTH($A1974))</f>
        <v/>
      </c>
      <c r="P1974" s="79">
        <f>IF(OR($F1974="",$D1974=""),"",IF($D1974="Receita",$F1974,IF($D1974="Transferência",0,-$F1974)))</f>
        <v/>
      </c>
    </row>
    <row r="1975">
      <c r="A1975" s="73" t="n"/>
      <c r="B1975" s="74" t="n"/>
      <c r="C1975" s="74" t="n"/>
      <c r="D1975" s="75">
        <f>IF($C1975="","",IFERROR(INDEX(CAT_TIPO,MATCH($C1975,CAT_NOME,0)),"Sem categoria"))</f>
        <v/>
      </c>
      <c r="E1975" s="75">
        <f>IF($C1975="","",IFERROR(INDEX(CAT_GRUPO,MATCH($C1975,CAT_NOME,0)),"Sem categoria"))</f>
        <v/>
      </c>
      <c r="F1975" s="76" t="n"/>
      <c r="G1975" s="74" t="n"/>
      <c r="H1975" s="74" t="n"/>
      <c r="I1975" s="74" t="n"/>
      <c r="J1975" s="77" t="n"/>
      <c r="K1975" s="77" t="n"/>
      <c r="L1975" s="74" t="n"/>
      <c r="M1975" s="74" t="n"/>
      <c r="O1975" s="78">
        <f>IF($A1975="","",YEAR($A1975)*100+MONTH($A1975))</f>
        <v/>
      </c>
      <c r="P1975" s="79">
        <f>IF(OR($F1975="",$D1975=""),"",IF($D1975="Receita",$F1975,IF($D1975="Transferência",0,-$F1975)))</f>
        <v/>
      </c>
    </row>
    <row r="1976">
      <c r="A1976" s="73" t="n"/>
      <c r="B1976" s="74" t="n"/>
      <c r="C1976" s="74" t="n"/>
      <c r="D1976" s="75">
        <f>IF($C1976="","",IFERROR(INDEX(CAT_TIPO,MATCH($C1976,CAT_NOME,0)),"Sem categoria"))</f>
        <v/>
      </c>
      <c r="E1976" s="75">
        <f>IF($C1976="","",IFERROR(INDEX(CAT_GRUPO,MATCH($C1976,CAT_NOME,0)),"Sem categoria"))</f>
        <v/>
      </c>
      <c r="F1976" s="76" t="n"/>
      <c r="G1976" s="74" t="n"/>
      <c r="H1976" s="74" t="n"/>
      <c r="I1976" s="74" t="n"/>
      <c r="J1976" s="77" t="n"/>
      <c r="K1976" s="77" t="n"/>
      <c r="L1976" s="74" t="n"/>
      <c r="M1976" s="74" t="n"/>
      <c r="O1976" s="78">
        <f>IF($A1976="","",YEAR($A1976)*100+MONTH($A1976))</f>
        <v/>
      </c>
      <c r="P1976" s="79">
        <f>IF(OR($F1976="",$D1976=""),"",IF($D1976="Receita",$F1976,IF($D1976="Transferência",0,-$F1976)))</f>
        <v/>
      </c>
    </row>
    <row r="1977">
      <c r="A1977" s="73" t="n"/>
      <c r="B1977" s="74" t="n"/>
      <c r="C1977" s="74" t="n"/>
      <c r="D1977" s="75">
        <f>IF($C1977="","",IFERROR(INDEX(CAT_TIPO,MATCH($C1977,CAT_NOME,0)),"Sem categoria"))</f>
        <v/>
      </c>
      <c r="E1977" s="75">
        <f>IF($C1977="","",IFERROR(INDEX(CAT_GRUPO,MATCH($C1977,CAT_NOME,0)),"Sem categoria"))</f>
        <v/>
      </c>
      <c r="F1977" s="76" t="n"/>
      <c r="G1977" s="74" t="n"/>
      <c r="H1977" s="74" t="n"/>
      <c r="I1977" s="74" t="n"/>
      <c r="J1977" s="77" t="n"/>
      <c r="K1977" s="77" t="n"/>
      <c r="L1977" s="74" t="n"/>
      <c r="M1977" s="74" t="n"/>
      <c r="O1977" s="78">
        <f>IF($A1977="","",YEAR($A1977)*100+MONTH($A1977))</f>
        <v/>
      </c>
      <c r="P1977" s="79">
        <f>IF(OR($F1977="",$D1977=""),"",IF($D1977="Receita",$F1977,IF($D1977="Transferência",0,-$F1977)))</f>
        <v/>
      </c>
    </row>
    <row r="1978">
      <c r="A1978" s="73" t="n"/>
      <c r="B1978" s="74" t="n"/>
      <c r="C1978" s="74" t="n"/>
      <c r="D1978" s="75">
        <f>IF($C1978="","",IFERROR(INDEX(CAT_TIPO,MATCH($C1978,CAT_NOME,0)),"Sem categoria"))</f>
        <v/>
      </c>
      <c r="E1978" s="75">
        <f>IF($C1978="","",IFERROR(INDEX(CAT_GRUPO,MATCH($C1978,CAT_NOME,0)),"Sem categoria"))</f>
        <v/>
      </c>
      <c r="F1978" s="76" t="n"/>
      <c r="G1978" s="74" t="n"/>
      <c r="H1978" s="74" t="n"/>
      <c r="I1978" s="74" t="n"/>
      <c r="J1978" s="77" t="n"/>
      <c r="K1978" s="77" t="n"/>
      <c r="L1978" s="74" t="n"/>
      <c r="M1978" s="74" t="n"/>
      <c r="O1978" s="78">
        <f>IF($A1978="","",YEAR($A1978)*100+MONTH($A1978))</f>
        <v/>
      </c>
      <c r="P1978" s="79">
        <f>IF(OR($F1978="",$D1978=""),"",IF($D1978="Receita",$F1978,IF($D1978="Transferência",0,-$F1978)))</f>
        <v/>
      </c>
    </row>
    <row r="1979">
      <c r="A1979" s="73" t="n"/>
      <c r="B1979" s="74" t="n"/>
      <c r="C1979" s="74" t="n"/>
      <c r="D1979" s="75">
        <f>IF($C1979="","",IFERROR(INDEX(CAT_TIPO,MATCH($C1979,CAT_NOME,0)),"Sem categoria"))</f>
        <v/>
      </c>
      <c r="E1979" s="75">
        <f>IF($C1979="","",IFERROR(INDEX(CAT_GRUPO,MATCH($C1979,CAT_NOME,0)),"Sem categoria"))</f>
        <v/>
      </c>
      <c r="F1979" s="76" t="n"/>
      <c r="G1979" s="74" t="n"/>
      <c r="H1979" s="74" t="n"/>
      <c r="I1979" s="74" t="n"/>
      <c r="J1979" s="77" t="n"/>
      <c r="K1979" s="77" t="n"/>
      <c r="L1979" s="74" t="n"/>
      <c r="M1979" s="74" t="n"/>
      <c r="O1979" s="78">
        <f>IF($A1979="","",YEAR($A1979)*100+MONTH($A1979))</f>
        <v/>
      </c>
      <c r="P1979" s="79">
        <f>IF(OR($F1979="",$D1979=""),"",IF($D1979="Receita",$F1979,IF($D1979="Transferência",0,-$F1979)))</f>
        <v/>
      </c>
    </row>
    <row r="1980">
      <c r="A1980" s="73" t="n"/>
      <c r="B1980" s="74" t="n"/>
      <c r="C1980" s="74" t="n"/>
      <c r="D1980" s="75">
        <f>IF($C1980="","",IFERROR(INDEX(CAT_TIPO,MATCH($C1980,CAT_NOME,0)),"Sem categoria"))</f>
        <v/>
      </c>
      <c r="E1980" s="75">
        <f>IF($C1980="","",IFERROR(INDEX(CAT_GRUPO,MATCH($C1980,CAT_NOME,0)),"Sem categoria"))</f>
        <v/>
      </c>
      <c r="F1980" s="76" t="n"/>
      <c r="G1980" s="74" t="n"/>
      <c r="H1980" s="74" t="n"/>
      <c r="I1980" s="74" t="n"/>
      <c r="J1980" s="77" t="n"/>
      <c r="K1980" s="77" t="n"/>
      <c r="L1980" s="74" t="n"/>
      <c r="M1980" s="74" t="n"/>
      <c r="O1980" s="78">
        <f>IF($A1980="","",YEAR($A1980)*100+MONTH($A1980))</f>
        <v/>
      </c>
      <c r="P1980" s="79">
        <f>IF(OR($F1980="",$D1980=""),"",IF($D1980="Receita",$F1980,IF($D1980="Transferência",0,-$F1980)))</f>
        <v/>
      </c>
    </row>
    <row r="1981">
      <c r="A1981" s="73" t="n"/>
      <c r="B1981" s="74" t="n"/>
      <c r="C1981" s="74" t="n"/>
      <c r="D1981" s="75">
        <f>IF($C1981="","",IFERROR(INDEX(CAT_TIPO,MATCH($C1981,CAT_NOME,0)),"Sem categoria"))</f>
        <v/>
      </c>
      <c r="E1981" s="75">
        <f>IF($C1981="","",IFERROR(INDEX(CAT_GRUPO,MATCH($C1981,CAT_NOME,0)),"Sem categoria"))</f>
        <v/>
      </c>
      <c r="F1981" s="76" t="n"/>
      <c r="G1981" s="74" t="n"/>
      <c r="H1981" s="74" t="n"/>
      <c r="I1981" s="74" t="n"/>
      <c r="J1981" s="77" t="n"/>
      <c r="K1981" s="77" t="n"/>
      <c r="L1981" s="74" t="n"/>
      <c r="M1981" s="74" t="n"/>
      <c r="O1981" s="78">
        <f>IF($A1981="","",YEAR($A1981)*100+MONTH($A1981))</f>
        <v/>
      </c>
      <c r="P1981" s="79">
        <f>IF(OR($F1981="",$D1981=""),"",IF($D1981="Receita",$F1981,IF($D1981="Transferência",0,-$F1981)))</f>
        <v/>
      </c>
    </row>
    <row r="1982">
      <c r="A1982" s="73" t="n"/>
      <c r="B1982" s="74" t="n"/>
      <c r="C1982" s="74" t="n"/>
      <c r="D1982" s="75">
        <f>IF($C1982="","",IFERROR(INDEX(CAT_TIPO,MATCH($C1982,CAT_NOME,0)),"Sem categoria"))</f>
        <v/>
      </c>
      <c r="E1982" s="75">
        <f>IF($C1982="","",IFERROR(INDEX(CAT_GRUPO,MATCH($C1982,CAT_NOME,0)),"Sem categoria"))</f>
        <v/>
      </c>
      <c r="F1982" s="76" t="n"/>
      <c r="G1982" s="74" t="n"/>
      <c r="H1982" s="74" t="n"/>
      <c r="I1982" s="74" t="n"/>
      <c r="J1982" s="77" t="n"/>
      <c r="K1982" s="77" t="n"/>
      <c r="L1982" s="74" t="n"/>
      <c r="M1982" s="74" t="n"/>
      <c r="O1982" s="78">
        <f>IF($A1982="","",YEAR($A1982)*100+MONTH($A1982))</f>
        <v/>
      </c>
      <c r="P1982" s="79">
        <f>IF(OR($F1982="",$D1982=""),"",IF($D1982="Receita",$F1982,IF($D1982="Transferência",0,-$F1982)))</f>
        <v/>
      </c>
    </row>
    <row r="1983">
      <c r="A1983" s="73" t="n"/>
      <c r="B1983" s="74" t="n"/>
      <c r="C1983" s="74" t="n"/>
      <c r="D1983" s="75">
        <f>IF($C1983="","",IFERROR(INDEX(CAT_TIPO,MATCH($C1983,CAT_NOME,0)),"Sem categoria"))</f>
        <v/>
      </c>
      <c r="E1983" s="75">
        <f>IF($C1983="","",IFERROR(INDEX(CAT_GRUPO,MATCH($C1983,CAT_NOME,0)),"Sem categoria"))</f>
        <v/>
      </c>
      <c r="F1983" s="76" t="n"/>
      <c r="G1983" s="74" t="n"/>
      <c r="H1983" s="74" t="n"/>
      <c r="I1983" s="74" t="n"/>
      <c r="J1983" s="77" t="n"/>
      <c r="K1983" s="77" t="n"/>
      <c r="L1983" s="74" t="n"/>
      <c r="M1983" s="74" t="n"/>
      <c r="O1983" s="78">
        <f>IF($A1983="","",YEAR($A1983)*100+MONTH($A1983))</f>
        <v/>
      </c>
      <c r="P1983" s="79">
        <f>IF(OR($F1983="",$D1983=""),"",IF($D1983="Receita",$F1983,IF($D1983="Transferência",0,-$F1983)))</f>
        <v/>
      </c>
    </row>
    <row r="1984">
      <c r="A1984" s="73" t="n"/>
      <c r="B1984" s="74" t="n"/>
      <c r="C1984" s="74" t="n"/>
      <c r="D1984" s="75">
        <f>IF($C1984="","",IFERROR(INDEX(CAT_TIPO,MATCH($C1984,CAT_NOME,0)),"Sem categoria"))</f>
        <v/>
      </c>
      <c r="E1984" s="75">
        <f>IF($C1984="","",IFERROR(INDEX(CAT_GRUPO,MATCH($C1984,CAT_NOME,0)),"Sem categoria"))</f>
        <v/>
      </c>
      <c r="F1984" s="76" t="n"/>
      <c r="G1984" s="74" t="n"/>
      <c r="H1984" s="74" t="n"/>
      <c r="I1984" s="74" t="n"/>
      <c r="J1984" s="77" t="n"/>
      <c r="K1984" s="77" t="n"/>
      <c r="L1984" s="74" t="n"/>
      <c r="M1984" s="74" t="n"/>
      <c r="O1984" s="78">
        <f>IF($A1984="","",YEAR($A1984)*100+MONTH($A1984))</f>
        <v/>
      </c>
      <c r="P1984" s="79">
        <f>IF(OR($F1984="",$D1984=""),"",IF($D1984="Receita",$F1984,IF($D1984="Transferência",0,-$F1984)))</f>
        <v/>
      </c>
    </row>
    <row r="1985">
      <c r="A1985" s="73" t="n"/>
      <c r="B1985" s="74" t="n"/>
      <c r="C1985" s="74" t="n"/>
      <c r="D1985" s="75">
        <f>IF($C1985="","",IFERROR(INDEX(CAT_TIPO,MATCH($C1985,CAT_NOME,0)),"Sem categoria"))</f>
        <v/>
      </c>
      <c r="E1985" s="75">
        <f>IF($C1985="","",IFERROR(INDEX(CAT_GRUPO,MATCH($C1985,CAT_NOME,0)),"Sem categoria"))</f>
        <v/>
      </c>
      <c r="F1985" s="76" t="n"/>
      <c r="G1985" s="74" t="n"/>
      <c r="H1985" s="74" t="n"/>
      <c r="I1985" s="74" t="n"/>
      <c r="J1985" s="77" t="n"/>
      <c r="K1985" s="77" t="n"/>
      <c r="L1985" s="74" t="n"/>
      <c r="M1985" s="74" t="n"/>
      <c r="O1985" s="78">
        <f>IF($A1985="","",YEAR($A1985)*100+MONTH($A1985))</f>
        <v/>
      </c>
      <c r="P1985" s="79">
        <f>IF(OR($F1985="",$D1985=""),"",IF($D1985="Receita",$F1985,IF($D1985="Transferência",0,-$F1985)))</f>
        <v/>
      </c>
    </row>
    <row r="1986">
      <c r="A1986" s="73" t="n"/>
      <c r="B1986" s="74" t="n"/>
      <c r="C1986" s="74" t="n"/>
      <c r="D1986" s="75">
        <f>IF($C1986="","",IFERROR(INDEX(CAT_TIPO,MATCH($C1986,CAT_NOME,0)),"Sem categoria"))</f>
        <v/>
      </c>
      <c r="E1986" s="75">
        <f>IF($C1986="","",IFERROR(INDEX(CAT_GRUPO,MATCH($C1986,CAT_NOME,0)),"Sem categoria"))</f>
        <v/>
      </c>
      <c r="F1986" s="76" t="n"/>
      <c r="G1986" s="74" t="n"/>
      <c r="H1986" s="74" t="n"/>
      <c r="I1986" s="74" t="n"/>
      <c r="J1986" s="77" t="n"/>
      <c r="K1986" s="77" t="n"/>
      <c r="L1986" s="74" t="n"/>
      <c r="M1986" s="74" t="n"/>
      <c r="O1986" s="78">
        <f>IF($A1986="","",YEAR($A1986)*100+MONTH($A1986))</f>
        <v/>
      </c>
      <c r="P1986" s="79">
        <f>IF(OR($F1986="",$D1986=""),"",IF($D1986="Receita",$F1986,IF($D1986="Transferência",0,-$F1986)))</f>
        <v/>
      </c>
    </row>
    <row r="1987">
      <c r="A1987" s="73" t="n"/>
      <c r="B1987" s="74" t="n"/>
      <c r="C1987" s="74" t="n"/>
      <c r="D1987" s="75">
        <f>IF($C1987="","",IFERROR(INDEX(CAT_TIPO,MATCH($C1987,CAT_NOME,0)),"Sem categoria"))</f>
        <v/>
      </c>
      <c r="E1987" s="75">
        <f>IF($C1987="","",IFERROR(INDEX(CAT_GRUPO,MATCH($C1987,CAT_NOME,0)),"Sem categoria"))</f>
        <v/>
      </c>
      <c r="F1987" s="76" t="n"/>
      <c r="G1987" s="74" t="n"/>
      <c r="H1987" s="74" t="n"/>
      <c r="I1987" s="74" t="n"/>
      <c r="J1987" s="77" t="n"/>
      <c r="K1987" s="77" t="n"/>
      <c r="L1987" s="74" t="n"/>
      <c r="M1987" s="74" t="n"/>
      <c r="O1987" s="78">
        <f>IF($A1987="","",YEAR($A1987)*100+MONTH($A1987))</f>
        <v/>
      </c>
      <c r="P1987" s="79">
        <f>IF(OR($F1987="",$D1987=""),"",IF($D1987="Receita",$F1987,IF($D1987="Transferência",0,-$F1987)))</f>
        <v/>
      </c>
    </row>
    <row r="1988">
      <c r="A1988" s="73" t="n"/>
      <c r="B1988" s="74" t="n"/>
      <c r="C1988" s="74" t="n"/>
      <c r="D1988" s="75">
        <f>IF($C1988="","",IFERROR(INDEX(CAT_TIPO,MATCH($C1988,CAT_NOME,0)),"Sem categoria"))</f>
        <v/>
      </c>
      <c r="E1988" s="75">
        <f>IF($C1988="","",IFERROR(INDEX(CAT_GRUPO,MATCH($C1988,CAT_NOME,0)),"Sem categoria"))</f>
        <v/>
      </c>
      <c r="F1988" s="76" t="n"/>
      <c r="G1988" s="74" t="n"/>
      <c r="H1988" s="74" t="n"/>
      <c r="I1988" s="74" t="n"/>
      <c r="J1988" s="77" t="n"/>
      <c r="K1988" s="77" t="n"/>
      <c r="L1988" s="74" t="n"/>
      <c r="M1988" s="74" t="n"/>
      <c r="O1988" s="78">
        <f>IF($A1988="","",YEAR($A1988)*100+MONTH($A1988))</f>
        <v/>
      </c>
      <c r="P1988" s="79">
        <f>IF(OR($F1988="",$D1988=""),"",IF($D1988="Receita",$F1988,IF($D1988="Transferência",0,-$F1988)))</f>
        <v/>
      </c>
    </row>
    <row r="1989">
      <c r="A1989" s="73" t="n"/>
      <c r="B1989" s="74" t="n"/>
      <c r="C1989" s="74" t="n"/>
      <c r="D1989" s="75">
        <f>IF($C1989="","",IFERROR(INDEX(CAT_TIPO,MATCH($C1989,CAT_NOME,0)),"Sem categoria"))</f>
        <v/>
      </c>
      <c r="E1989" s="75">
        <f>IF($C1989="","",IFERROR(INDEX(CAT_GRUPO,MATCH($C1989,CAT_NOME,0)),"Sem categoria"))</f>
        <v/>
      </c>
      <c r="F1989" s="76" t="n"/>
      <c r="G1989" s="74" t="n"/>
      <c r="H1989" s="74" t="n"/>
      <c r="I1989" s="74" t="n"/>
      <c r="J1989" s="77" t="n"/>
      <c r="K1989" s="77" t="n"/>
      <c r="L1989" s="74" t="n"/>
      <c r="M1989" s="74" t="n"/>
      <c r="O1989" s="78">
        <f>IF($A1989="","",YEAR($A1989)*100+MONTH($A1989))</f>
        <v/>
      </c>
      <c r="P1989" s="79">
        <f>IF(OR($F1989="",$D1989=""),"",IF($D1989="Receita",$F1989,IF($D1989="Transferência",0,-$F1989)))</f>
        <v/>
      </c>
    </row>
    <row r="1990">
      <c r="A1990" s="73" t="n"/>
      <c r="B1990" s="74" t="n"/>
      <c r="C1990" s="74" t="n"/>
      <c r="D1990" s="75">
        <f>IF($C1990="","",IFERROR(INDEX(CAT_TIPO,MATCH($C1990,CAT_NOME,0)),"Sem categoria"))</f>
        <v/>
      </c>
      <c r="E1990" s="75">
        <f>IF($C1990="","",IFERROR(INDEX(CAT_GRUPO,MATCH($C1990,CAT_NOME,0)),"Sem categoria"))</f>
        <v/>
      </c>
      <c r="F1990" s="76" t="n"/>
      <c r="G1990" s="74" t="n"/>
      <c r="H1990" s="74" t="n"/>
      <c r="I1990" s="74" t="n"/>
      <c r="J1990" s="77" t="n"/>
      <c r="K1990" s="77" t="n"/>
      <c r="L1990" s="74" t="n"/>
      <c r="M1990" s="74" t="n"/>
      <c r="O1990" s="78">
        <f>IF($A1990="","",YEAR($A1990)*100+MONTH($A1990))</f>
        <v/>
      </c>
      <c r="P1990" s="79">
        <f>IF(OR($F1990="",$D1990=""),"",IF($D1990="Receita",$F1990,IF($D1990="Transferência",0,-$F1990)))</f>
        <v/>
      </c>
    </row>
    <row r="1991">
      <c r="A1991" s="73" t="n"/>
      <c r="B1991" s="74" t="n"/>
      <c r="C1991" s="74" t="n"/>
      <c r="D1991" s="75">
        <f>IF($C1991="","",IFERROR(INDEX(CAT_TIPO,MATCH($C1991,CAT_NOME,0)),"Sem categoria"))</f>
        <v/>
      </c>
      <c r="E1991" s="75">
        <f>IF($C1991="","",IFERROR(INDEX(CAT_GRUPO,MATCH($C1991,CAT_NOME,0)),"Sem categoria"))</f>
        <v/>
      </c>
      <c r="F1991" s="76" t="n"/>
      <c r="G1991" s="74" t="n"/>
      <c r="H1991" s="74" t="n"/>
      <c r="I1991" s="74" t="n"/>
      <c r="J1991" s="77" t="n"/>
      <c r="K1991" s="77" t="n"/>
      <c r="L1991" s="74" t="n"/>
      <c r="M1991" s="74" t="n"/>
      <c r="O1991" s="78">
        <f>IF($A1991="","",YEAR($A1991)*100+MONTH($A1991))</f>
        <v/>
      </c>
      <c r="P1991" s="79">
        <f>IF(OR($F1991="",$D1991=""),"",IF($D1991="Receita",$F1991,IF($D1991="Transferência",0,-$F1991)))</f>
        <v/>
      </c>
    </row>
    <row r="1992">
      <c r="A1992" s="73" t="n"/>
      <c r="B1992" s="74" t="n"/>
      <c r="C1992" s="74" t="n"/>
      <c r="D1992" s="75">
        <f>IF($C1992="","",IFERROR(INDEX(CAT_TIPO,MATCH($C1992,CAT_NOME,0)),"Sem categoria"))</f>
        <v/>
      </c>
      <c r="E1992" s="75">
        <f>IF($C1992="","",IFERROR(INDEX(CAT_GRUPO,MATCH($C1992,CAT_NOME,0)),"Sem categoria"))</f>
        <v/>
      </c>
      <c r="F1992" s="76" t="n"/>
      <c r="G1992" s="74" t="n"/>
      <c r="H1992" s="74" t="n"/>
      <c r="I1992" s="74" t="n"/>
      <c r="J1992" s="77" t="n"/>
      <c r="K1992" s="77" t="n"/>
      <c r="L1992" s="74" t="n"/>
      <c r="M1992" s="74" t="n"/>
      <c r="O1992" s="78">
        <f>IF($A1992="","",YEAR($A1992)*100+MONTH($A1992))</f>
        <v/>
      </c>
      <c r="P1992" s="79">
        <f>IF(OR($F1992="",$D1992=""),"",IF($D1992="Receita",$F1992,IF($D1992="Transferência",0,-$F1992)))</f>
        <v/>
      </c>
    </row>
    <row r="1993">
      <c r="A1993" s="73" t="n"/>
      <c r="B1993" s="74" t="n"/>
      <c r="C1993" s="74" t="n"/>
      <c r="D1993" s="75">
        <f>IF($C1993="","",IFERROR(INDEX(CAT_TIPO,MATCH($C1993,CAT_NOME,0)),"Sem categoria"))</f>
        <v/>
      </c>
      <c r="E1993" s="75">
        <f>IF($C1993="","",IFERROR(INDEX(CAT_GRUPO,MATCH($C1993,CAT_NOME,0)),"Sem categoria"))</f>
        <v/>
      </c>
      <c r="F1993" s="76" t="n"/>
      <c r="G1993" s="74" t="n"/>
      <c r="H1993" s="74" t="n"/>
      <c r="I1993" s="74" t="n"/>
      <c r="J1993" s="77" t="n"/>
      <c r="K1993" s="77" t="n"/>
      <c r="L1993" s="74" t="n"/>
      <c r="M1993" s="74" t="n"/>
      <c r="O1993" s="78">
        <f>IF($A1993="","",YEAR($A1993)*100+MONTH($A1993))</f>
        <v/>
      </c>
      <c r="P1993" s="79">
        <f>IF(OR($F1993="",$D1993=""),"",IF($D1993="Receita",$F1993,IF($D1993="Transferência",0,-$F1993)))</f>
        <v/>
      </c>
    </row>
    <row r="1994">
      <c r="A1994" s="73" t="n"/>
      <c r="B1994" s="74" t="n"/>
      <c r="C1994" s="74" t="n"/>
      <c r="D1994" s="75">
        <f>IF($C1994="","",IFERROR(INDEX(CAT_TIPO,MATCH($C1994,CAT_NOME,0)),"Sem categoria"))</f>
        <v/>
      </c>
      <c r="E1994" s="75">
        <f>IF($C1994="","",IFERROR(INDEX(CAT_GRUPO,MATCH($C1994,CAT_NOME,0)),"Sem categoria"))</f>
        <v/>
      </c>
      <c r="F1994" s="76" t="n"/>
      <c r="G1994" s="74" t="n"/>
      <c r="H1994" s="74" t="n"/>
      <c r="I1994" s="74" t="n"/>
      <c r="J1994" s="77" t="n"/>
      <c r="K1994" s="77" t="n"/>
      <c r="L1994" s="74" t="n"/>
      <c r="M1994" s="74" t="n"/>
      <c r="O1994" s="78">
        <f>IF($A1994="","",YEAR($A1994)*100+MONTH($A1994))</f>
        <v/>
      </c>
      <c r="P1994" s="79">
        <f>IF(OR($F1994="",$D1994=""),"",IF($D1994="Receita",$F1994,IF($D1994="Transferência",0,-$F1994)))</f>
        <v/>
      </c>
    </row>
    <row r="1995">
      <c r="A1995" s="73" t="n"/>
      <c r="B1995" s="74" t="n"/>
      <c r="C1995" s="74" t="n"/>
      <c r="D1995" s="75">
        <f>IF($C1995="","",IFERROR(INDEX(CAT_TIPO,MATCH($C1995,CAT_NOME,0)),"Sem categoria"))</f>
        <v/>
      </c>
      <c r="E1995" s="75">
        <f>IF($C1995="","",IFERROR(INDEX(CAT_GRUPO,MATCH($C1995,CAT_NOME,0)),"Sem categoria"))</f>
        <v/>
      </c>
      <c r="F1995" s="76" t="n"/>
      <c r="G1995" s="74" t="n"/>
      <c r="H1995" s="74" t="n"/>
      <c r="I1995" s="74" t="n"/>
      <c r="J1995" s="77" t="n"/>
      <c r="K1995" s="77" t="n"/>
      <c r="L1995" s="74" t="n"/>
      <c r="M1995" s="74" t="n"/>
      <c r="O1995" s="78">
        <f>IF($A1995="","",YEAR($A1995)*100+MONTH($A1995))</f>
        <v/>
      </c>
      <c r="P1995" s="79">
        <f>IF(OR($F1995="",$D1995=""),"",IF($D1995="Receita",$F1995,IF($D1995="Transferência",0,-$F1995)))</f>
        <v/>
      </c>
    </row>
    <row r="1996">
      <c r="A1996" s="73" t="n"/>
      <c r="B1996" s="74" t="n"/>
      <c r="C1996" s="74" t="n"/>
      <c r="D1996" s="75">
        <f>IF($C1996="","",IFERROR(INDEX(CAT_TIPO,MATCH($C1996,CAT_NOME,0)),"Sem categoria"))</f>
        <v/>
      </c>
      <c r="E1996" s="75">
        <f>IF($C1996="","",IFERROR(INDEX(CAT_GRUPO,MATCH($C1996,CAT_NOME,0)),"Sem categoria"))</f>
        <v/>
      </c>
      <c r="F1996" s="76" t="n"/>
      <c r="G1996" s="74" t="n"/>
      <c r="H1996" s="74" t="n"/>
      <c r="I1996" s="74" t="n"/>
      <c r="J1996" s="77" t="n"/>
      <c r="K1996" s="77" t="n"/>
      <c r="L1996" s="74" t="n"/>
      <c r="M1996" s="74" t="n"/>
      <c r="O1996" s="78">
        <f>IF($A1996="","",YEAR($A1996)*100+MONTH($A1996))</f>
        <v/>
      </c>
      <c r="P1996" s="79">
        <f>IF(OR($F1996="",$D1996=""),"",IF($D1996="Receita",$F1996,IF($D1996="Transferência",0,-$F1996)))</f>
        <v/>
      </c>
    </row>
    <row r="1997">
      <c r="A1997" s="73" t="n"/>
      <c r="B1997" s="74" t="n"/>
      <c r="C1997" s="74" t="n"/>
      <c r="D1997" s="75">
        <f>IF($C1997="","",IFERROR(INDEX(CAT_TIPO,MATCH($C1997,CAT_NOME,0)),"Sem categoria"))</f>
        <v/>
      </c>
      <c r="E1997" s="75">
        <f>IF($C1997="","",IFERROR(INDEX(CAT_GRUPO,MATCH($C1997,CAT_NOME,0)),"Sem categoria"))</f>
        <v/>
      </c>
      <c r="F1997" s="76" t="n"/>
      <c r="G1997" s="74" t="n"/>
      <c r="H1997" s="74" t="n"/>
      <c r="I1997" s="74" t="n"/>
      <c r="J1997" s="77" t="n"/>
      <c r="K1997" s="77" t="n"/>
      <c r="L1997" s="74" t="n"/>
      <c r="M1997" s="74" t="n"/>
      <c r="O1997" s="78">
        <f>IF($A1997="","",YEAR($A1997)*100+MONTH($A1997))</f>
        <v/>
      </c>
      <c r="P1997" s="79">
        <f>IF(OR($F1997="",$D1997=""),"",IF($D1997="Receita",$F1997,IF($D1997="Transferência",0,-$F1997)))</f>
        <v/>
      </c>
    </row>
    <row r="1998">
      <c r="A1998" s="73" t="n"/>
      <c r="B1998" s="74" t="n"/>
      <c r="C1998" s="74" t="n"/>
      <c r="D1998" s="75">
        <f>IF($C1998="","",IFERROR(INDEX(CAT_TIPO,MATCH($C1998,CAT_NOME,0)),"Sem categoria"))</f>
        <v/>
      </c>
      <c r="E1998" s="75">
        <f>IF($C1998="","",IFERROR(INDEX(CAT_GRUPO,MATCH($C1998,CAT_NOME,0)),"Sem categoria"))</f>
        <v/>
      </c>
      <c r="F1998" s="76" t="n"/>
      <c r="G1998" s="74" t="n"/>
      <c r="H1998" s="74" t="n"/>
      <c r="I1998" s="74" t="n"/>
      <c r="J1998" s="77" t="n"/>
      <c r="K1998" s="77" t="n"/>
      <c r="L1998" s="74" t="n"/>
      <c r="M1998" s="74" t="n"/>
      <c r="O1998" s="78">
        <f>IF($A1998="","",YEAR($A1998)*100+MONTH($A1998))</f>
        <v/>
      </c>
      <c r="P1998" s="79">
        <f>IF(OR($F1998="",$D1998=""),"",IF($D1998="Receita",$F1998,IF($D1998="Transferência",0,-$F1998)))</f>
        <v/>
      </c>
    </row>
    <row r="1999">
      <c r="A1999" s="73" t="n"/>
      <c r="B1999" s="74" t="n"/>
      <c r="C1999" s="74" t="n"/>
      <c r="D1999" s="75">
        <f>IF($C1999="","",IFERROR(INDEX(CAT_TIPO,MATCH($C1999,CAT_NOME,0)),"Sem categoria"))</f>
        <v/>
      </c>
      <c r="E1999" s="75">
        <f>IF($C1999="","",IFERROR(INDEX(CAT_GRUPO,MATCH($C1999,CAT_NOME,0)),"Sem categoria"))</f>
        <v/>
      </c>
      <c r="F1999" s="76" t="n"/>
      <c r="G1999" s="74" t="n"/>
      <c r="H1999" s="74" t="n"/>
      <c r="I1999" s="74" t="n"/>
      <c r="J1999" s="77" t="n"/>
      <c r="K1999" s="77" t="n"/>
      <c r="L1999" s="74" t="n"/>
      <c r="M1999" s="74" t="n"/>
      <c r="O1999" s="78">
        <f>IF($A1999="","",YEAR($A1999)*100+MONTH($A1999))</f>
        <v/>
      </c>
      <c r="P1999" s="79">
        <f>IF(OR($F1999="",$D1999=""),"",IF($D1999="Receita",$F1999,IF($D1999="Transferência",0,-$F1999)))</f>
        <v/>
      </c>
    </row>
    <row r="2000">
      <c r="A2000" s="73" t="n"/>
      <c r="B2000" s="74" t="n"/>
      <c r="C2000" s="74" t="n"/>
      <c r="D2000" s="75">
        <f>IF($C2000="","",IFERROR(INDEX(CAT_TIPO,MATCH($C2000,CAT_NOME,0)),"Sem categoria"))</f>
        <v/>
      </c>
      <c r="E2000" s="75">
        <f>IF($C2000="","",IFERROR(INDEX(CAT_GRUPO,MATCH($C2000,CAT_NOME,0)),"Sem categoria"))</f>
        <v/>
      </c>
      <c r="F2000" s="76" t="n"/>
      <c r="G2000" s="74" t="n"/>
      <c r="H2000" s="74" t="n"/>
      <c r="I2000" s="74" t="n"/>
      <c r="J2000" s="77" t="n"/>
      <c r="K2000" s="77" t="n"/>
      <c r="L2000" s="74" t="n"/>
      <c r="M2000" s="74" t="n"/>
      <c r="O2000" s="78">
        <f>IF($A2000="","",YEAR($A2000)*100+MONTH($A2000))</f>
        <v/>
      </c>
      <c r="P2000" s="79">
        <f>IF(OR($F2000="",$D2000=""),"",IF($D2000="Receita",$F2000,IF($D2000="Transferência",0,-$F2000)))</f>
        <v/>
      </c>
    </row>
    <row r="2001">
      <c r="A2001" s="73" t="n"/>
      <c r="B2001" s="74" t="n"/>
      <c r="C2001" s="74" t="n"/>
      <c r="D2001" s="75">
        <f>IF($C2001="","",IFERROR(INDEX(CAT_TIPO,MATCH($C2001,CAT_NOME,0)),"Sem categoria"))</f>
        <v/>
      </c>
      <c r="E2001" s="75">
        <f>IF($C2001="","",IFERROR(INDEX(CAT_GRUPO,MATCH($C2001,CAT_NOME,0)),"Sem categoria"))</f>
        <v/>
      </c>
      <c r="F2001" s="76" t="n"/>
      <c r="G2001" s="74" t="n"/>
      <c r="H2001" s="74" t="n"/>
      <c r="I2001" s="74" t="n"/>
      <c r="J2001" s="77" t="n"/>
      <c r="K2001" s="77" t="n"/>
      <c r="L2001" s="74" t="n"/>
      <c r="M2001" s="74" t="n"/>
      <c r="O2001" s="78">
        <f>IF($A2001="","",YEAR($A2001)*100+MONTH($A2001))</f>
        <v/>
      </c>
      <c r="P2001" s="79">
        <f>IF(OR($F2001="",$D2001=""),"",IF($D2001="Receita",$F2001,IF($D2001="Transferência",0,-$F2001)))</f>
        <v/>
      </c>
    </row>
    <row r="2002">
      <c r="A2002" s="73" t="n"/>
      <c r="B2002" s="74" t="n"/>
      <c r="C2002" s="74" t="n"/>
      <c r="D2002" s="75">
        <f>IF($C2002="","",IFERROR(INDEX(CAT_TIPO,MATCH($C2002,CAT_NOME,0)),"Sem categoria"))</f>
        <v/>
      </c>
      <c r="E2002" s="75">
        <f>IF($C2002="","",IFERROR(INDEX(CAT_GRUPO,MATCH($C2002,CAT_NOME,0)),"Sem categoria"))</f>
        <v/>
      </c>
      <c r="F2002" s="76" t="n"/>
      <c r="G2002" s="74" t="n"/>
      <c r="H2002" s="74" t="n"/>
      <c r="I2002" s="74" t="n"/>
      <c r="J2002" s="77" t="n"/>
      <c r="K2002" s="77" t="n"/>
      <c r="L2002" s="74" t="n"/>
      <c r="M2002" s="74" t="n"/>
      <c r="O2002" s="78">
        <f>IF($A2002="","",YEAR($A2002)*100+MONTH($A2002))</f>
        <v/>
      </c>
      <c r="P2002" s="79">
        <f>IF(OR($F2002="",$D2002=""),"",IF($D2002="Receita",$F2002,IF($D2002="Transferência",0,-$F2002)))</f>
        <v/>
      </c>
    </row>
    <row r="2003">
      <c r="A2003" s="73" t="n"/>
      <c r="B2003" s="74" t="n"/>
      <c r="C2003" s="74" t="n"/>
      <c r="D2003" s="75">
        <f>IF($C2003="","",IFERROR(INDEX(CAT_TIPO,MATCH($C2003,CAT_NOME,0)),"Sem categoria"))</f>
        <v/>
      </c>
      <c r="E2003" s="75">
        <f>IF($C2003="","",IFERROR(INDEX(CAT_GRUPO,MATCH($C2003,CAT_NOME,0)),"Sem categoria"))</f>
        <v/>
      </c>
      <c r="F2003" s="76" t="n"/>
      <c r="G2003" s="74" t="n"/>
      <c r="H2003" s="74" t="n"/>
      <c r="I2003" s="74" t="n"/>
      <c r="J2003" s="77" t="n"/>
      <c r="K2003" s="77" t="n"/>
      <c r="L2003" s="74" t="n"/>
      <c r="M2003" s="74" t="n"/>
      <c r="O2003" s="78">
        <f>IF($A2003="","",YEAR($A2003)*100+MONTH($A2003))</f>
        <v/>
      </c>
      <c r="P2003" s="79">
        <f>IF(OR($F2003="",$D2003=""),"",IF($D2003="Receita",$F2003,IF($D2003="Transferência",0,-$F2003)))</f>
        <v/>
      </c>
    </row>
    <row r="2004">
      <c r="A2004" s="73" t="n"/>
      <c r="B2004" s="74" t="n"/>
      <c r="C2004" s="74" t="n"/>
      <c r="D2004" s="75">
        <f>IF($C2004="","",IFERROR(INDEX(CAT_TIPO,MATCH($C2004,CAT_NOME,0)),"Sem categoria"))</f>
        <v/>
      </c>
      <c r="E2004" s="75">
        <f>IF($C2004="","",IFERROR(INDEX(CAT_GRUPO,MATCH($C2004,CAT_NOME,0)),"Sem categoria"))</f>
        <v/>
      </c>
      <c r="F2004" s="76" t="n"/>
      <c r="G2004" s="74" t="n"/>
      <c r="H2004" s="74" t="n"/>
      <c r="I2004" s="74" t="n"/>
      <c r="J2004" s="77" t="n"/>
      <c r="K2004" s="77" t="n"/>
      <c r="L2004" s="74" t="n"/>
      <c r="M2004" s="74" t="n"/>
      <c r="O2004" s="78">
        <f>IF($A2004="","",YEAR($A2004)*100+MONTH($A2004))</f>
        <v/>
      </c>
      <c r="P2004" s="79">
        <f>IF(OR($F2004="",$D2004=""),"",IF($D2004="Receita",$F2004,IF($D2004="Transferência",0,-$F2004)))</f>
        <v/>
      </c>
    </row>
    <row r="2005">
      <c r="A2005" s="73" t="n"/>
      <c r="B2005" s="74" t="n"/>
      <c r="C2005" s="74" t="n"/>
      <c r="D2005" s="75">
        <f>IF($C2005="","",IFERROR(INDEX(CAT_TIPO,MATCH($C2005,CAT_NOME,0)),"Sem categoria"))</f>
        <v/>
      </c>
      <c r="E2005" s="75">
        <f>IF($C2005="","",IFERROR(INDEX(CAT_GRUPO,MATCH($C2005,CAT_NOME,0)),"Sem categoria"))</f>
        <v/>
      </c>
      <c r="F2005" s="76" t="n"/>
      <c r="G2005" s="74" t="n"/>
      <c r="H2005" s="74" t="n"/>
      <c r="I2005" s="74" t="n"/>
      <c r="J2005" s="77" t="n"/>
      <c r="K2005" s="77" t="n"/>
      <c r="L2005" s="74" t="n"/>
      <c r="M2005" s="74" t="n"/>
      <c r="O2005" s="78">
        <f>IF($A2005="","",YEAR($A2005)*100+MONTH($A2005))</f>
        <v/>
      </c>
      <c r="P2005" s="79">
        <f>IF(OR($F2005="",$D2005=""),"",IF($D2005="Receita",$F2005,IF($D2005="Transferência",0,-$F2005)))</f>
        <v/>
      </c>
    </row>
    <row r="2006">
      <c r="A2006" s="73" t="n"/>
      <c r="B2006" s="74" t="n"/>
      <c r="C2006" s="74" t="n"/>
      <c r="D2006" s="75">
        <f>IF($C2006="","",IFERROR(INDEX(CAT_TIPO,MATCH($C2006,CAT_NOME,0)),"Sem categoria"))</f>
        <v/>
      </c>
      <c r="E2006" s="75">
        <f>IF($C2006="","",IFERROR(INDEX(CAT_GRUPO,MATCH($C2006,CAT_NOME,0)),"Sem categoria"))</f>
        <v/>
      </c>
      <c r="F2006" s="76" t="n"/>
      <c r="G2006" s="74" t="n"/>
      <c r="H2006" s="74" t="n"/>
      <c r="I2006" s="74" t="n"/>
      <c r="J2006" s="77" t="n"/>
      <c r="K2006" s="77" t="n"/>
      <c r="L2006" s="74" t="n"/>
      <c r="M2006" s="74" t="n"/>
      <c r="O2006" s="78">
        <f>IF($A2006="","",YEAR($A2006)*100+MONTH($A2006))</f>
        <v/>
      </c>
      <c r="P2006" s="79">
        <f>IF(OR($F2006="",$D2006=""),"",IF($D2006="Receita",$F2006,IF($D2006="Transferência",0,-$F2006)))</f>
        <v/>
      </c>
    </row>
    <row r="2007">
      <c r="A2007" s="73" t="n"/>
      <c r="B2007" s="74" t="n"/>
      <c r="C2007" s="74" t="n"/>
      <c r="D2007" s="75">
        <f>IF($C2007="","",IFERROR(INDEX(CAT_TIPO,MATCH($C2007,CAT_NOME,0)),"Sem categoria"))</f>
        <v/>
      </c>
      <c r="E2007" s="75">
        <f>IF($C2007="","",IFERROR(INDEX(CAT_GRUPO,MATCH($C2007,CAT_NOME,0)),"Sem categoria"))</f>
        <v/>
      </c>
      <c r="F2007" s="76" t="n"/>
      <c r="G2007" s="74" t="n"/>
      <c r="H2007" s="74" t="n"/>
      <c r="I2007" s="74" t="n"/>
      <c r="J2007" s="77" t="n"/>
      <c r="K2007" s="77" t="n"/>
      <c r="L2007" s="74" t="n"/>
      <c r="M2007" s="74" t="n"/>
      <c r="O2007" s="78">
        <f>IF($A2007="","",YEAR($A2007)*100+MONTH($A2007))</f>
        <v/>
      </c>
      <c r="P2007" s="79">
        <f>IF(OR($F2007="",$D2007=""),"",IF($D2007="Receita",$F2007,IF($D2007="Transferência",0,-$F2007)))</f>
        <v/>
      </c>
    </row>
    <row r="2008">
      <c r="A2008" s="73" t="n"/>
      <c r="B2008" s="74" t="n"/>
      <c r="C2008" s="74" t="n"/>
      <c r="D2008" s="75">
        <f>IF($C2008="","",IFERROR(INDEX(CAT_TIPO,MATCH($C2008,CAT_NOME,0)),"Sem categoria"))</f>
        <v/>
      </c>
      <c r="E2008" s="75">
        <f>IF($C2008="","",IFERROR(INDEX(CAT_GRUPO,MATCH($C2008,CAT_NOME,0)),"Sem categoria"))</f>
        <v/>
      </c>
      <c r="F2008" s="76" t="n"/>
      <c r="G2008" s="74" t="n"/>
      <c r="H2008" s="74" t="n"/>
      <c r="I2008" s="74" t="n"/>
      <c r="J2008" s="77" t="n"/>
      <c r="K2008" s="77" t="n"/>
      <c r="L2008" s="74" t="n"/>
      <c r="M2008" s="74" t="n"/>
      <c r="O2008" s="78">
        <f>IF($A2008="","",YEAR($A2008)*100+MONTH($A2008))</f>
        <v/>
      </c>
      <c r="P2008" s="79">
        <f>IF(OR($F2008="",$D2008=""),"",IF($D2008="Receita",$F2008,IF($D2008="Transferência",0,-$F2008)))</f>
        <v/>
      </c>
    </row>
    <row r="2009">
      <c r="A2009" s="73" t="n"/>
      <c r="B2009" s="74" t="n"/>
      <c r="C2009" s="74" t="n"/>
      <c r="D2009" s="75">
        <f>IF($C2009="","",IFERROR(INDEX(CAT_TIPO,MATCH($C2009,CAT_NOME,0)),"Sem categoria"))</f>
        <v/>
      </c>
      <c r="E2009" s="75">
        <f>IF($C2009="","",IFERROR(INDEX(CAT_GRUPO,MATCH($C2009,CAT_NOME,0)),"Sem categoria"))</f>
        <v/>
      </c>
      <c r="F2009" s="76" t="n"/>
      <c r="G2009" s="74" t="n"/>
      <c r="H2009" s="74" t="n"/>
      <c r="I2009" s="74" t="n"/>
      <c r="J2009" s="77" t="n"/>
      <c r="K2009" s="77" t="n"/>
      <c r="L2009" s="74" t="n"/>
      <c r="M2009" s="74" t="n"/>
      <c r="O2009" s="78">
        <f>IF($A2009="","",YEAR($A2009)*100+MONTH($A2009))</f>
        <v/>
      </c>
      <c r="P2009" s="79">
        <f>IF(OR($F2009="",$D2009=""),"",IF($D2009="Receita",$F2009,IF($D2009="Transferência",0,-$F2009)))</f>
        <v/>
      </c>
    </row>
    <row r="2010">
      <c r="A2010" s="73" t="n"/>
      <c r="B2010" s="74" t="n"/>
      <c r="C2010" s="74" t="n"/>
      <c r="D2010" s="75">
        <f>IF($C2010="","",IFERROR(INDEX(CAT_TIPO,MATCH($C2010,CAT_NOME,0)),"Sem categoria"))</f>
        <v/>
      </c>
      <c r="E2010" s="75">
        <f>IF($C2010="","",IFERROR(INDEX(CAT_GRUPO,MATCH($C2010,CAT_NOME,0)),"Sem categoria"))</f>
        <v/>
      </c>
      <c r="F2010" s="76" t="n"/>
      <c r="G2010" s="74" t="n"/>
      <c r="H2010" s="74" t="n"/>
      <c r="I2010" s="74" t="n"/>
      <c r="J2010" s="77" t="n"/>
      <c r="K2010" s="77" t="n"/>
      <c r="L2010" s="74" t="n"/>
      <c r="M2010" s="74" t="n"/>
      <c r="O2010" s="78">
        <f>IF($A2010="","",YEAR($A2010)*100+MONTH($A2010))</f>
        <v/>
      </c>
      <c r="P2010" s="79">
        <f>IF(OR($F2010="",$D2010=""),"",IF($D2010="Receita",$F2010,IF($D2010="Transferência",0,-$F2010)))</f>
        <v/>
      </c>
    </row>
    <row r="2011">
      <c r="A2011" s="73" t="n"/>
      <c r="B2011" s="74" t="n"/>
      <c r="C2011" s="74" t="n"/>
      <c r="D2011" s="75">
        <f>IF($C2011="","",IFERROR(INDEX(CAT_TIPO,MATCH($C2011,CAT_NOME,0)),"Sem categoria"))</f>
        <v/>
      </c>
      <c r="E2011" s="75">
        <f>IF($C2011="","",IFERROR(INDEX(CAT_GRUPO,MATCH($C2011,CAT_NOME,0)),"Sem categoria"))</f>
        <v/>
      </c>
      <c r="F2011" s="76" t="n"/>
      <c r="G2011" s="74" t="n"/>
      <c r="H2011" s="74" t="n"/>
      <c r="I2011" s="74" t="n"/>
      <c r="J2011" s="77" t="n"/>
      <c r="K2011" s="77" t="n"/>
      <c r="L2011" s="74" t="n"/>
      <c r="M2011" s="74" t="n"/>
      <c r="O2011" s="78">
        <f>IF($A2011="","",YEAR($A2011)*100+MONTH($A2011))</f>
        <v/>
      </c>
      <c r="P2011" s="79">
        <f>IF(OR($F2011="",$D2011=""),"",IF($D2011="Receita",$F2011,IF($D2011="Transferência",0,-$F2011)))</f>
        <v/>
      </c>
    </row>
    <row r="2012">
      <c r="A2012" s="73" t="n"/>
      <c r="B2012" s="74" t="n"/>
      <c r="C2012" s="74" t="n"/>
      <c r="D2012" s="75">
        <f>IF($C2012="","",IFERROR(INDEX(CAT_TIPO,MATCH($C2012,CAT_NOME,0)),"Sem categoria"))</f>
        <v/>
      </c>
      <c r="E2012" s="75">
        <f>IF($C2012="","",IFERROR(INDEX(CAT_GRUPO,MATCH($C2012,CAT_NOME,0)),"Sem categoria"))</f>
        <v/>
      </c>
      <c r="F2012" s="76" t="n"/>
      <c r="G2012" s="74" t="n"/>
      <c r="H2012" s="74" t="n"/>
      <c r="I2012" s="74" t="n"/>
      <c r="J2012" s="77" t="n"/>
      <c r="K2012" s="77" t="n"/>
      <c r="L2012" s="74" t="n"/>
      <c r="M2012" s="74" t="n"/>
      <c r="O2012" s="78">
        <f>IF($A2012="","",YEAR($A2012)*100+MONTH($A2012))</f>
        <v/>
      </c>
      <c r="P2012" s="79">
        <f>IF(OR($F2012="",$D2012=""),"",IF($D2012="Receita",$F2012,IF($D2012="Transferência",0,-$F2012)))</f>
        <v/>
      </c>
    </row>
    <row r="2013">
      <c r="A2013" s="73" t="n"/>
      <c r="B2013" s="74" t="n"/>
      <c r="C2013" s="74" t="n"/>
      <c r="D2013" s="75">
        <f>IF($C2013="","",IFERROR(INDEX(CAT_TIPO,MATCH($C2013,CAT_NOME,0)),"Sem categoria"))</f>
        <v/>
      </c>
      <c r="E2013" s="75">
        <f>IF($C2013="","",IFERROR(INDEX(CAT_GRUPO,MATCH($C2013,CAT_NOME,0)),"Sem categoria"))</f>
        <v/>
      </c>
      <c r="F2013" s="76" t="n"/>
      <c r="G2013" s="74" t="n"/>
      <c r="H2013" s="74" t="n"/>
      <c r="I2013" s="74" t="n"/>
      <c r="J2013" s="77" t="n"/>
      <c r="K2013" s="77" t="n"/>
      <c r="L2013" s="74" t="n"/>
      <c r="M2013" s="74" t="n"/>
      <c r="O2013" s="78">
        <f>IF($A2013="","",YEAR($A2013)*100+MONTH($A2013))</f>
        <v/>
      </c>
      <c r="P2013" s="79">
        <f>IF(OR($F2013="",$D2013=""),"",IF($D2013="Receita",$F2013,IF($D2013="Transferência",0,-$F2013)))</f>
        <v/>
      </c>
    </row>
    <row r="2014">
      <c r="A2014" s="73" t="n"/>
      <c r="B2014" s="74" t="n"/>
      <c r="C2014" s="74" t="n"/>
      <c r="D2014" s="75">
        <f>IF($C2014="","",IFERROR(INDEX(CAT_TIPO,MATCH($C2014,CAT_NOME,0)),"Sem categoria"))</f>
        <v/>
      </c>
      <c r="E2014" s="75">
        <f>IF($C2014="","",IFERROR(INDEX(CAT_GRUPO,MATCH($C2014,CAT_NOME,0)),"Sem categoria"))</f>
        <v/>
      </c>
      <c r="F2014" s="76" t="n"/>
      <c r="G2014" s="74" t="n"/>
      <c r="H2014" s="74" t="n"/>
      <c r="I2014" s="74" t="n"/>
      <c r="J2014" s="77" t="n"/>
      <c r="K2014" s="77" t="n"/>
      <c r="L2014" s="74" t="n"/>
      <c r="M2014" s="74" t="n"/>
      <c r="O2014" s="78">
        <f>IF($A2014="","",YEAR($A2014)*100+MONTH($A2014))</f>
        <v/>
      </c>
      <c r="P2014" s="79">
        <f>IF(OR($F2014="",$D2014=""),"",IF($D2014="Receita",$F2014,IF($D2014="Transferência",0,-$F2014)))</f>
        <v/>
      </c>
    </row>
    <row r="2015">
      <c r="A2015" s="73" t="n"/>
      <c r="B2015" s="74" t="n"/>
      <c r="C2015" s="74" t="n"/>
      <c r="D2015" s="75">
        <f>IF($C2015="","",IFERROR(INDEX(CAT_TIPO,MATCH($C2015,CAT_NOME,0)),"Sem categoria"))</f>
        <v/>
      </c>
      <c r="E2015" s="75">
        <f>IF($C2015="","",IFERROR(INDEX(CAT_GRUPO,MATCH($C2015,CAT_NOME,0)),"Sem categoria"))</f>
        <v/>
      </c>
      <c r="F2015" s="76" t="n"/>
      <c r="G2015" s="74" t="n"/>
      <c r="H2015" s="74" t="n"/>
      <c r="I2015" s="74" t="n"/>
      <c r="J2015" s="77" t="n"/>
      <c r="K2015" s="77" t="n"/>
      <c r="L2015" s="74" t="n"/>
      <c r="M2015" s="74" t="n"/>
      <c r="O2015" s="78">
        <f>IF($A2015="","",YEAR($A2015)*100+MONTH($A2015))</f>
        <v/>
      </c>
      <c r="P2015" s="79">
        <f>IF(OR($F2015="",$D2015=""),"",IF($D2015="Receita",$F2015,IF($D2015="Transferência",0,-$F2015)))</f>
        <v/>
      </c>
    </row>
    <row r="2016">
      <c r="A2016" s="73" t="n"/>
      <c r="B2016" s="74" t="n"/>
      <c r="C2016" s="74" t="n"/>
      <c r="D2016" s="75">
        <f>IF($C2016="","",IFERROR(INDEX(CAT_TIPO,MATCH($C2016,CAT_NOME,0)),"Sem categoria"))</f>
        <v/>
      </c>
      <c r="E2016" s="75">
        <f>IF($C2016="","",IFERROR(INDEX(CAT_GRUPO,MATCH($C2016,CAT_NOME,0)),"Sem categoria"))</f>
        <v/>
      </c>
      <c r="F2016" s="76" t="n"/>
      <c r="G2016" s="74" t="n"/>
      <c r="H2016" s="74" t="n"/>
      <c r="I2016" s="74" t="n"/>
      <c r="J2016" s="77" t="n"/>
      <c r="K2016" s="77" t="n"/>
      <c r="L2016" s="74" t="n"/>
      <c r="M2016" s="74" t="n"/>
      <c r="O2016" s="78">
        <f>IF($A2016="","",YEAR($A2016)*100+MONTH($A2016))</f>
        <v/>
      </c>
      <c r="P2016" s="79">
        <f>IF(OR($F2016="",$D2016=""),"",IF($D2016="Receita",$F2016,IF($D2016="Transferência",0,-$F2016)))</f>
        <v/>
      </c>
    </row>
    <row r="2017">
      <c r="A2017" s="73" t="n"/>
      <c r="B2017" s="74" t="n"/>
      <c r="C2017" s="74" t="n"/>
      <c r="D2017" s="75">
        <f>IF($C2017="","",IFERROR(INDEX(CAT_TIPO,MATCH($C2017,CAT_NOME,0)),"Sem categoria"))</f>
        <v/>
      </c>
      <c r="E2017" s="75">
        <f>IF($C2017="","",IFERROR(INDEX(CAT_GRUPO,MATCH($C2017,CAT_NOME,0)),"Sem categoria"))</f>
        <v/>
      </c>
      <c r="F2017" s="76" t="n"/>
      <c r="G2017" s="74" t="n"/>
      <c r="H2017" s="74" t="n"/>
      <c r="I2017" s="74" t="n"/>
      <c r="J2017" s="77" t="n"/>
      <c r="K2017" s="77" t="n"/>
      <c r="L2017" s="74" t="n"/>
      <c r="M2017" s="74" t="n"/>
      <c r="O2017" s="78">
        <f>IF($A2017="","",YEAR($A2017)*100+MONTH($A2017))</f>
        <v/>
      </c>
      <c r="P2017" s="79">
        <f>IF(OR($F2017="",$D2017=""),"",IF($D2017="Receita",$F2017,IF($D2017="Transferência",0,-$F2017)))</f>
        <v/>
      </c>
    </row>
    <row r="2018">
      <c r="A2018" s="73" t="n"/>
      <c r="B2018" s="74" t="n"/>
      <c r="C2018" s="74" t="n"/>
      <c r="D2018" s="75">
        <f>IF($C2018="","",IFERROR(INDEX(CAT_TIPO,MATCH($C2018,CAT_NOME,0)),"Sem categoria"))</f>
        <v/>
      </c>
      <c r="E2018" s="75">
        <f>IF($C2018="","",IFERROR(INDEX(CAT_GRUPO,MATCH($C2018,CAT_NOME,0)),"Sem categoria"))</f>
        <v/>
      </c>
      <c r="F2018" s="76" t="n"/>
      <c r="G2018" s="74" t="n"/>
      <c r="H2018" s="74" t="n"/>
      <c r="I2018" s="74" t="n"/>
      <c r="J2018" s="77" t="n"/>
      <c r="K2018" s="77" t="n"/>
      <c r="L2018" s="74" t="n"/>
      <c r="M2018" s="74" t="n"/>
      <c r="O2018" s="78">
        <f>IF($A2018="","",YEAR($A2018)*100+MONTH($A2018))</f>
        <v/>
      </c>
      <c r="P2018" s="79">
        <f>IF(OR($F2018="",$D2018=""),"",IF($D2018="Receita",$F2018,IF($D2018="Transferência",0,-$F2018)))</f>
        <v/>
      </c>
    </row>
    <row r="2019">
      <c r="A2019" s="73" t="n"/>
      <c r="B2019" s="74" t="n"/>
      <c r="C2019" s="74" t="n"/>
      <c r="D2019" s="75">
        <f>IF($C2019="","",IFERROR(INDEX(CAT_TIPO,MATCH($C2019,CAT_NOME,0)),"Sem categoria"))</f>
        <v/>
      </c>
      <c r="E2019" s="75">
        <f>IF($C2019="","",IFERROR(INDEX(CAT_GRUPO,MATCH($C2019,CAT_NOME,0)),"Sem categoria"))</f>
        <v/>
      </c>
      <c r="F2019" s="76" t="n"/>
      <c r="G2019" s="74" t="n"/>
      <c r="H2019" s="74" t="n"/>
      <c r="I2019" s="74" t="n"/>
      <c r="J2019" s="77" t="n"/>
      <c r="K2019" s="77" t="n"/>
      <c r="L2019" s="74" t="n"/>
      <c r="M2019" s="74" t="n"/>
      <c r="O2019" s="78">
        <f>IF($A2019="","",YEAR($A2019)*100+MONTH($A2019))</f>
        <v/>
      </c>
      <c r="P2019" s="79">
        <f>IF(OR($F2019="",$D2019=""),"",IF($D2019="Receita",$F2019,IF($D2019="Transferência",0,-$F2019)))</f>
        <v/>
      </c>
    </row>
    <row r="2020">
      <c r="A2020" s="73" t="n"/>
      <c r="B2020" s="74" t="n"/>
      <c r="C2020" s="74" t="n"/>
      <c r="D2020" s="75">
        <f>IF($C2020="","",IFERROR(INDEX(CAT_TIPO,MATCH($C2020,CAT_NOME,0)),"Sem categoria"))</f>
        <v/>
      </c>
      <c r="E2020" s="75">
        <f>IF($C2020="","",IFERROR(INDEX(CAT_GRUPO,MATCH($C2020,CAT_NOME,0)),"Sem categoria"))</f>
        <v/>
      </c>
      <c r="F2020" s="76" t="n"/>
      <c r="G2020" s="74" t="n"/>
      <c r="H2020" s="74" t="n"/>
      <c r="I2020" s="74" t="n"/>
      <c r="J2020" s="77" t="n"/>
      <c r="K2020" s="77" t="n"/>
      <c r="L2020" s="74" t="n"/>
      <c r="M2020" s="74" t="n"/>
      <c r="O2020" s="78">
        <f>IF($A2020="","",YEAR($A2020)*100+MONTH($A2020))</f>
        <v/>
      </c>
      <c r="P2020" s="79">
        <f>IF(OR($F2020="",$D2020=""),"",IF($D2020="Receita",$F2020,IF($D2020="Transferência",0,-$F2020)))</f>
        <v/>
      </c>
    </row>
    <row r="2021">
      <c r="A2021" s="73" t="n"/>
      <c r="B2021" s="74" t="n"/>
      <c r="C2021" s="74" t="n"/>
      <c r="D2021" s="75">
        <f>IF($C2021="","",IFERROR(INDEX(CAT_TIPO,MATCH($C2021,CAT_NOME,0)),"Sem categoria"))</f>
        <v/>
      </c>
      <c r="E2021" s="75">
        <f>IF($C2021="","",IFERROR(INDEX(CAT_GRUPO,MATCH($C2021,CAT_NOME,0)),"Sem categoria"))</f>
        <v/>
      </c>
      <c r="F2021" s="76" t="n"/>
      <c r="G2021" s="74" t="n"/>
      <c r="H2021" s="74" t="n"/>
      <c r="I2021" s="74" t="n"/>
      <c r="J2021" s="77" t="n"/>
      <c r="K2021" s="77" t="n"/>
      <c r="L2021" s="74" t="n"/>
      <c r="M2021" s="74" t="n"/>
      <c r="O2021" s="78">
        <f>IF($A2021="","",YEAR($A2021)*100+MONTH($A2021))</f>
        <v/>
      </c>
      <c r="P2021" s="79">
        <f>IF(OR($F2021="",$D2021=""),"",IF($D2021="Receita",$F2021,IF($D2021="Transferência",0,-$F2021)))</f>
        <v/>
      </c>
    </row>
    <row r="2022">
      <c r="A2022" s="73" t="n"/>
      <c r="B2022" s="74" t="n"/>
      <c r="C2022" s="74" t="n"/>
      <c r="D2022" s="75">
        <f>IF($C2022="","",IFERROR(INDEX(CAT_TIPO,MATCH($C2022,CAT_NOME,0)),"Sem categoria"))</f>
        <v/>
      </c>
      <c r="E2022" s="75">
        <f>IF($C2022="","",IFERROR(INDEX(CAT_GRUPO,MATCH($C2022,CAT_NOME,0)),"Sem categoria"))</f>
        <v/>
      </c>
      <c r="F2022" s="76" t="n"/>
      <c r="G2022" s="74" t="n"/>
      <c r="H2022" s="74" t="n"/>
      <c r="I2022" s="74" t="n"/>
      <c r="J2022" s="77" t="n"/>
      <c r="K2022" s="77" t="n"/>
      <c r="L2022" s="74" t="n"/>
      <c r="M2022" s="74" t="n"/>
      <c r="O2022" s="78">
        <f>IF($A2022="","",YEAR($A2022)*100+MONTH($A2022))</f>
        <v/>
      </c>
      <c r="P2022" s="79">
        <f>IF(OR($F2022="",$D2022=""),"",IF($D2022="Receita",$F2022,IF($D2022="Transferência",0,-$F2022)))</f>
        <v/>
      </c>
    </row>
    <row r="2023">
      <c r="A2023" s="73" t="n"/>
      <c r="B2023" s="74" t="n"/>
      <c r="C2023" s="74" t="n"/>
      <c r="D2023" s="75">
        <f>IF($C2023="","",IFERROR(INDEX(CAT_TIPO,MATCH($C2023,CAT_NOME,0)),"Sem categoria"))</f>
        <v/>
      </c>
      <c r="E2023" s="75">
        <f>IF($C2023="","",IFERROR(INDEX(CAT_GRUPO,MATCH($C2023,CAT_NOME,0)),"Sem categoria"))</f>
        <v/>
      </c>
      <c r="F2023" s="76" t="n"/>
      <c r="G2023" s="74" t="n"/>
      <c r="H2023" s="74" t="n"/>
      <c r="I2023" s="74" t="n"/>
      <c r="J2023" s="77" t="n"/>
      <c r="K2023" s="77" t="n"/>
      <c r="L2023" s="74" t="n"/>
      <c r="M2023" s="74" t="n"/>
      <c r="O2023" s="78">
        <f>IF($A2023="","",YEAR($A2023)*100+MONTH($A2023))</f>
        <v/>
      </c>
      <c r="P2023" s="79">
        <f>IF(OR($F2023="",$D2023=""),"",IF($D2023="Receita",$F2023,IF($D2023="Transferência",0,-$F2023)))</f>
        <v/>
      </c>
    </row>
    <row r="2024">
      <c r="A2024" s="73" t="n"/>
      <c r="B2024" s="74" t="n"/>
      <c r="C2024" s="74" t="n"/>
      <c r="D2024" s="75">
        <f>IF($C2024="","",IFERROR(INDEX(CAT_TIPO,MATCH($C2024,CAT_NOME,0)),"Sem categoria"))</f>
        <v/>
      </c>
      <c r="E2024" s="75">
        <f>IF($C2024="","",IFERROR(INDEX(CAT_GRUPO,MATCH($C2024,CAT_NOME,0)),"Sem categoria"))</f>
        <v/>
      </c>
      <c r="F2024" s="76" t="n"/>
      <c r="G2024" s="74" t="n"/>
      <c r="H2024" s="74" t="n"/>
      <c r="I2024" s="74" t="n"/>
      <c r="J2024" s="77" t="n"/>
      <c r="K2024" s="77" t="n"/>
      <c r="L2024" s="74" t="n"/>
      <c r="M2024" s="74" t="n"/>
      <c r="O2024" s="78">
        <f>IF($A2024="","",YEAR($A2024)*100+MONTH($A2024))</f>
        <v/>
      </c>
      <c r="P2024" s="79">
        <f>IF(OR($F2024="",$D2024=""),"",IF($D2024="Receita",$F2024,IF($D2024="Transferência",0,-$F2024)))</f>
        <v/>
      </c>
    </row>
    <row r="2025">
      <c r="A2025" s="73" t="n"/>
      <c r="B2025" s="74" t="n"/>
      <c r="C2025" s="74" t="n"/>
      <c r="D2025" s="75">
        <f>IF($C2025="","",IFERROR(INDEX(CAT_TIPO,MATCH($C2025,CAT_NOME,0)),"Sem categoria"))</f>
        <v/>
      </c>
      <c r="E2025" s="75">
        <f>IF($C2025="","",IFERROR(INDEX(CAT_GRUPO,MATCH($C2025,CAT_NOME,0)),"Sem categoria"))</f>
        <v/>
      </c>
      <c r="F2025" s="76" t="n"/>
      <c r="G2025" s="74" t="n"/>
      <c r="H2025" s="74" t="n"/>
      <c r="I2025" s="74" t="n"/>
      <c r="J2025" s="77" t="n"/>
      <c r="K2025" s="77" t="n"/>
      <c r="L2025" s="74" t="n"/>
      <c r="M2025" s="74" t="n"/>
      <c r="O2025" s="78">
        <f>IF($A2025="","",YEAR($A2025)*100+MONTH($A2025))</f>
        <v/>
      </c>
      <c r="P2025" s="79">
        <f>IF(OR($F2025="",$D2025=""),"",IF($D2025="Receita",$F2025,IF($D2025="Transferência",0,-$F2025)))</f>
        <v/>
      </c>
    </row>
    <row r="2026">
      <c r="A2026" s="73" t="n"/>
      <c r="B2026" s="74" t="n"/>
      <c r="C2026" s="74" t="n"/>
      <c r="D2026" s="75">
        <f>IF($C2026="","",IFERROR(INDEX(CAT_TIPO,MATCH($C2026,CAT_NOME,0)),"Sem categoria"))</f>
        <v/>
      </c>
      <c r="E2026" s="75">
        <f>IF($C2026="","",IFERROR(INDEX(CAT_GRUPO,MATCH($C2026,CAT_NOME,0)),"Sem categoria"))</f>
        <v/>
      </c>
      <c r="F2026" s="76" t="n"/>
      <c r="G2026" s="74" t="n"/>
      <c r="H2026" s="74" t="n"/>
      <c r="I2026" s="74" t="n"/>
      <c r="J2026" s="77" t="n"/>
      <c r="K2026" s="77" t="n"/>
      <c r="L2026" s="74" t="n"/>
      <c r="M2026" s="74" t="n"/>
      <c r="O2026" s="78">
        <f>IF($A2026="","",YEAR($A2026)*100+MONTH($A2026))</f>
        <v/>
      </c>
      <c r="P2026" s="79">
        <f>IF(OR($F2026="",$D2026=""),"",IF($D2026="Receita",$F2026,IF($D2026="Transferência",0,-$F2026)))</f>
        <v/>
      </c>
    </row>
    <row r="2027">
      <c r="A2027" s="73" t="n"/>
      <c r="B2027" s="74" t="n"/>
      <c r="C2027" s="74" t="n"/>
      <c r="D2027" s="75">
        <f>IF($C2027="","",IFERROR(INDEX(CAT_TIPO,MATCH($C2027,CAT_NOME,0)),"Sem categoria"))</f>
        <v/>
      </c>
      <c r="E2027" s="75">
        <f>IF($C2027="","",IFERROR(INDEX(CAT_GRUPO,MATCH($C2027,CAT_NOME,0)),"Sem categoria"))</f>
        <v/>
      </c>
      <c r="F2027" s="76" t="n"/>
      <c r="G2027" s="74" t="n"/>
      <c r="H2027" s="74" t="n"/>
      <c r="I2027" s="74" t="n"/>
      <c r="J2027" s="77" t="n"/>
      <c r="K2027" s="77" t="n"/>
      <c r="L2027" s="74" t="n"/>
      <c r="M2027" s="74" t="n"/>
      <c r="O2027" s="78">
        <f>IF($A2027="","",YEAR($A2027)*100+MONTH($A2027))</f>
        <v/>
      </c>
      <c r="P2027" s="79">
        <f>IF(OR($F2027="",$D2027=""),"",IF($D2027="Receita",$F2027,IF($D2027="Transferência",0,-$F2027)))</f>
        <v/>
      </c>
    </row>
    <row r="2028">
      <c r="A2028" s="73" t="n"/>
      <c r="B2028" s="74" t="n"/>
      <c r="C2028" s="74" t="n"/>
      <c r="D2028" s="75">
        <f>IF($C2028="","",IFERROR(INDEX(CAT_TIPO,MATCH($C2028,CAT_NOME,0)),"Sem categoria"))</f>
        <v/>
      </c>
      <c r="E2028" s="75">
        <f>IF($C2028="","",IFERROR(INDEX(CAT_GRUPO,MATCH($C2028,CAT_NOME,0)),"Sem categoria"))</f>
        <v/>
      </c>
      <c r="F2028" s="76" t="n"/>
      <c r="G2028" s="74" t="n"/>
      <c r="H2028" s="74" t="n"/>
      <c r="I2028" s="74" t="n"/>
      <c r="J2028" s="77" t="n"/>
      <c r="K2028" s="77" t="n"/>
      <c r="L2028" s="74" t="n"/>
      <c r="M2028" s="74" t="n"/>
      <c r="O2028" s="78">
        <f>IF($A2028="","",YEAR($A2028)*100+MONTH($A2028))</f>
        <v/>
      </c>
      <c r="P2028" s="79">
        <f>IF(OR($F2028="",$D2028=""),"",IF($D2028="Receita",$F2028,IF($D2028="Transferência",0,-$F2028)))</f>
        <v/>
      </c>
    </row>
    <row r="2029">
      <c r="A2029" s="73" t="n"/>
      <c r="B2029" s="74" t="n"/>
      <c r="C2029" s="74" t="n"/>
      <c r="D2029" s="75">
        <f>IF($C2029="","",IFERROR(INDEX(CAT_TIPO,MATCH($C2029,CAT_NOME,0)),"Sem categoria"))</f>
        <v/>
      </c>
      <c r="E2029" s="75">
        <f>IF($C2029="","",IFERROR(INDEX(CAT_GRUPO,MATCH($C2029,CAT_NOME,0)),"Sem categoria"))</f>
        <v/>
      </c>
      <c r="F2029" s="76" t="n"/>
      <c r="G2029" s="74" t="n"/>
      <c r="H2029" s="74" t="n"/>
      <c r="I2029" s="74" t="n"/>
      <c r="J2029" s="77" t="n"/>
      <c r="K2029" s="77" t="n"/>
      <c r="L2029" s="74" t="n"/>
      <c r="M2029" s="74" t="n"/>
      <c r="O2029" s="78">
        <f>IF($A2029="","",YEAR($A2029)*100+MONTH($A2029))</f>
        <v/>
      </c>
      <c r="P2029" s="79">
        <f>IF(OR($F2029="",$D2029=""),"",IF($D2029="Receita",$F2029,IF($D2029="Transferência",0,-$F2029)))</f>
        <v/>
      </c>
    </row>
    <row r="2030">
      <c r="A2030" s="73" t="n"/>
      <c r="B2030" s="74" t="n"/>
      <c r="C2030" s="74" t="n"/>
      <c r="D2030" s="75">
        <f>IF($C2030="","",IFERROR(INDEX(CAT_TIPO,MATCH($C2030,CAT_NOME,0)),"Sem categoria"))</f>
        <v/>
      </c>
      <c r="E2030" s="75">
        <f>IF($C2030="","",IFERROR(INDEX(CAT_GRUPO,MATCH($C2030,CAT_NOME,0)),"Sem categoria"))</f>
        <v/>
      </c>
      <c r="F2030" s="76" t="n"/>
      <c r="G2030" s="74" t="n"/>
      <c r="H2030" s="74" t="n"/>
      <c r="I2030" s="74" t="n"/>
      <c r="J2030" s="77" t="n"/>
      <c r="K2030" s="77" t="n"/>
      <c r="L2030" s="74" t="n"/>
      <c r="M2030" s="74" t="n"/>
      <c r="O2030" s="78">
        <f>IF($A2030="","",YEAR($A2030)*100+MONTH($A2030))</f>
        <v/>
      </c>
      <c r="P2030" s="79">
        <f>IF(OR($F2030="",$D2030=""),"",IF($D2030="Receita",$F2030,IF($D2030="Transferência",0,-$F2030)))</f>
        <v/>
      </c>
    </row>
    <row r="2031">
      <c r="A2031" s="73" t="n"/>
      <c r="B2031" s="74" t="n"/>
      <c r="C2031" s="74" t="n"/>
      <c r="D2031" s="75">
        <f>IF($C2031="","",IFERROR(INDEX(CAT_TIPO,MATCH($C2031,CAT_NOME,0)),"Sem categoria"))</f>
        <v/>
      </c>
      <c r="E2031" s="75">
        <f>IF($C2031="","",IFERROR(INDEX(CAT_GRUPO,MATCH($C2031,CAT_NOME,0)),"Sem categoria"))</f>
        <v/>
      </c>
      <c r="F2031" s="76" t="n"/>
      <c r="G2031" s="74" t="n"/>
      <c r="H2031" s="74" t="n"/>
      <c r="I2031" s="74" t="n"/>
      <c r="J2031" s="77" t="n"/>
      <c r="K2031" s="77" t="n"/>
      <c r="L2031" s="74" t="n"/>
      <c r="M2031" s="74" t="n"/>
      <c r="O2031" s="78">
        <f>IF($A2031="","",YEAR($A2031)*100+MONTH($A2031))</f>
        <v/>
      </c>
      <c r="P2031" s="79">
        <f>IF(OR($F2031="",$D2031=""),"",IF($D2031="Receita",$F2031,IF($D2031="Transferência",0,-$F2031)))</f>
        <v/>
      </c>
    </row>
    <row r="2032">
      <c r="A2032" s="73" t="n"/>
      <c r="B2032" s="74" t="n"/>
      <c r="C2032" s="74" t="n"/>
      <c r="D2032" s="75">
        <f>IF($C2032="","",IFERROR(INDEX(CAT_TIPO,MATCH($C2032,CAT_NOME,0)),"Sem categoria"))</f>
        <v/>
      </c>
      <c r="E2032" s="75">
        <f>IF($C2032="","",IFERROR(INDEX(CAT_GRUPO,MATCH($C2032,CAT_NOME,0)),"Sem categoria"))</f>
        <v/>
      </c>
      <c r="F2032" s="76" t="n"/>
      <c r="G2032" s="74" t="n"/>
      <c r="H2032" s="74" t="n"/>
      <c r="I2032" s="74" t="n"/>
      <c r="J2032" s="77" t="n"/>
      <c r="K2032" s="77" t="n"/>
      <c r="L2032" s="74" t="n"/>
      <c r="M2032" s="74" t="n"/>
      <c r="O2032" s="78">
        <f>IF($A2032="","",YEAR($A2032)*100+MONTH($A2032))</f>
        <v/>
      </c>
      <c r="P2032" s="79">
        <f>IF(OR($F2032="",$D2032=""),"",IF($D2032="Receita",$F2032,IF($D2032="Transferência",0,-$F2032)))</f>
        <v/>
      </c>
    </row>
    <row r="2033">
      <c r="A2033" s="73" t="n"/>
      <c r="B2033" s="74" t="n"/>
      <c r="C2033" s="74" t="n"/>
      <c r="D2033" s="75">
        <f>IF($C2033="","",IFERROR(INDEX(CAT_TIPO,MATCH($C2033,CAT_NOME,0)),"Sem categoria"))</f>
        <v/>
      </c>
      <c r="E2033" s="75">
        <f>IF($C2033="","",IFERROR(INDEX(CAT_GRUPO,MATCH($C2033,CAT_NOME,0)),"Sem categoria"))</f>
        <v/>
      </c>
      <c r="F2033" s="76" t="n"/>
      <c r="G2033" s="74" t="n"/>
      <c r="H2033" s="74" t="n"/>
      <c r="I2033" s="74" t="n"/>
      <c r="J2033" s="77" t="n"/>
      <c r="K2033" s="77" t="n"/>
      <c r="L2033" s="74" t="n"/>
      <c r="M2033" s="74" t="n"/>
      <c r="O2033" s="78">
        <f>IF($A2033="","",YEAR($A2033)*100+MONTH($A2033))</f>
        <v/>
      </c>
      <c r="P2033" s="79">
        <f>IF(OR($F2033="",$D2033=""),"",IF($D2033="Receita",$F2033,IF($D2033="Transferência",0,-$F2033)))</f>
        <v/>
      </c>
    </row>
    <row r="2034">
      <c r="A2034" s="73" t="n"/>
      <c r="B2034" s="74" t="n"/>
      <c r="C2034" s="74" t="n"/>
      <c r="D2034" s="75">
        <f>IF($C2034="","",IFERROR(INDEX(CAT_TIPO,MATCH($C2034,CAT_NOME,0)),"Sem categoria"))</f>
        <v/>
      </c>
      <c r="E2034" s="75">
        <f>IF($C2034="","",IFERROR(INDEX(CAT_GRUPO,MATCH($C2034,CAT_NOME,0)),"Sem categoria"))</f>
        <v/>
      </c>
      <c r="F2034" s="76" t="n"/>
      <c r="G2034" s="74" t="n"/>
      <c r="H2034" s="74" t="n"/>
      <c r="I2034" s="74" t="n"/>
      <c r="J2034" s="77" t="n"/>
      <c r="K2034" s="77" t="n"/>
      <c r="L2034" s="74" t="n"/>
      <c r="M2034" s="74" t="n"/>
      <c r="O2034" s="78">
        <f>IF($A2034="","",YEAR($A2034)*100+MONTH($A2034))</f>
        <v/>
      </c>
      <c r="P2034" s="79">
        <f>IF(OR($F2034="",$D2034=""),"",IF($D2034="Receita",$F2034,IF($D2034="Transferência",0,-$F2034)))</f>
        <v/>
      </c>
    </row>
    <row r="2035">
      <c r="A2035" s="73" t="n"/>
      <c r="B2035" s="74" t="n"/>
      <c r="C2035" s="74" t="n"/>
      <c r="D2035" s="75">
        <f>IF($C2035="","",IFERROR(INDEX(CAT_TIPO,MATCH($C2035,CAT_NOME,0)),"Sem categoria"))</f>
        <v/>
      </c>
      <c r="E2035" s="75">
        <f>IF($C2035="","",IFERROR(INDEX(CAT_GRUPO,MATCH($C2035,CAT_NOME,0)),"Sem categoria"))</f>
        <v/>
      </c>
      <c r="F2035" s="76" t="n"/>
      <c r="G2035" s="74" t="n"/>
      <c r="H2035" s="74" t="n"/>
      <c r="I2035" s="74" t="n"/>
      <c r="J2035" s="77" t="n"/>
      <c r="K2035" s="77" t="n"/>
      <c r="L2035" s="74" t="n"/>
      <c r="M2035" s="74" t="n"/>
      <c r="O2035" s="78">
        <f>IF($A2035="","",YEAR($A2035)*100+MONTH($A2035))</f>
        <v/>
      </c>
      <c r="P2035" s="79">
        <f>IF(OR($F2035="",$D2035=""),"",IF($D2035="Receita",$F2035,IF($D2035="Transferência",0,-$F2035)))</f>
        <v/>
      </c>
    </row>
    <row r="2036">
      <c r="A2036" s="73" t="n"/>
      <c r="B2036" s="74" t="n"/>
      <c r="C2036" s="74" t="n"/>
      <c r="D2036" s="75">
        <f>IF($C2036="","",IFERROR(INDEX(CAT_TIPO,MATCH($C2036,CAT_NOME,0)),"Sem categoria"))</f>
        <v/>
      </c>
      <c r="E2036" s="75">
        <f>IF($C2036="","",IFERROR(INDEX(CAT_GRUPO,MATCH($C2036,CAT_NOME,0)),"Sem categoria"))</f>
        <v/>
      </c>
      <c r="F2036" s="76" t="n"/>
      <c r="G2036" s="74" t="n"/>
      <c r="H2036" s="74" t="n"/>
      <c r="I2036" s="74" t="n"/>
      <c r="J2036" s="77" t="n"/>
      <c r="K2036" s="77" t="n"/>
      <c r="L2036" s="74" t="n"/>
      <c r="M2036" s="74" t="n"/>
      <c r="O2036" s="78">
        <f>IF($A2036="","",YEAR($A2036)*100+MONTH($A2036))</f>
        <v/>
      </c>
      <c r="P2036" s="79">
        <f>IF(OR($F2036="",$D2036=""),"",IF($D2036="Receita",$F2036,IF($D2036="Transferência",0,-$F2036)))</f>
        <v/>
      </c>
    </row>
    <row r="2037">
      <c r="A2037" s="73" t="n"/>
      <c r="B2037" s="74" t="n"/>
      <c r="C2037" s="74" t="n"/>
      <c r="D2037" s="75">
        <f>IF($C2037="","",IFERROR(INDEX(CAT_TIPO,MATCH($C2037,CAT_NOME,0)),"Sem categoria"))</f>
        <v/>
      </c>
      <c r="E2037" s="75">
        <f>IF($C2037="","",IFERROR(INDEX(CAT_GRUPO,MATCH($C2037,CAT_NOME,0)),"Sem categoria"))</f>
        <v/>
      </c>
      <c r="F2037" s="76" t="n"/>
      <c r="G2037" s="74" t="n"/>
      <c r="H2037" s="74" t="n"/>
      <c r="I2037" s="74" t="n"/>
      <c r="J2037" s="77" t="n"/>
      <c r="K2037" s="77" t="n"/>
      <c r="L2037" s="74" t="n"/>
      <c r="M2037" s="74" t="n"/>
      <c r="O2037" s="78">
        <f>IF($A2037="","",YEAR($A2037)*100+MONTH($A2037))</f>
        <v/>
      </c>
      <c r="P2037" s="79">
        <f>IF(OR($F2037="",$D2037=""),"",IF($D2037="Receita",$F2037,IF($D2037="Transferência",0,-$F2037)))</f>
        <v/>
      </c>
    </row>
    <row r="2038">
      <c r="A2038" s="73" t="n"/>
      <c r="B2038" s="74" t="n"/>
      <c r="C2038" s="74" t="n"/>
      <c r="D2038" s="75">
        <f>IF($C2038="","",IFERROR(INDEX(CAT_TIPO,MATCH($C2038,CAT_NOME,0)),"Sem categoria"))</f>
        <v/>
      </c>
      <c r="E2038" s="75">
        <f>IF($C2038="","",IFERROR(INDEX(CAT_GRUPO,MATCH($C2038,CAT_NOME,0)),"Sem categoria"))</f>
        <v/>
      </c>
      <c r="F2038" s="76" t="n"/>
      <c r="G2038" s="74" t="n"/>
      <c r="H2038" s="74" t="n"/>
      <c r="I2038" s="74" t="n"/>
      <c r="J2038" s="77" t="n"/>
      <c r="K2038" s="77" t="n"/>
      <c r="L2038" s="74" t="n"/>
      <c r="M2038" s="74" t="n"/>
      <c r="O2038" s="78">
        <f>IF($A2038="","",YEAR($A2038)*100+MONTH($A2038))</f>
        <v/>
      </c>
      <c r="P2038" s="79">
        <f>IF(OR($F2038="",$D2038=""),"",IF($D2038="Receita",$F2038,IF($D2038="Transferência",0,-$F2038)))</f>
        <v/>
      </c>
    </row>
    <row r="2039">
      <c r="A2039" s="73" t="n"/>
      <c r="B2039" s="74" t="n"/>
      <c r="C2039" s="74" t="n"/>
      <c r="D2039" s="75">
        <f>IF($C2039="","",IFERROR(INDEX(CAT_TIPO,MATCH($C2039,CAT_NOME,0)),"Sem categoria"))</f>
        <v/>
      </c>
      <c r="E2039" s="75">
        <f>IF($C2039="","",IFERROR(INDEX(CAT_GRUPO,MATCH($C2039,CAT_NOME,0)),"Sem categoria"))</f>
        <v/>
      </c>
      <c r="F2039" s="76" t="n"/>
      <c r="G2039" s="74" t="n"/>
      <c r="H2039" s="74" t="n"/>
      <c r="I2039" s="74" t="n"/>
      <c r="J2039" s="77" t="n"/>
      <c r="K2039" s="77" t="n"/>
      <c r="L2039" s="74" t="n"/>
      <c r="M2039" s="74" t="n"/>
      <c r="O2039" s="78">
        <f>IF($A2039="","",YEAR($A2039)*100+MONTH($A2039))</f>
        <v/>
      </c>
      <c r="P2039" s="79">
        <f>IF(OR($F2039="",$D2039=""),"",IF($D2039="Receita",$F2039,IF($D2039="Transferência",0,-$F2039)))</f>
        <v/>
      </c>
    </row>
    <row r="2040">
      <c r="A2040" s="73" t="n"/>
      <c r="B2040" s="74" t="n"/>
      <c r="C2040" s="74" t="n"/>
      <c r="D2040" s="75">
        <f>IF($C2040="","",IFERROR(INDEX(CAT_TIPO,MATCH($C2040,CAT_NOME,0)),"Sem categoria"))</f>
        <v/>
      </c>
      <c r="E2040" s="75">
        <f>IF($C2040="","",IFERROR(INDEX(CAT_GRUPO,MATCH($C2040,CAT_NOME,0)),"Sem categoria"))</f>
        <v/>
      </c>
      <c r="F2040" s="76" t="n"/>
      <c r="G2040" s="74" t="n"/>
      <c r="H2040" s="74" t="n"/>
      <c r="I2040" s="74" t="n"/>
      <c r="J2040" s="77" t="n"/>
      <c r="K2040" s="77" t="n"/>
      <c r="L2040" s="74" t="n"/>
      <c r="M2040" s="74" t="n"/>
      <c r="O2040" s="78">
        <f>IF($A2040="","",YEAR($A2040)*100+MONTH($A2040))</f>
        <v/>
      </c>
      <c r="P2040" s="79">
        <f>IF(OR($F2040="",$D2040=""),"",IF($D2040="Receita",$F2040,IF($D2040="Transferência",0,-$F2040)))</f>
        <v/>
      </c>
    </row>
    <row r="2041">
      <c r="A2041" s="73" t="n"/>
      <c r="B2041" s="74" t="n"/>
      <c r="C2041" s="74" t="n"/>
      <c r="D2041" s="75">
        <f>IF($C2041="","",IFERROR(INDEX(CAT_TIPO,MATCH($C2041,CAT_NOME,0)),"Sem categoria"))</f>
        <v/>
      </c>
      <c r="E2041" s="75">
        <f>IF($C2041="","",IFERROR(INDEX(CAT_GRUPO,MATCH($C2041,CAT_NOME,0)),"Sem categoria"))</f>
        <v/>
      </c>
      <c r="F2041" s="76" t="n"/>
      <c r="G2041" s="74" t="n"/>
      <c r="H2041" s="74" t="n"/>
      <c r="I2041" s="74" t="n"/>
      <c r="J2041" s="77" t="n"/>
      <c r="K2041" s="77" t="n"/>
      <c r="L2041" s="74" t="n"/>
      <c r="M2041" s="74" t="n"/>
      <c r="O2041" s="78">
        <f>IF($A2041="","",YEAR($A2041)*100+MONTH($A2041))</f>
        <v/>
      </c>
      <c r="P2041" s="79">
        <f>IF(OR($F2041="",$D2041=""),"",IF($D2041="Receita",$F2041,IF($D2041="Transferência",0,-$F2041)))</f>
        <v/>
      </c>
    </row>
    <row r="2042">
      <c r="A2042" s="73" t="n"/>
      <c r="B2042" s="74" t="n"/>
      <c r="C2042" s="74" t="n"/>
      <c r="D2042" s="75">
        <f>IF($C2042="","",IFERROR(INDEX(CAT_TIPO,MATCH($C2042,CAT_NOME,0)),"Sem categoria"))</f>
        <v/>
      </c>
      <c r="E2042" s="75">
        <f>IF($C2042="","",IFERROR(INDEX(CAT_GRUPO,MATCH($C2042,CAT_NOME,0)),"Sem categoria"))</f>
        <v/>
      </c>
      <c r="F2042" s="76" t="n"/>
      <c r="G2042" s="74" t="n"/>
      <c r="H2042" s="74" t="n"/>
      <c r="I2042" s="74" t="n"/>
      <c r="J2042" s="77" t="n"/>
      <c r="K2042" s="77" t="n"/>
      <c r="L2042" s="74" t="n"/>
      <c r="M2042" s="74" t="n"/>
      <c r="O2042" s="78">
        <f>IF($A2042="","",YEAR($A2042)*100+MONTH($A2042))</f>
        <v/>
      </c>
      <c r="P2042" s="79">
        <f>IF(OR($F2042="",$D2042=""),"",IF($D2042="Receita",$F2042,IF($D2042="Transferência",0,-$F2042)))</f>
        <v/>
      </c>
    </row>
    <row r="2043">
      <c r="A2043" s="73" t="n"/>
      <c r="B2043" s="74" t="n"/>
      <c r="C2043" s="74" t="n"/>
      <c r="D2043" s="75">
        <f>IF($C2043="","",IFERROR(INDEX(CAT_TIPO,MATCH($C2043,CAT_NOME,0)),"Sem categoria"))</f>
        <v/>
      </c>
      <c r="E2043" s="75">
        <f>IF($C2043="","",IFERROR(INDEX(CAT_GRUPO,MATCH($C2043,CAT_NOME,0)),"Sem categoria"))</f>
        <v/>
      </c>
      <c r="F2043" s="76" t="n"/>
      <c r="G2043" s="74" t="n"/>
      <c r="H2043" s="74" t="n"/>
      <c r="I2043" s="74" t="n"/>
      <c r="J2043" s="77" t="n"/>
      <c r="K2043" s="77" t="n"/>
      <c r="L2043" s="74" t="n"/>
      <c r="M2043" s="74" t="n"/>
      <c r="O2043" s="78">
        <f>IF($A2043="","",YEAR($A2043)*100+MONTH($A2043))</f>
        <v/>
      </c>
      <c r="P2043" s="79">
        <f>IF(OR($F2043="",$D2043=""),"",IF($D2043="Receita",$F2043,IF($D2043="Transferência",0,-$F2043)))</f>
        <v/>
      </c>
    </row>
    <row r="2044">
      <c r="A2044" s="73" t="n"/>
      <c r="B2044" s="74" t="n"/>
      <c r="C2044" s="74" t="n"/>
      <c r="D2044" s="75">
        <f>IF($C2044="","",IFERROR(INDEX(CAT_TIPO,MATCH($C2044,CAT_NOME,0)),"Sem categoria"))</f>
        <v/>
      </c>
      <c r="E2044" s="75">
        <f>IF($C2044="","",IFERROR(INDEX(CAT_GRUPO,MATCH($C2044,CAT_NOME,0)),"Sem categoria"))</f>
        <v/>
      </c>
      <c r="F2044" s="76" t="n"/>
      <c r="G2044" s="74" t="n"/>
      <c r="H2044" s="74" t="n"/>
      <c r="I2044" s="74" t="n"/>
      <c r="J2044" s="77" t="n"/>
      <c r="K2044" s="77" t="n"/>
      <c r="L2044" s="74" t="n"/>
      <c r="M2044" s="74" t="n"/>
      <c r="O2044" s="78">
        <f>IF($A2044="","",YEAR($A2044)*100+MONTH($A2044))</f>
        <v/>
      </c>
      <c r="P2044" s="79">
        <f>IF(OR($F2044="",$D2044=""),"",IF($D2044="Receita",$F2044,IF($D2044="Transferência",0,-$F2044)))</f>
        <v/>
      </c>
    </row>
    <row r="2045">
      <c r="A2045" s="73" t="n"/>
      <c r="B2045" s="74" t="n"/>
      <c r="C2045" s="74" t="n"/>
      <c r="D2045" s="75">
        <f>IF($C2045="","",IFERROR(INDEX(CAT_TIPO,MATCH($C2045,CAT_NOME,0)),"Sem categoria"))</f>
        <v/>
      </c>
      <c r="E2045" s="75">
        <f>IF($C2045="","",IFERROR(INDEX(CAT_GRUPO,MATCH($C2045,CAT_NOME,0)),"Sem categoria"))</f>
        <v/>
      </c>
      <c r="F2045" s="76" t="n"/>
      <c r="G2045" s="74" t="n"/>
      <c r="H2045" s="74" t="n"/>
      <c r="I2045" s="74" t="n"/>
      <c r="J2045" s="77" t="n"/>
      <c r="K2045" s="77" t="n"/>
      <c r="L2045" s="74" t="n"/>
      <c r="M2045" s="74" t="n"/>
      <c r="O2045" s="78">
        <f>IF($A2045="","",YEAR($A2045)*100+MONTH($A2045))</f>
        <v/>
      </c>
      <c r="P2045" s="79">
        <f>IF(OR($F2045="",$D2045=""),"",IF($D2045="Receita",$F2045,IF($D2045="Transferência",0,-$F2045)))</f>
        <v/>
      </c>
    </row>
    <row r="2046">
      <c r="A2046" s="73" t="n"/>
      <c r="B2046" s="74" t="n"/>
      <c r="C2046" s="74" t="n"/>
      <c r="D2046" s="75">
        <f>IF($C2046="","",IFERROR(INDEX(CAT_TIPO,MATCH($C2046,CAT_NOME,0)),"Sem categoria"))</f>
        <v/>
      </c>
      <c r="E2046" s="75">
        <f>IF($C2046="","",IFERROR(INDEX(CAT_GRUPO,MATCH($C2046,CAT_NOME,0)),"Sem categoria"))</f>
        <v/>
      </c>
      <c r="F2046" s="76" t="n"/>
      <c r="G2046" s="74" t="n"/>
      <c r="H2046" s="74" t="n"/>
      <c r="I2046" s="74" t="n"/>
      <c r="J2046" s="77" t="n"/>
      <c r="K2046" s="77" t="n"/>
      <c r="L2046" s="74" t="n"/>
      <c r="M2046" s="74" t="n"/>
      <c r="O2046" s="78">
        <f>IF($A2046="","",YEAR($A2046)*100+MONTH($A2046))</f>
        <v/>
      </c>
      <c r="P2046" s="79">
        <f>IF(OR($F2046="",$D2046=""),"",IF($D2046="Receita",$F2046,IF($D2046="Transferência",0,-$F2046)))</f>
        <v/>
      </c>
    </row>
    <row r="2047">
      <c r="A2047" s="73" t="n"/>
      <c r="B2047" s="74" t="n"/>
      <c r="C2047" s="74" t="n"/>
      <c r="D2047" s="75">
        <f>IF($C2047="","",IFERROR(INDEX(CAT_TIPO,MATCH($C2047,CAT_NOME,0)),"Sem categoria"))</f>
        <v/>
      </c>
      <c r="E2047" s="75">
        <f>IF($C2047="","",IFERROR(INDEX(CAT_GRUPO,MATCH($C2047,CAT_NOME,0)),"Sem categoria"))</f>
        <v/>
      </c>
      <c r="F2047" s="76" t="n"/>
      <c r="G2047" s="74" t="n"/>
      <c r="H2047" s="74" t="n"/>
      <c r="I2047" s="74" t="n"/>
      <c r="J2047" s="77" t="n"/>
      <c r="K2047" s="77" t="n"/>
      <c r="L2047" s="74" t="n"/>
      <c r="M2047" s="74" t="n"/>
      <c r="O2047" s="78">
        <f>IF($A2047="","",YEAR($A2047)*100+MONTH($A2047))</f>
        <v/>
      </c>
      <c r="P2047" s="79">
        <f>IF(OR($F2047="",$D2047=""),"",IF($D2047="Receita",$F2047,IF($D2047="Transferência",0,-$F2047)))</f>
        <v/>
      </c>
    </row>
    <row r="2048">
      <c r="A2048" s="73" t="n"/>
      <c r="B2048" s="74" t="n"/>
      <c r="C2048" s="74" t="n"/>
      <c r="D2048" s="75">
        <f>IF($C2048="","",IFERROR(INDEX(CAT_TIPO,MATCH($C2048,CAT_NOME,0)),"Sem categoria"))</f>
        <v/>
      </c>
      <c r="E2048" s="75">
        <f>IF($C2048="","",IFERROR(INDEX(CAT_GRUPO,MATCH($C2048,CAT_NOME,0)),"Sem categoria"))</f>
        <v/>
      </c>
      <c r="F2048" s="76" t="n"/>
      <c r="G2048" s="74" t="n"/>
      <c r="H2048" s="74" t="n"/>
      <c r="I2048" s="74" t="n"/>
      <c r="J2048" s="77" t="n"/>
      <c r="K2048" s="77" t="n"/>
      <c r="L2048" s="74" t="n"/>
      <c r="M2048" s="74" t="n"/>
      <c r="O2048" s="78">
        <f>IF($A2048="","",YEAR($A2048)*100+MONTH($A2048))</f>
        <v/>
      </c>
      <c r="P2048" s="79">
        <f>IF(OR($F2048="",$D2048=""),"",IF($D2048="Receita",$F2048,IF($D2048="Transferência",0,-$F2048)))</f>
        <v/>
      </c>
    </row>
    <row r="2049">
      <c r="A2049" s="73" t="n"/>
      <c r="B2049" s="74" t="n"/>
      <c r="C2049" s="74" t="n"/>
      <c r="D2049" s="75">
        <f>IF($C2049="","",IFERROR(INDEX(CAT_TIPO,MATCH($C2049,CAT_NOME,0)),"Sem categoria"))</f>
        <v/>
      </c>
      <c r="E2049" s="75">
        <f>IF($C2049="","",IFERROR(INDEX(CAT_GRUPO,MATCH($C2049,CAT_NOME,0)),"Sem categoria"))</f>
        <v/>
      </c>
      <c r="F2049" s="76" t="n"/>
      <c r="G2049" s="74" t="n"/>
      <c r="H2049" s="74" t="n"/>
      <c r="I2049" s="74" t="n"/>
      <c r="J2049" s="77" t="n"/>
      <c r="K2049" s="77" t="n"/>
      <c r="L2049" s="74" t="n"/>
      <c r="M2049" s="74" t="n"/>
      <c r="O2049" s="78">
        <f>IF($A2049="","",YEAR($A2049)*100+MONTH($A2049))</f>
        <v/>
      </c>
      <c r="P2049" s="79">
        <f>IF(OR($F2049="",$D2049=""),"",IF($D2049="Receita",$F2049,IF($D2049="Transferência",0,-$F2049)))</f>
        <v/>
      </c>
    </row>
    <row r="2050">
      <c r="A2050" s="73" t="n"/>
      <c r="B2050" s="74" t="n"/>
      <c r="C2050" s="74" t="n"/>
      <c r="D2050" s="75">
        <f>IF($C2050="","",IFERROR(INDEX(CAT_TIPO,MATCH($C2050,CAT_NOME,0)),"Sem categoria"))</f>
        <v/>
      </c>
      <c r="E2050" s="75">
        <f>IF($C2050="","",IFERROR(INDEX(CAT_GRUPO,MATCH($C2050,CAT_NOME,0)),"Sem categoria"))</f>
        <v/>
      </c>
      <c r="F2050" s="76" t="n"/>
      <c r="G2050" s="74" t="n"/>
      <c r="H2050" s="74" t="n"/>
      <c r="I2050" s="74" t="n"/>
      <c r="J2050" s="77" t="n"/>
      <c r="K2050" s="77" t="n"/>
      <c r="L2050" s="74" t="n"/>
      <c r="M2050" s="74" t="n"/>
      <c r="O2050" s="78">
        <f>IF($A2050="","",YEAR($A2050)*100+MONTH($A2050))</f>
        <v/>
      </c>
      <c r="P2050" s="79">
        <f>IF(OR($F2050="",$D2050=""),"",IF($D2050="Receita",$F2050,IF($D2050="Transferência",0,-$F2050)))</f>
        <v/>
      </c>
    </row>
    <row r="2051">
      <c r="A2051" s="73" t="n"/>
      <c r="B2051" s="74" t="n"/>
      <c r="C2051" s="74" t="n"/>
      <c r="D2051" s="75">
        <f>IF($C2051="","",IFERROR(INDEX(CAT_TIPO,MATCH($C2051,CAT_NOME,0)),"Sem categoria"))</f>
        <v/>
      </c>
      <c r="E2051" s="75">
        <f>IF($C2051="","",IFERROR(INDEX(CAT_GRUPO,MATCH($C2051,CAT_NOME,0)),"Sem categoria"))</f>
        <v/>
      </c>
      <c r="F2051" s="76" t="n"/>
      <c r="G2051" s="74" t="n"/>
      <c r="H2051" s="74" t="n"/>
      <c r="I2051" s="74" t="n"/>
      <c r="J2051" s="77" t="n"/>
      <c r="K2051" s="77" t="n"/>
      <c r="L2051" s="74" t="n"/>
      <c r="M2051" s="74" t="n"/>
      <c r="O2051" s="78">
        <f>IF($A2051="","",YEAR($A2051)*100+MONTH($A2051))</f>
        <v/>
      </c>
      <c r="P2051" s="79">
        <f>IF(OR($F2051="",$D2051=""),"",IF($D2051="Receita",$F2051,IF($D2051="Transferência",0,-$F2051)))</f>
        <v/>
      </c>
    </row>
    <row r="2052">
      <c r="A2052" s="73" t="n"/>
      <c r="B2052" s="74" t="n"/>
      <c r="C2052" s="74" t="n"/>
      <c r="D2052" s="75">
        <f>IF($C2052="","",IFERROR(INDEX(CAT_TIPO,MATCH($C2052,CAT_NOME,0)),"Sem categoria"))</f>
        <v/>
      </c>
      <c r="E2052" s="75">
        <f>IF($C2052="","",IFERROR(INDEX(CAT_GRUPO,MATCH($C2052,CAT_NOME,0)),"Sem categoria"))</f>
        <v/>
      </c>
      <c r="F2052" s="76" t="n"/>
      <c r="G2052" s="74" t="n"/>
      <c r="H2052" s="74" t="n"/>
      <c r="I2052" s="74" t="n"/>
      <c r="J2052" s="77" t="n"/>
      <c r="K2052" s="77" t="n"/>
      <c r="L2052" s="74" t="n"/>
      <c r="M2052" s="74" t="n"/>
      <c r="O2052" s="78">
        <f>IF($A2052="","",YEAR($A2052)*100+MONTH($A2052))</f>
        <v/>
      </c>
      <c r="P2052" s="79">
        <f>IF(OR($F2052="",$D2052=""),"",IF($D2052="Receita",$F2052,IF($D2052="Transferência",0,-$F2052)))</f>
        <v/>
      </c>
    </row>
    <row r="2053">
      <c r="A2053" s="73" t="n"/>
      <c r="B2053" s="74" t="n"/>
      <c r="C2053" s="74" t="n"/>
      <c r="D2053" s="75">
        <f>IF($C2053="","",IFERROR(INDEX(CAT_TIPO,MATCH($C2053,CAT_NOME,0)),"Sem categoria"))</f>
        <v/>
      </c>
      <c r="E2053" s="75">
        <f>IF($C2053="","",IFERROR(INDEX(CAT_GRUPO,MATCH($C2053,CAT_NOME,0)),"Sem categoria"))</f>
        <v/>
      </c>
      <c r="F2053" s="76" t="n"/>
      <c r="G2053" s="74" t="n"/>
      <c r="H2053" s="74" t="n"/>
      <c r="I2053" s="74" t="n"/>
      <c r="J2053" s="77" t="n"/>
      <c r="K2053" s="77" t="n"/>
      <c r="L2053" s="74" t="n"/>
      <c r="M2053" s="74" t="n"/>
      <c r="O2053" s="78">
        <f>IF($A2053="","",YEAR($A2053)*100+MONTH($A2053))</f>
        <v/>
      </c>
      <c r="P2053" s="79">
        <f>IF(OR($F2053="",$D2053=""),"",IF($D2053="Receita",$F2053,IF($D2053="Transferência",0,-$F2053)))</f>
        <v/>
      </c>
    </row>
    <row r="2054">
      <c r="A2054" s="73" t="n"/>
      <c r="B2054" s="74" t="n"/>
      <c r="C2054" s="74" t="n"/>
      <c r="D2054" s="75">
        <f>IF($C2054="","",IFERROR(INDEX(CAT_TIPO,MATCH($C2054,CAT_NOME,0)),"Sem categoria"))</f>
        <v/>
      </c>
      <c r="E2054" s="75">
        <f>IF($C2054="","",IFERROR(INDEX(CAT_GRUPO,MATCH($C2054,CAT_NOME,0)),"Sem categoria"))</f>
        <v/>
      </c>
      <c r="F2054" s="76" t="n"/>
      <c r="G2054" s="74" t="n"/>
      <c r="H2054" s="74" t="n"/>
      <c r="I2054" s="74" t="n"/>
      <c r="J2054" s="77" t="n"/>
      <c r="K2054" s="77" t="n"/>
      <c r="L2054" s="74" t="n"/>
      <c r="M2054" s="74" t="n"/>
      <c r="O2054" s="78">
        <f>IF($A2054="","",YEAR($A2054)*100+MONTH($A2054))</f>
        <v/>
      </c>
      <c r="P2054" s="79">
        <f>IF(OR($F2054="",$D2054=""),"",IF($D2054="Receita",$F2054,IF($D2054="Transferência",0,-$F2054)))</f>
        <v/>
      </c>
    </row>
    <row r="2055">
      <c r="A2055" s="73" t="n"/>
      <c r="B2055" s="74" t="n"/>
      <c r="C2055" s="74" t="n"/>
      <c r="D2055" s="75">
        <f>IF($C2055="","",IFERROR(INDEX(CAT_TIPO,MATCH($C2055,CAT_NOME,0)),"Sem categoria"))</f>
        <v/>
      </c>
      <c r="E2055" s="75">
        <f>IF($C2055="","",IFERROR(INDEX(CAT_GRUPO,MATCH($C2055,CAT_NOME,0)),"Sem categoria"))</f>
        <v/>
      </c>
      <c r="F2055" s="76" t="n"/>
      <c r="G2055" s="74" t="n"/>
      <c r="H2055" s="74" t="n"/>
      <c r="I2055" s="74" t="n"/>
      <c r="J2055" s="77" t="n"/>
      <c r="K2055" s="77" t="n"/>
      <c r="L2055" s="74" t="n"/>
      <c r="M2055" s="74" t="n"/>
      <c r="O2055" s="78">
        <f>IF($A2055="","",YEAR($A2055)*100+MONTH($A2055))</f>
        <v/>
      </c>
      <c r="P2055" s="79">
        <f>IF(OR($F2055="",$D2055=""),"",IF($D2055="Receita",$F2055,IF($D2055="Transferência",0,-$F2055)))</f>
        <v/>
      </c>
    </row>
    <row r="2056">
      <c r="A2056" s="73" t="n"/>
      <c r="B2056" s="74" t="n"/>
      <c r="C2056" s="74" t="n"/>
      <c r="D2056" s="75">
        <f>IF($C2056="","",IFERROR(INDEX(CAT_TIPO,MATCH($C2056,CAT_NOME,0)),"Sem categoria"))</f>
        <v/>
      </c>
      <c r="E2056" s="75">
        <f>IF($C2056="","",IFERROR(INDEX(CAT_GRUPO,MATCH($C2056,CAT_NOME,0)),"Sem categoria"))</f>
        <v/>
      </c>
      <c r="F2056" s="76" t="n"/>
      <c r="G2056" s="74" t="n"/>
      <c r="H2056" s="74" t="n"/>
      <c r="I2056" s="74" t="n"/>
      <c r="J2056" s="77" t="n"/>
      <c r="K2056" s="77" t="n"/>
      <c r="L2056" s="74" t="n"/>
      <c r="M2056" s="74" t="n"/>
      <c r="O2056" s="78">
        <f>IF($A2056="","",YEAR($A2056)*100+MONTH($A2056))</f>
        <v/>
      </c>
      <c r="P2056" s="79">
        <f>IF(OR($F2056="",$D2056=""),"",IF($D2056="Receita",$F2056,IF($D2056="Transferência",0,-$F2056)))</f>
        <v/>
      </c>
    </row>
    <row r="2057">
      <c r="A2057" s="73" t="n"/>
      <c r="B2057" s="74" t="n"/>
      <c r="C2057" s="74" t="n"/>
      <c r="D2057" s="75">
        <f>IF($C2057="","",IFERROR(INDEX(CAT_TIPO,MATCH($C2057,CAT_NOME,0)),"Sem categoria"))</f>
        <v/>
      </c>
      <c r="E2057" s="75">
        <f>IF($C2057="","",IFERROR(INDEX(CAT_GRUPO,MATCH($C2057,CAT_NOME,0)),"Sem categoria"))</f>
        <v/>
      </c>
      <c r="F2057" s="76" t="n"/>
      <c r="G2057" s="74" t="n"/>
      <c r="H2057" s="74" t="n"/>
      <c r="I2057" s="74" t="n"/>
      <c r="J2057" s="77" t="n"/>
      <c r="K2057" s="77" t="n"/>
      <c r="L2057" s="74" t="n"/>
      <c r="M2057" s="74" t="n"/>
      <c r="O2057" s="78">
        <f>IF($A2057="","",YEAR($A2057)*100+MONTH($A2057))</f>
        <v/>
      </c>
      <c r="P2057" s="79">
        <f>IF(OR($F2057="",$D2057=""),"",IF($D2057="Receita",$F2057,IF($D2057="Transferência",0,-$F2057)))</f>
        <v/>
      </c>
    </row>
    <row r="2058">
      <c r="A2058" s="73" t="n"/>
      <c r="B2058" s="74" t="n"/>
      <c r="C2058" s="74" t="n"/>
      <c r="D2058" s="75">
        <f>IF($C2058="","",IFERROR(INDEX(CAT_TIPO,MATCH($C2058,CAT_NOME,0)),"Sem categoria"))</f>
        <v/>
      </c>
      <c r="E2058" s="75">
        <f>IF($C2058="","",IFERROR(INDEX(CAT_GRUPO,MATCH($C2058,CAT_NOME,0)),"Sem categoria"))</f>
        <v/>
      </c>
      <c r="F2058" s="76" t="n"/>
      <c r="G2058" s="74" t="n"/>
      <c r="H2058" s="74" t="n"/>
      <c r="I2058" s="74" t="n"/>
      <c r="J2058" s="77" t="n"/>
      <c r="K2058" s="77" t="n"/>
      <c r="L2058" s="74" t="n"/>
      <c r="M2058" s="74" t="n"/>
      <c r="O2058" s="78">
        <f>IF($A2058="","",YEAR($A2058)*100+MONTH($A2058))</f>
        <v/>
      </c>
      <c r="P2058" s="79">
        <f>IF(OR($F2058="",$D2058=""),"",IF($D2058="Receita",$F2058,IF($D2058="Transferência",0,-$F2058)))</f>
        <v/>
      </c>
    </row>
    <row r="2059">
      <c r="A2059" s="73" t="n"/>
      <c r="B2059" s="74" t="n"/>
      <c r="C2059" s="74" t="n"/>
      <c r="D2059" s="75">
        <f>IF($C2059="","",IFERROR(INDEX(CAT_TIPO,MATCH($C2059,CAT_NOME,0)),"Sem categoria"))</f>
        <v/>
      </c>
      <c r="E2059" s="75">
        <f>IF($C2059="","",IFERROR(INDEX(CAT_GRUPO,MATCH($C2059,CAT_NOME,0)),"Sem categoria"))</f>
        <v/>
      </c>
      <c r="F2059" s="76" t="n"/>
      <c r="G2059" s="74" t="n"/>
      <c r="H2059" s="74" t="n"/>
      <c r="I2059" s="74" t="n"/>
      <c r="J2059" s="77" t="n"/>
      <c r="K2059" s="77" t="n"/>
      <c r="L2059" s="74" t="n"/>
      <c r="M2059" s="74" t="n"/>
      <c r="O2059" s="78">
        <f>IF($A2059="","",YEAR($A2059)*100+MONTH($A2059))</f>
        <v/>
      </c>
      <c r="P2059" s="79">
        <f>IF(OR($F2059="",$D2059=""),"",IF($D2059="Receita",$F2059,IF($D2059="Transferência",0,-$F2059)))</f>
        <v/>
      </c>
    </row>
    <row r="2060">
      <c r="A2060" s="73" t="n"/>
      <c r="B2060" s="74" t="n"/>
      <c r="C2060" s="74" t="n"/>
      <c r="D2060" s="75">
        <f>IF($C2060="","",IFERROR(INDEX(CAT_TIPO,MATCH($C2060,CAT_NOME,0)),"Sem categoria"))</f>
        <v/>
      </c>
      <c r="E2060" s="75">
        <f>IF($C2060="","",IFERROR(INDEX(CAT_GRUPO,MATCH($C2060,CAT_NOME,0)),"Sem categoria"))</f>
        <v/>
      </c>
      <c r="F2060" s="76" t="n"/>
      <c r="G2060" s="74" t="n"/>
      <c r="H2060" s="74" t="n"/>
      <c r="I2060" s="74" t="n"/>
      <c r="J2060" s="77" t="n"/>
      <c r="K2060" s="77" t="n"/>
      <c r="L2060" s="74" t="n"/>
      <c r="M2060" s="74" t="n"/>
      <c r="O2060" s="78">
        <f>IF($A2060="","",YEAR($A2060)*100+MONTH($A2060))</f>
        <v/>
      </c>
      <c r="P2060" s="79">
        <f>IF(OR($F2060="",$D2060=""),"",IF($D2060="Receita",$F2060,IF($D2060="Transferência",0,-$F2060)))</f>
        <v/>
      </c>
    </row>
    <row r="2061">
      <c r="A2061" s="73" t="n"/>
      <c r="B2061" s="74" t="n"/>
      <c r="C2061" s="74" t="n"/>
      <c r="D2061" s="75">
        <f>IF($C2061="","",IFERROR(INDEX(CAT_TIPO,MATCH($C2061,CAT_NOME,0)),"Sem categoria"))</f>
        <v/>
      </c>
      <c r="E2061" s="75">
        <f>IF($C2061="","",IFERROR(INDEX(CAT_GRUPO,MATCH($C2061,CAT_NOME,0)),"Sem categoria"))</f>
        <v/>
      </c>
      <c r="F2061" s="76" t="n"/>
      <c r="G2061" s="74" t="n"/>
      <c r="H2061" s="74" t="n"/>
      <c r="I2061" s="74" t="n"/>
      <c r="J2061" s="77" t="n"/>
      <c r="K2061" s="77" t="n"/>
      <c r="L2061" s="74" t="n"/>
      <c r="M2061" s="74" t="n"/>
      <c r="O2061" s="78">
        <f>IF($A2061="","",YEAR($A2061)*100+MONTH($A2061))</f>
        <v/>
      </c>
      <c r="P2061" s="79">
        <f>IF(OR($F2061="",$D2061=""),"",IF($D2061="Receita",$F2061,IF($D2061="Transferência",0,-$F2061)))</f>
        <v/>
      </c>
    </row>
    <row r="2062">
      <c r="A2062" s="73" t="n"/>
      <c r="B2062" s="74" t="n"/>
      <c r="C2062" s="74" t="n"/>
      <c r="D2062" s="75">
        <f>IF($C2062="","",IFERROR(INDEX(CAT_TIPO,MATCH($C2062,CAT_NOME,0)),"Sem categoria"))</f>
        <v/>
      </c>
      <c r="E2062" s="75">
        <f>IF($C2062="","",IFERROR(INDEX(CAT_GRUPO,MATCH($C2062,CAT_NOME,0)),"Sem categoria"))</f>
        <v/>
      </c>
      <c r="F2062" s="76" t="n"/>
      <c r="G2062" s="74" t="n"/>
      <c r="H2062" s="74" t="n"/>
      <c r="I2062" s="74" t="n"/>
      <c r="J2062" s="77" t="n"/>
      <c r="K2062" s="77" t="n"/>
      <c r="L2062" s="74" t="n"/>
      <c r="M2062" s="74" t="n"/>
      <c r="O2062" s="78">
        <f>IF($A2062="","",YEAR($A2062)*100+MONTH($A2062))</f>
        <v/>
      </c>
      <c r="P2062" s="79">
        <f>IF(OR($F2062="",$D2062=""),"",IF($D2062="Receita",$F2062,IF($D2062="Transferência",0,-$F2062)))</f>
        <v/>
      </c>
    </row>
    <row r="2063">
      <c r="A2063" s="73" t="n"/>
      <c r="B2063" s="74" t="n"/>
      <c r="C2063" s="74" t="n"/>
      <c r="D2063" s="75">
        <f>IF($C2063="","",IFERROR(INDEX(CAT_TIPO,MATCH($C2063,CAT_NOME,0)),"Sem categoria"))</f>
        <v/>
      </c>
      <c r="E2063" s="75">
        <f>IF($C2063="","",IFERROR(INDEX(CAT_GRUPO,MATCH($C2063,CAT_NOME,0)),"Sem categoria"))</f>
        <v/>
      </c>
      <c r="F2063" s="76" t="n"/>
      <c r="G2063" s="74" t="n"/>
      <c r="H2063" s="74" t="n"/>
      <c r="I2063" s="74" t="n"/>
      <c r="J2063" s="77" t="n"/>
      <c r="K2063" s="77" t="n"/>
      <c r="L2063" s="74" t="n"/>
      <c r="M2063" s="74" t="n"/>
      <c r="O2063" s="78">
        <f>IF($A2063="","",YEAR($A2063)*100+MONTH($A2063))</f>
        <v/>
      </c>
      <c r="P2063" s="79">
        <f>IF(OR($F2063="",$D2063=""),"",IF($D2063="Receita",$F2063,IF($D2063="Transferência",0,-$F2063)))</f>
        <v/>
      </c>
    </row>
    <row r="2064">
      <c r="A2064" s="73" t="n"/>
      <c r="B2064" s="74" t="n"/>
      <c r="C2064" s="74" t="n"/>
      <c r="D2064" s="75">
        <f>IF($C2064="","",IFERROR(INDEX(CAT_TIPO,MATCH($C2064,CAT_NOME,0)),"Sem categoria"))</f>
        <v/>
      </c>
      <c r="E2064" s="75">
        <f>IF($C2064="","",IFERROR(INDEX(CAT_GRUPO,MATCH($C2064,CAT_NOME,0)),"Sem categoria"))</f>
        <v/>
      </c>
      <c r="F2064" s="76" t="n"/>
      <c r="G2064" s="74" t="n"/>
      <c r="H2064" s="74" t="n"/>
      <c r="I2064" s="74" t="n"/>
      <c r="J2064" s="77" t="n"/>
      <c r="K2064" s="77" t="n"/>
      <c r="L2064" s="74" t="n"/>
      <c r="M2064" s="74" t="n"/>
      <c r="O2064" s="78">
        <f>IF($A2064="","",YEAR($A2064)*100+MONTH($A2064))</f>
        <v/>
      </c>
      <c r="P2064" s="79">
        <f>IF(OR($F2064="",$D2064=""),"",IF($D2064="Receita",$F2064,IF($D2064="Transferência",0,-$F2064)))</f>
        <v/>
      </c>
    </row>
    <row r="2065">
      <c r="A2065" s="73" t="n"/>
      <c r="B2065" s="74" t="n"/>
      <c r="C2065" s="74" t="n"/>
      <c r="D2065" s="75">
        <f>IF($C2065="","",IFERROR(INDEX(CAT_TIPO,MATCH($C2065,CAT_NOME,0)),"Sem categoria"))</f>
        <v/>
      </c>
      <c r="E2065" s="75">
        <f>IF($C2065="","",IFERROR(INDEX(CAT_GRUPO,MATCH($C2065,CAT_NOME,0)),"Sem categoria"))</f>
        <v/>
      </c>
      <c r="F2065" s="76" t="n"/>
      <c r="G2065" s="74" t="n"/>
      <c r="H2065" s="74" t="n"/>
      <c r="I2065" s="74" t="n"/>
      <c r="J2065" s="77" t="n"/>
      <c r="K2065" s="77" t="n"/>
      <c r="L2065" s="74" t="n"/>
      <c r="M2065" s="74" t="n"/>
      <c r="O2065" s="78">
        <f>IF($A2065="","",YEAR($A2065)*100+MONTH($A2065))</f>
        <v/>
      </c>
      <c r="P2065" s="79">
        <f>IF(OR($F2065="",$D2065=""),"",IF($D2065="Receita",$F2065,IF($D2065="Transferência",0,-$F2065)))</f>
        <v/>
      </c>
    </row>
    <row r="2066">
      <c r="A2066" s="73" t="n"/>
      <c r="B2066" s="74" t="n"/>
      <c r="C2066" s="74" t="n"/>
      <c r="D2066" s="75">
        <f>IF($C2066="","",IFERROR(INDEX(CAT_TIPO,MATCH($C2066,CAT_NOME,0)),"Sem categoria"))</f>
        <v/>
      </c>
      <c r="E2066" s="75">
        <f>IF($C2066="","",IFERROR(INDEX(CAT_GRUPO,MATCH($C2066,CAT_NOME,0)),"Sem categoria"))</f>
        <v/>
      </c>
      <c r="F2066" s="76" t="n"/>
      <c r="G2066" s="74" t="n"/>
      <c r="H2066" s="74" t="n"/>
      <c r="I2066" s="74" t="n"/>
      <c r="J2066" s="77" t="n"/>
      <c r="K2066" s="77" t="n"/>
      <c r="L2066" s="74" t="n"/>
      <c r="M2066" s="74" t="n"/>
      <c r="O2066" s="78">
        <f>IF($A2066="","",YEAR($A2066)*100+MONTH($A2066))</f>
        <v/>
      </c>
      <c r="P2066" s="79">
        <f>IF(OR($F2066="",$D2066=""),"",IF($D2066="Receita",$F2066,IF($D2066="Transferência",0,-$F2066)))</f>
        <v/>
      </c>
    </row>
    <row r="2067">
      <c r="A2067" s="73" t="n"/>
      <c r="B2067" s="74" t="n"/>
      <c r="C2067" s="74" t="n"/>
      <c r="D2067" s="75">
        <f>IF($C2067="","",IFERROR(INDEX(CAT_TIPO,MATCH($C2067,CAT_NOME,0)),"Sem categoria"))</f>
        <v/>
      </c>
      <c r="E2067" s="75">
        <f>IF($C2067="","",IFERROR(INDEX(CAT_GRUPO,MATCH($C2067,CAT_NOME,0)),"Sem categoria"))</f>
        <v/>
      </c>
      <c r="F2067" s="76" t="n"/>
      <c r="G2067" s="74" t="n"/>
      <c r="H2067" s="74" t="n"/>
      <c r="I2067" s="74" t="n"/>
      <c r="J2067" s="77" t="n"/>
      <c r="K2067" s="77" t="n"/>
      <c r="L2067" s="74" t="n"/>
      <c r="M2067" s="74" t="n"/>
      <c r="O2067" s="78">
        <f>IF($A2067="","",YEAR($A2067)*100+MONTH($A2067))</f>
        <v/>
      </c>
      <c r="P2067" s="79">
        <f>IF(OR($F2067="",$D2067=""),"",IF($D2067="Receita",$F2067,IF($D2067="Transferência",0,-$F2067)))</f>
        <v/>
      </c>
    </row>
    <row r="2068">
      <c r="A2068" s="73" t="n"/>
      <c r="B2068" s="74" t="n"/>
      <c r="C2068" s="74" t="n"/>
      <c r="D2068" s="75">
        <f>IF($C2068="","",IFERROR(INDEX(CAT_TIPO,MATCH($C2068,CAT_NOME,0)),"Sem categoria"))</f>
        <v/>
      </c>
      <c r="E2068" s="75">
        <f>IF($C2068="","",IFERROR(INDEX(CAT_GRUPO,MATCH($C2068,CAT_NOME,0)),"Sem categoria"))</f>
        <v/>
      </c>
      <c r="F2068" s="76" t="n"/>
      <c r="G2068" s="74" t="n"/>
      <c r="H2068" s="74" t="n"/>
      <c r="I2068" s="74" t="n"/>
      <c r="J2068" s="77" t="n"/>
      <c r="K2068" s="77" t="n"/>
      <c r="L2068" s="74" t="n"/>
      <c r="M2068" s="74" t="n"/>
      <c r="O2068" s="78">
        <f>IF($A2068="","",YEAR($A2068)*100+MONTH($A2068))</f>
        <v/>
      </c>
      <c r="P2068" s="79">
        <f>IF(OR($F2068="",$D2068=""),"",IF($D2068="Receita",$F2068,IF($D2068="Transferência",0,-$F2068)))</f>
        <v/>
      </c>
    </row>
    <row r="2069">
      <c r="A2069" s="73" t="n"/>
      <c r="B2069" s="74" t="n"/>
      <c r="C2069" s="74" t="n"/>
      <c r="D2069" s="75">
        <f>IF($C2069="","",IFERROR(INDEX(CAT_TIPO,MATCH($C2069,CAT_NOME,0)),"Sem categoria"))</f>
        <v/>
      </c>
      <c r="E2069" s="75">
        <f>IF($C2069="","",IFERROR(INDEX(CAT_GRUPO,MATCH($C2069,CAT_NOME,0)),"Sem categoria"))</f>
        <v/>
      </c>
      <c r="F2069" s="76" t="n"/>
      <c r="G2069" s="74" t="n"/>
      <c r="H2069" s="74" t="n"/>
      <c r="I2069" s="74" t="n"/>
      <c r="J2069" s="77" t="n"/>
      <c r="K2069" s="77" t="n"/>
      <c r="L2069" s="74" t="n"/>
      <c r="M2069" s="74" t="n"/>
      <c r="O2069" s="78">
        <f>IF($A2069="","",YEAR($A2069)*100+MONTH($A2069))</f>
        <v/>
      </c>
      <c r="P2069" s="79">
        <f>IF(OR($F2069="",$D2069=""),"",IF($D2069="Receita",$F2069,IF($D2069="Transferência",0,-$F2069)))</f>
        <v/>
      </c>
    </row>
    <row r="2070">
      <c r="A2070" s="73" t="n"/>
      <c r="B2070" s="74" t="n"/>
      <c r="C2070" s="74" t="n"/>
      <c r="D2070" s="75">
        <f>IF($C2070="","",IFERROR(INDEX(CAT_TIPO,MATCH($C2070,CAT_NOME,0)),"Sem categoria"))</f>
        <v/>
      </c>
      <c r="E2070" s="75">
        <f>IF($C2070="","",IFERROR(INDEX(CAT_GRUPO,MATCH($C2070,CAT_NOME,0)),"Sem categoria"))</f>
        <v/>
      </c>
      <c r="F2070" s="76" t="n"/>
      <c r="G2070" s="74" t="n"/>
      <c r="H2070" s="74" t="n"/>
      <c r="I2070" s="74" t="n"/>
      <c r="J2070" s="77" t="n"/>
      <c r="K2070" s="77" t="n"/>
      <c r="L2070" s="74" t="n"/>
      <c r="M2070" s="74" t="n"/>
      <c r="O2070" s="78">
        <f>IF($A2070="","",YEAR($A2070)*100+MONTH($A2070))</f>
        <v/>
      </c>
      <c r="P2070" s="79">
        <f>IF(OR($F2070="",$D2070=""),"",IF($D2070="Receita",$F2070,IF($D2070="Transferência",0,-$F2070)))</f>
        <v/>
      </c>
    </row>
    <row r="2071">
      <c r="A2071" s="73" t="n"/>
      <c r="B2071" s="74" t="n"/>
      <c r="C2071" s="74" t="n"/>
      <c r="D2071" s="75">
        <f>IF($C2071="","",IFERROR(INDEX(CAT_TIPO,MATCH($C2071,CAT_NOME,0)),"Sem categoria"))</f>
        <v/>
      </c>
      <c r="E2071" s="75">
        <f>IF($C2071="","",IFERROR(INDEX(CAT_GRUPO,MATCH($C2071,CAT_NOME,0)),"Sem categoria"))</f>
        <v/>
      </c>
      <c r="F2071" s="76" t="n"/>
      <c r="G2071" s="74" t="n"/>
      <c r="H2071" s="74" t="n"/>
      <c r="I2071" s="74" t="n"/>
      <c r="J2071" s="77" t="n"/>
      <c r="K2071" s="77" t="n"/>
      <c r="L2071" s="74" t="n"/>
      <c r="M2071" s="74" t="n"/>
      <c r="O2071" s="78">
        <f>IF($A2071="","",YEAR($A2071)*100+MONTH($A2071))</f>
        <v/>
      </c>
      <c r="P2071" s="79">
        <f>IF(OR($F2071="",$D2071=""),"",IF($D2071="Receita",$F2071,IF($D2071="Transferência",0,-$F2071)))</f>
        <v/>
      </c>
    </row>
    <row r="2072">
      <c r="A2072" s="73" t="n"/>
      <c r="B2072" s="74" t="n"/>
      <c r="C2072" s="74" t="n"/>
      <c r="D2072" s="75">
        <f>IF($C2072="","",IFERROR(INDEX(CAT_TIPO,MATCH($C2072,CAT_NOME,0)),"Sem categoria"))</f>
        <v/>
      </c>
      <c r="E2072" s="75">
        <f>IF($C2072="","",IFERROR(INDEX(CAT_GRUPO,MATCH($C2072,CAT_NOME,0)),"Sem categoria"))</f>
        <v/>
      </c>
      <c r="F2072" s="76" t="n"/>
      <c r="G2072" s="74" t="n"/>
      <c r="H2072" s="74" t="n"/>
      <c r="I2072" s="74" t="n"/>
      <c r="J2072" s="77" t="n"/>
      <c r="K2072" s="77" t="n"/>
      <c r="L2072" s="74" t="n"/>
      <c r="M2072" s="74" t="n"/>
      <c r="O2072" s="78">
        <f>IF($A2072="","",YEAR($A2072)*100+MONTH($A2072))</f>
        <v/>
      </c>
      <c r="P2072" s="79">
        <f>IF(OR($F2072="",$D2072=""),"",IF($D2072="Receita",$F2072,IF($D2072="Transferência",0,-$F2072)))</f>
        <v/>
      </c>
    </row>
    <row r="2073">
      <c r="A2073" s="73" t="n"/>
      <c r="B2073" s="74" t="n"/>
      <c r="C2073" s="74" t="n"/>
      <c r="D2073" s="75">
        <f>IF($C2073="","",IFERROR(INDEX(CAT_TIPO,MATCH($C2073,CAT_NOME,0)),"Sem categoria"))</f>
        <v/>
      </c>
      <c r="E2073" s="75">
        <f>IF($C2073="","",IFERROR(INDEX(CAT_GRUPO,MATCH($C2073,CAT_NOME,0)),"Sem categoria"))</f>
        <v/>
      </c>
      <c r="F2073" s="76" t="n"/>
      <c r="G2073" s="74" t="n"/>
      <c r="H2073" s="74" t="n"/>
      <c r="I2073" s="74" t="n"/>
      <c r="J2073" s="77" t="n"/>
      <c r="K2073" s="77" t="n"/>
      <c r="L2073" s="74" t="n"/>
      <c r="M2073" s="74" t="n"/>
      <c r="O2073" s="78">
        <f>IF($A2073="","",YEAR($A2073)*100+MONTH($A2073))</f>
        <v/>
      </c>
      <c r="P2073" s="79">
        <f>IF(OR($F2073="",$D2073=""),"",IF($D2073="Receita",$F2073,IF($D2073="Transferência",0,-$F2073)))</f>
        <v/>
      </c>
    </row>
    <row r="2074">
      <c r="A2074" s="73" t="n"/>
      <c r="B2074" s="74" t="n"/>
      <c r="C2074" s="74" t="n"/>
      <c r="D2074" s="75">
        <f>IF($C2074="","",IFERROR(INDEX(CAT_TIPO,MATCH($C2074,CAT_NOME,0)),"Sem categoria"))</f>
        <v/>
      </c>
      <c r="E2074" s="75">
        <f>IF($C2074="","",IFERROR(INDEX(CAT_GRUPO,MATCH($C2074,CAT_NOME,0)),"Sem categoria"))</f>
        <v/>
      </c>
      <c r="F2074" s="76" t="n"/>
      <c r="G2074" s="74" t="n"/>
      <c r="H2074" s="74" t="n"/>
      <c r="I2074" s="74" t="n"/>
      <c r="J2074" s="77" t="n"/>
      <c r="K2074" s="77" t="n"/>
      <c r="L2074" s="74" t="n"/>
      <c r="M2074" s="74" t="n"/>
      <c r="O2074" s="78">
        <f>IF($A2074="","",YEAR($A2074)*100+MONTH($A2074))</f>
        <v/>
      </c>
      <c r="P2074" s="79">
        <f>IF(OR($F2074="",$D2074=""),"",IF($D2074="Receita",$F2074,IF($D2074="Transferência",0,-$F2074)))</f>
        <v/>
      </c>
    </row>
    <row r="2075">
      <c r="A2075" s="73" t="n"/>
      <c r="B2075" s="74" t="n"/>
      <c r="C2075" s="74" t="n"/>
      <c r="D2075" s="75">
        <f>IF($C2075="","",IFERROR(INDEX(CAT_TIPO,MATCH($C2075,CAT_NOME,0)),"Sem categoria"))</f>
        <v/>
      </c>
      <c r="E2075" s="75">
        <f>IF($C2075="","",IFERROR(INDEX(CAT_GRUPO,MATCH($C2075,CAT_NOME,0)),"Sem categoria"))</f>
        <v/>
      </c>
      <c r="F2075" s="76" t="n"/>
      <c r="G2075" s="74" t="n"/>
      <c r="H2075" s="74" t="n"/>
      <c r="I2075" s="74" t="n"/>
      <c r="J2075" s="77" t="n"/>
      <c r="K2075" s="77" t="n"/>
      <c r="L2075" s="74" t="n"/>
      <c r="M2075" s="74" t="n"/>
      <c r="O2075" s="78">
        <f>IF($A2075="","",YEAR($A2075)*100+MONTH($A2075))</f>
        <v/>
      </c>
      <c r="P2075" s="79">
        <f>IF(OR($F2075="",$D2075=""),"",IF($D2075="Receita",$F2075,IF($D2075="Transferência",0,-$F2075)))</f>
        <v/>
      </c>
    </row>
    <row r="2076">
      <c r="A2076" s="73" t="n"/>
      <c r="B2076" s="74" t="n"/>
      <c r="C2076" s="74" t="n"/>
      <c r="D2076" s="75">
        <f>IF($C2076="","",IFERROR(INDEX(CAT_TIPO,MATCH($C2076,CAT_NOME,0)),"Sem categoria"))</f>
        <v/>
      </c>
      <c r="E2076" s="75">
        <f>IF($C2076="","",IFERROR(INDEX(CAT_GRUPO,MATCH($C2076,CAT_NOME,0)),"Sem categoria"))</f>
        <v/>
      </c>
      <c r="F2076" s="76" t="n"/>
      <c r="G2076" s="74" t="n"/>
      <c r="H2076" s="74" t="n"/>
      <c r="I2076" s="74" t="n"/>
      <c r="J2076" s="77" t="n"/>
      <c r="K2076" s="77" t="n"/>
      <c r="L2076" s="74" t="n"/>
      <c r="M2076" s="74" t="n"/>
      <c r="O2076" s="78">
        <f>IF($A2076="","",YEAR($A2076)*100+MONTH($A2076))</f>
        <v/>
      </c>
      <c r="P2076" s="79">
        <f>IF(OR($F2076="",$D2076=""),"",IF($D2076="Receita",$F2076,IF($D2076="Transferência",0,-$F2076)))</f>
        <v/>
      </c>
    </row>
    <row r="2077">
      <c r="A2077" s="73" t="n"/>
      <c r="B2077" s="74" t="n"/>
      <c r="C2077" s="74" t="n"/>
      <c r="D2077" s="75">
        <f>IF($C2077="","",IFERROR(INDEX(CAT_TIPO,MATCH($C2077,CAT_NOME,0)),"Sem categoria"))</f>
        <v/>
      </c>
      <c r="E2077" s="75">
        <f>IF($C2077="","",IFERROR(INDEX(CAT_GRUPO,MATCH($C2077,CAT_NOME,0)),"Sem categoria"))</f>
        <v/>
      </c>
      <c r="F2077" s="76" t="n"/>
      <c r="G2077" s="74" t="n"/>
      <c r="H2077" s="74" t="n"/>
      <c r="I2077" s="74" t="n"/>
      <c r="J2077" s="77" t="n"/>
      <c r="K2077" s="77" t="n"/>
      <c r="L2077" s="74" t="n"/>
      <c r="M2077" s="74" t="n"/>
      <c r="O2077" s="78">
        <f>IF($A2077="","",YEAR($A2077)*100+MONTH($A2077))</f>
        <v/>
      </c>
      <c r="P2077" s="79">
        <f>IF(OR($F2077="",$D2077=""),"",IF($D2077="Receita",$F2077,IF($D2077="Transferência",0,-$F2077)))</f>
        <v/>
      </c>
    </row>
    <row r="2078">
      <c r="A2078" s="73" t="n"/>
      <c r="B2078" s="74" t="n"/>
      <c r="C2078" s="74" t="n"/>
      <c r="D2078" s="75">
        <f>IF($C2078="","",IFERROR(INDEX(CAT_TIPO,MATCH($C2078,CAT_NOME,0)),"Sem categoria"))</f>
        <v/>
      </c>
      <c r="E2078" s="75">
        <f>IF($C2078="","",IFERROR(INDEX(CAT_GRUPO,MATCH($C2078,CAT_NOME,0)),"Sem categoria"))</f>
        <v/>
      </c>
      <c r="F2078" s="76" t="n"/>
      <c r="G2078" s="74" t="n"/>
      <c r="H2078" s="74" t="n"/>
      <c r="I2078" s="74" t="n"/>
      <c r="J2078" s="77" t="n"/>
      <c r="K2078" s="77" t="n"/>
      <c r="L2078" s="74" t="n"/>
      <c r="M2078" s="74" t="n"/>
      <c r="O2078" s="78">
        <f>IF($A2078="","",YEAR($A2078)*100+MONTH($A2078))</f>
        <v/>
      </c>
      <c r="P2078" s="79">
        <f>IF(OR($F2078="",$D2078=""),"",IF($D2078="Receita",$F2078,IF($D2078="Transferência",0,-$F2078)))</f>
        <v/>
      </c>
    </row>
    <row r="2079">
      <c r="A2079" s="73" t="n"/>
      <c r="B2079" s="74" t="n"/>
      <c r="C2079" s="74" t="n"/>
      <c r="D2079" s="75">
        <f>IF($C2079="","",IFERROR(INDEX(CAT_TIPO,MATCH($C2079,CAT_NOME,0)),"Sem categoria"))</f>
        <v/>
      </c>
      <c r="E2079" s="75">
        <f>IF($C2079="","",IFERROR(INDEX(CAT_GRUPO,MATCH($C2079,CAT_NOME,0)),"Sem categoria"))</f>
        <v/>
      </c>
      <c r="F2079" s="76" t="n"/>
      <c r="G2079" s="74" t="n"/>
      <c r="H2079" s="74" t="n"/>
      <c r="I2079" s="74" t="n"/>
      <c r="J2079" s="77" t="n"/>
      <c r="K2079" s="77" t="n"/>
      <c r="L2079" s="74" t="n"/>
      <c r="M2079" s="74" t="n"/>
      <c r="O2079" s="78">
        <f>IF($A2079="","",YEAR($A2079)*100+MONTH($A2079))</f>
        <v/>
      </c>
      <c r="P2079" s="79">
        <f>IF(OR($F2079="",$D2079=""),"",IF($D2079="Receita",$F2079,IF($D2079="Transferência",0,-$F2079)))</f>
        <v/>
      </c>
    </row>
    <row r="2080">
      <c r="A2080" s="73" t="n"/>
      <c r="B2080" s="74" t="n"/>
      <c r="C2080" s="74" t="n"/>
      <c r="D2080" s="75">
        <f>IF($C2080="","",IFERROR(INDEX(CAT_TIPO,MATCH($C2080,CAT_NOME,0)),"Sem categoria"))</f>
        <v/>
      </c>
      <c r="E2080" s="75">
        <f>IF($C2080="","",IFERROR(INDEX(CAT_GRUPO,MATCH($C2080,CAT_NOME,0)),"Sem categoria"))</f>
        <v/>
      </c>
      <c r="F2080" s="76" t="n"/>
      <c r="G2080" s="74" t="n"/>
      <c r="H2080" s="74" t="n"/>
      <c r="I2080" s="74" t="n"/>
      <c r="J2080" s="77" t="n"/>
      <c r="K2080" s="77" t="n"/>
      <c r="L2080" s="74" t="n"/>
      <c r="M2080" s="74" t="n"/>
      <c r="O2080" s="78">
        <f>IF($A2080="","",YEAR($A2080)*100+MONTH($A2080))</f>
        <v/>
      </c>
      <c r="P2080" s="79">
        <f>IF(OR($F2080="",$D2080=""),"",IF($D2080="Receita",$F2080,IF($D2080="Transferência",0,-$F2080)))</f>
        <v/>
      </c>
    </row>
    <row r="2081">
      <c r="A2081" s="73" t="n"/>
      <c r="B2081" s="74" t="n"/>
      <c r="C2081" s="74" t="n"/>
      <c r="D2081" s="75">
        <f>IF($C2081="","",IFERROR(INDEX(CAT_TIPO,MATCH($C2081,CAT_NOME,0)),"Sem categoria"))</f>
        <v/>
      </c>
      <c r="E2081" s="75">
        <f>IF($C2081="","",IFERROR(INDEX(CAT_GRUPO,MATCH($C2081,CAT_NOME,0)),"Sem categoria"))</f>
        <v/>
      </c>
      <c r="F2081" s="76" t="n"/>
      <c r="G2081" s="74" t="n"/>
      <c r="H2081" s="74" t="n"/>
      <c r="I2081" s="74" t="n"/>
      <c r="J2081" s="77" t="n"/>
      <c r="K2081" s="77" t="n"/>
      <c r="L2081" s="74" t="n"/>
      <c r="M2081" s="74" t="n"/>
      <c r="O2081" s="78">
        <f>IF($A2081="","",YEAR($A2081)*100+MONTH($A2081))</f>
        <v/>
      </c>
      <c r="P2081" s="79">
        <f>IF(OR($F2081="",$D2081=""),"",IF($D2081="Receita",$F2081,IF($D2081="Transferência",0,-$F2081)))</f>
        <v/>
      </c>
    </row>
    <row r="2082">
      <c r="A2082" s="73" t="n"/>
      <c r="B2082" s="74" t="n"/>
      <c r="C2082" s="74" t="n"/>
      <c r="D2082" s="75">
        <f>IF($C2082="","",IFERROR(INDEX(CAT_TIPO,MATCH($C2082,CAT_NOME,0)),"Sem categoria"))</f>
        <v/>
      </c>
      <c r="E2082" s="75">
        <f>IF($C2082="","",IFERROR(INDEX(CAT_GRUPO,MATCH($C2082,CAT_NOME,0)),"Sem categoria"))</f>
        <v/>
      </c>
      <c r="F2082" s="76" t="n"/>
      <c r="G2082" s="74" t="n"/>
      <c r="H2082" s="74" t="n"/>
      <c r="I2082" s="74" t="n"/>
      <c r="J2082" s="77" t="n"/>
      <c r="K2082" s="77" t="n"/>
      <c r="L2082" s="74" t="n"/>
      <c r="M2082" s="74" t="n"/>
      <c r="O2082" s="78">
        <f>IF($A2082="","",YEAR($A2082)*100+MONTH($A2082))</f>
        <v/>
      </c>
      <c r="P2082" s="79">
        <f>IF(OR($F2082="",$D2082=""),"",IF($D2082="Receita",$F2082,IF($D2082="Transferência",0,-$F2082)))</f>
        <v/>
      </c>
    </row>
    <row r="2083">
      <c r="A2083" s="73" t="n"/>
      <c r="B2083" s="74" t="n"/>
      <c r="C2083" s="74" t="n"/>
      <c r="D2083" s="75">
        <f>IF($C2083="","",IFERROR(INDEX(CAT_TIPO,MATCH($C2083,CAT_NOME,0)),"Sem categoria"))</f>
        <v/>
      </c>
      <c r="E2083" s="75">
        <f>IF($C2083="","",IFERROR(INDEX(CAT_GRUPO,MATCH($C2083,CAT_NOME,0)),"Sem categoria"))</f>
        <v/>
      </c>
      <c r="F2083" s="76" t="n"/>
      <c r="G2083" s="74" t="n"/>
      <c r="H2083" s="74" t="n"/>
      <c r="I2083" s="74" t="n"/>
      <c r="J2083" s="77" t="n"/>
      <c r="K2083" s="77" t="n"/>
      <c r="L2083" s="74" t="n"/>
      <c r="M2083" s="74" t="n"/>
      <c r="O2083" s="78">
        <f>IF($A2083="","",YEAR($A2083)*100+MONTH($A2083))</f>
        <v/>
      </c>
      <c r="P2083" s="79">
        <f>IF(OR($F2083="",$D2083=""),"",IF($D2083="Receita",$F2083,IF($D2083="Transferência",0,-$F2083)))</f>
        <v/>
      </c>
    </row>
    <row r="2084">
      <c r="A2084" s="73" t="n"/>
      <c r="B2084" s="74" t="n"/>
      <c r="C2084" s="74" t="n"/>
      <c r="D2084" s="75">
        <f>IF($C2084="","",IFERROR(INDEX(CAT_TIPO,MATCH($C2084,CAT_NOME,0)),"Sem categoria"))</f>
        <v/>
      </c>
      <c r="E2084" s="75">
        <f>IF($C2084="","",IFERROR(INDEX(CAT_GRUPO,MATCH($C2084,CAT_NOME,0)),"Sem categoria"))</f>
        <v/>
      </c>
      <c r="F2084" s="76" t="n"/>
      <c r="G2084" s="74" t="n"/>
      <c r="H2084" s="74" t="n"/>
      <c r="I2084" s="74" t="n"/>
      <c r="J2084" s="77" t="n"/>
      <c r="K2084" s="77" t="n"/>
      <c r="L2084" s="74" t="n"/>
      <c r="M2084" s="74" t="n"/>
      <c r="O2084" s="78">
        <f>IF($A2084="","",YEAR($A2084)*100+MONTH($A2084))</f>
        <v/>
      </c>
      <c r="P2084" s="79">
        <f>IF(OR($F2084="",$D2084=""),"",IF($D2084="Receita",$F2084,IF($D2084="Transferência",0,-$F2084)))</f>
        <v/>
      </c>
    </row>
    <row r="2085">
      <c r="A2085" s="73" t="n"/>
      <c r="B2085" s="74" t="n"/>
      <c r="C2085" s="74" t="n"/>
      <c r="D2085" s="75">
        <f>IF($C2085="","",IFERROR(INDEX(CAT_TIPO,MATCH($C2085,CAT_NOME,0)),"Sem categoria"))</f>
        <v/>
      </c>
      <c r="E2085" s="75">
        <f>IF($C2085="","",IFERROR(INDEX(CAT_GRUPO,MATCH($C2085,CAT_NOME,0)),"Sem categoria"))</f>
        <v/>
      </c>
      <c r="F2085" s="76" t="n"/>
      <c r="G2085" s="74" t="n"/>
      <c r="H2085" s="74" t="n"/>
      <c r="I2085" s="74" t="n"/>
      <c r="J2085" s="77" t="n"/>
      <c r="K2085" s="77" t="n"/>
      <c r="L2085" s="74" t="n"/>
      <c r="M2085" s="74" t="n"/>
      <c r="O2085" s="78">
        <f>IF($A2085="","",YEAR($A2085)*100+MONTH($A2085))</f>
        <v/>
      </c>
      <c r="P2085" s="79">
        <f>IF(OR($F2085="",$D2085=""),"",IF($D2085="Receita",$F2085,IF($D2085="Transferência",0,-$F2085)))</f>
        <v/>
      </c>
    </row>
    <row r="2086">
      <c r="A2086" s="73" t="n"/>
      <c r="B2086" s="74" t="n"/>
      <c r="C2086" s="74" t="n"/>
      <c r="D2086" s="75">
        <f>IF($C2086="","",IFERROR(INDEX(CAT_TIPO,MATCH($C2086,CAT_NOME,0)),"Sem categoria"))</f>
        <v/>
      </c>
      <c r="E2086" s="75">
        <f>IF($C2086="","",IFERROR(INDEX(CAT_GRUPO,MATCH($C2086,CAT_NOME,0)),"Sem categoria"))</f>
        <v/>
      </c>
      <c r="F2086" s="76" t="n"/>
      <c r="G2086" s="74" t="n"/>
      <c r="H2086" s="74" t="n"/>
      <c r="I2086" s="74" t="n"/>
      <c r="J2086" s="77" t="n"/>
      <c r="K2086" s="77" t="n"/>
      <c r="L2086" s="74" t="n"/>
      <c r="M2086" s="74" t="n"/>
      <c r="O2086" s="78">
        <f>IF($A2086="","",YEAR($A2086)*100+MONTH($A2086))</f>
        <v/>
      </c>
      <c r="P2086" s="79">
        <f>IF(OR($F2086="",$D2086=""),"",IF($D2086="Receita",$F2086,IF($D2086="Transferência",0,-$F2086)))</f>
        <v/>
      </c>
    </row>
    <row r="2087">
      <c r="A2087" s="73" t="n"/>
      <c r="B2087" s="74" t="n"/>
      <c r="C2087" s="74" t="n"/>
      <c r="D2087" s="75">
        <f>IF($C2087="","",IFERROR(INDEX(CAT_TIPO,MATCH($C2087,CAT_NOME,0)),"Sem categoria"))</f>
        <v/>
      </c>
      <c r="E2087" s="75">
        <f>IF($C2087="","",IFERROR(INDEX(CAT_GRUPO,MATCH($C2087,CAT_NOME,0)),"Sem categoria"))</f>
        <v/>
      </c>
      <c r="F2087" s="76" t="n"/>
      <c r="G2087" s="74" t="n"/>
      <c r="H2087" s="74" t="n"/>
      <c r="I2087" s="74" t="n"/>
      <c r="J2087" s="77" t="n"/>
      <c r="K2087" s="77" t="n"/>
      <c r="L2087" s="74" t="n"/>
      <c r="M2087" s="74" t="n"/>
      <c r="O2087" s="78">
        <f>IF($A2087="","",YEAR($A2087)*100+MONTH($A2087))</f>
        <v/>
      </c>
      <c r="P2087" s="79">
        <f>IF(OR($F2087="",$D2087=""),"",IF($D2087="Receita",$F2087,IF($D2087="Transferência",0,-$F2087)))</f>
        <v/>
      </c>
    </row>
    <row r="2088">
      <c r="A2088" s="73" t="n"/>
      <c r="B2088" s="74" t="n"/>
      <c r="C2088" s="74" t="n"/>
      <c r="D2088" s="75">
        <f>IF($C2088="","",IFERROR(INDEX(CAT_TIPO,MATCH($C2088,CAT_NOME,0)),"Sem categoria"))</f>
        <v/>
      </c>
      <c r="E2088" s="75">
        <f>IF($C2088="","",IFERROR(INDEX(CAT_GRUPO,MATCH($C2088,CAT_NOME,0)),"Sem categoria"))</f>
        <v/>
      </c>
      <c r="F2088" s="76" t="n"/>
      <c r="G2088" s="74" t="n"/>
      <c r="H2088" s="74" t="n"/>
      <c r="I2088" s="74" t="n"/>
      <c r="J2088" s="77" t="n"/>
      <c r="K2088" s="77" t="n"/>
      <c r="L2088" s="74" t="n"/>
      <c r="M2088" s="74" t="n"/>
      <c r="O2088" s="78">
        <f>IF($A2088="","",YEAR($A2088)*100+MONTH($A2088))</f>
        <v/>
      </c>
      <c r="P2088" s="79">
        <f>IF(OR($F2088="",$D2088=""),"",IF($D2088="Receita",$F2088,IF($D2088="Transferência",0,-$F2088)))</f>
        <v/>
      </c>
    </row>
    <row r="2089">
      <c r="A2089" s="73" t="n"/>
      <c r="B2089" s="74" t="n"/>
      <c r="C2089" s="74" t="n"/>
      <c r="D2089" s="75">
        <f>IF($C2089="","",IFERROR(INDEX(CAT_TIPO,MATCH($C2089,CAT_NOME,0)),"Sem categoria"))</f>
        <v/>
      </c>
      <c r="E2089" s="75">
        <f>IF($C2089="","",IFERROR(INDEX(CAT_GRUPO,MATCH($C2089,CAT_NOME,0)),"Sem categoria"))</f>
        <v/>
      </c>
      <c r="F2089" s="76" t="n"/>
      <c r="G2089" s="74" t="n"/>
      <c r="H2089" s="74" t="n"/>
      <c r="I2089" s="74" t="n"/>
      <c r="J2089" s="77" t="n"/>
      <c r="K2089" s="77" t="n"/>
      <c r="L2089" s="74" t="n"/>
      <c r="M2089" s="74" t="n"/>
      <c r="O2089" s="78">
        <f>IF($A2089="","",YEAR($A2089)*100+MONTH($A2089))</f>
        <v/>
      </c>
      <c r="P2089" s="79">
        <f>IF(OR($F2089="",$D2089=""),"",IF($D2089="Receita",$F2089,IF($D2089="Transferência",0,-$F2089)))</f>
        <v/>
      </c>
    </row>
    <row r="2090">
      <c r="A2090" s="73" t="n"/>
      <c r="B2090" s="74" t="n"/>
      <c r="C2090" s="74" t="n"/>
      <c r="D2090" s="75">
        <f>IF($C2090="","",IFERROR(INDEX(CAT_TIPO,MATCH($C2090,CAT_NOME,0)),"Sem categoria"))</f>
        <v/>
      </c>
      <c r="E2090" s="75">
        <f>IF($C2090="","",IFERROR(INDEX(CAT_GRUPO,MATCH($C2090,CAT_NOME,0)),"Sem categoria"))</f>
        <v/>
      </c>
      <c r="F2090" s="76" t="n"/>
      <c r="G2090" s="74" t="n"/>
      <c r="H2090" s="74" t="n"/>
      <c r="I2090" s="74" t="n"/>
      <c r="J2090" s="77" t="n"/>
      <c r="K2090" s="77" t="n"/>
      <c r="L2090" s="74" t="n"/>
      <c r="M2090" s="74" t="n"/>
      <c r="O2090" s="78">
        <f>IF($A2090="","",YEAR($A2090)*100+MONTH($A2090))</f>
        <v/>
      </c>
      <c r="P2090" s="79">
        <f>IF(OR($F2090="",$D2090=""),"",IF($D2090="Receita",$F2090,IF($D2090="Transferência",0,-$F2090)))</f>
        <v/>
      </c>
    </row>
    <row r="2091">
      <c r="A2091" s="73" t="n"/>
      <c r="B2091" s="74" t="n"/>
      <c r="C2091" s="74" t="n"/>
      <c r="D2091" s="75">
        <f>IF($C2091="","",IFERROR(INDEX(CAT_TIPO,MATCH($C2091,CAT_NOME,0)),"Sem categoria"))</f>
        <v/>
      </c>
      <c r="E2091" s="75">
        <f>IF($C2091="","",IFERROR(INDEX(CAT_GRUPO,MATCH($C2091,CAT_NOME,0)),"Sem categoria"))</f>
        <v/>
      </c>
      <c r="F2091" s="76" t="n"/>
      <c r="G2091" s="74" t="n"/>
      <c r="H2091" s="74" t="n"/>
      <c r="I2091" s="74" t="n"/>
      <c r="J2091" s="77" t="n"/>
      <c r="K2091" s="77" t="n"/>
      <c r="L2091" s="74" t="n"/>
      <c r="M2091" s="74" t="n"/>
      <c r="O2091" s="78">
        <f>IF($A2091="","",YEAR($A2091)*100+MONTH($A2091))</f>
        <v/>
      </c>
      <c r="P2091" s="79">
        <f>IF(OR($F2091="",$D2091=""),"",IF($D2091="Receita",$F2091,IF($D2091="Transferência",0,-$F2091)))</f>
        <v/>
      </c>
    </row>
    <row r="2092">
      <c r="A2092" s="73" t="n"/>
      <c r="B2092" s="74" t="n"/>
      <c r="C2092" s="74" t="n"/>
      <c r="D2092" s="75">
        <f>IF($C2092="","",IFERROR(INDEX(CAT_TIPO,MATCH($C2092,CAT_NOME,0)),"Sem categoria"))</f>
        <v/>
      </c>
      <c r="E2092" s="75">
        <f>IF($C2092="","",IFERROR(INDEX(CAT_GRUPO,MATCH($C2092,CAT_NOME,0)),"Sem categoria"))</f>
        <v/>
      </c>
      <c r="F2092" s="76" t="n"/>
      <c r="G2092" s="74" t="n"/>
      <c r="H2092" s="74" t="n"/>
      <c r="I2092" s="74" t="n"/>
      <c r="J2092" s="77" t="n"/>
      <c r="K2092" s="77" t="n"/>
      <c r="L2092" s="74" t="n"/>
      <c r="M2092" s="74" t="n"/>
      <c r="O2092" s="78">
        <f>IF($A2092="","",YEAR($A2092)*100+MONTH($A2092))</f>
        <v/>
      </c>
      <c r="P2092" s="79">
        <f>IF(OR($F2092="",$D2092=""),"",IF($D2092="Receita",$F2092,IF($D2092="Transferência",0,-$F2092)))</f>
        <v/>
      </c>
    </row>
    <row r="2093">
      <c r="A2093" s="73" t="n"/>
      <c r="B2093" s="74" t="n"/>
      <c r="C2093" s="74" t="n"/>
      <c r="D2093" s="75">
        <f>IF($C2093="","",IFERROR(INDEX(CAT_TIPO,MATCH($C2093,CAT_NOME,0)),"Sem categoria"))</f>
        <v/>
      </c>
      <c r="E2093" s="75">
        <f>IF($C2093="","",IFERROR(INDEX(CAT_GRUPO,MATCH($C2093,CAT_NOME,0)),"Sem categoria"))</f>
        <v/>
      </c>
      <c r="F2093" s="76" t="n"/>
      <c r="G2093" s="74" t="n"/>
      <c r="H2093" s="74" t="n"/>
      <c r="I2093" s="74" t="n"/>
      <c r="J2093" s="77" t="n"/>
      <c r="K2093" s="77" t="n"/>
      <c r="L2093" s="74" t="n"/>
      <c r="M2093" s="74" t="n"/>
      <c r="O2093" s="78">
        <f>IF($A2093="","",YEAR($A2093)*100+MONTH($A2093))</f>
        <v/>
      </c>
      <c r="P2093" s="79">
        <f>IF(OR($F2093="",$D2093=""),"",IF($D2093="Receita",$F2093,IF($D2093="Transferência",0,-$F2093)))</f>
        <v/>
      </c>
    </row>
    <row r="2094">
      <c r="A2094" s="73" t="n"/>
      <c r="B2094" s="74" t="n"/>
      <c r="C2094" s="74" t="n"/>
      <c r="D2094" s="75">
        <f>IF($C2094="","",IFERROR(INDEX(CAT_TIPO,MATCH($C2094,CAT_NOME,0)),"Sem categoria"))</f>
        <v/>
      </c>
      <c r="E2094" s="75">
        <f>IF($C2094="","",IFERROR(INDEX(CAT_GRUPO,MATCH($C2094,CAT_NOME,0)),"Sem categoria"))</f>
        <v/>
      </c>
      <c r="F2094" s="76" t="n"/>
      <c r="G2094" s="74" t="n"/>
      <c r="H2094" s="74" t="n"/>
      <c r="I2094" s="74" t="n"/>
      <c r="J2094" s="77" t="n"/>
      <c r="K2094" s="77" t="n"/>
      <c r="L2094" s="74" t="n"/>
      <c r="M2094" s="74" t="n"/>
      <c r="O2094" s="78">
        <f>IF($A2094="","",YEAR($A2094)*100+MONTH($A2094))</f>
        <v/>
      </c>
      <c r="P2094" s="79">
        <f>IF(OR($F2094="",$D2094=""),"",IF($D2094="Receita",$F2094,IF($D2094="Transferência",0,-$F2094)))</f>
        <v/>
      </c>
    </row>
    <row r="2095">
      <c r="A2095" s="73" t="n"/>
      <c r="B2095" s="74" t="n"/>
      <c r="C2095" s="74" t="n"/>
      <c r="D2095" s="75">
        <f>IF($C2095="","",IFERROR(INDEX(CAT_TIPO,MATCH($C2095,CAT_NOME,0)),"Sem categoria"))</f>
        <v/>
      </c>
      <c r="E2095" s="75">
        <f>IF($C2095="","",IFERROR(INDEX(CAT_GRUPO,MATCH($C2095,CAT_NOME,0)),"Sem categoria"))</f>
        <v/>
      </c>
      <c r="F2095" s="76" t="n"/>
      <c r="G2095" s="74" t="n"/>
      <c r="H2095" s="74" t="n"/>
      <c r="I2095" s="74" t="n"/>
      <c r="J2095" s="77" t="n"/>
      <c r="K2095" s="77" t="n"/>
      <c r="L2095" s="74" t="n"/>
      <c r="M2095" s="74" t="n"/>
      <c r="O2095" s="78">
        <f>IF($A2095="","",YEAR($A2095)*100+MONTH($A2095))</f>
        <v/>
      </c>
      <c r="P2095" s="79">
        <f>IF(OR($F2095="",$D2095=""),"",IF($D2095="Receita",$F2095,IF($D2095="Transferência",0,-$F2095)))</f>
        <v/>
      </c>
    </row>
    <row r="2096">
      <c r="A2096" s="73" t="n"/>
      <c r="B2096" s="74" t="n"/>
      <c r="C2096" s="74" t="n"/>
      <c r="D2096" s="75">
        <f>IF($C2096="","",IFERROR(INDEX(CAT_TIPO,MATCH($C2096,CAT_NOME,0)),"Sem categoria"))</f>
        <v/>
      </c>
      <c r="E2096" s="75">
        <f>IF($C2096="","",IFERROR(INDEX(CAT_GRUPO,MATCH($C2096,CAT_NOME,0)),"Sem categoria"))</f>
        <v/>
      </c>
      <c r="F2096" s="76" t="n"/>
      <c r="G2096" s="74" t="n"/>
      <c r="H2096" s="74" t="n"/>
      <c r="I2096" s="74" t="n"/>
      <c r="J2096" s="77" t="n"/>
      <c r="K2096" s="77" t="n"/>
      <c r="L2096" s="74" t="n"/>
      <c r="M2096" s="74" t="n"/>
      <c r="O2096" s="78">
        <f>IF($A2096="","",YEAR($A2096)*100+MONTH($A2096))</f>
        <v/>
      </c>
      <c r="P2096" s="79">
        <f>IF(OR($F2096="",$D2096=""),"",IF($D2096="Receita",$F2096,IF($D2096="Transferência",0,-$F2096)))</f>
        <v/>
      </c>
    </row>
    <row r="2097">
      <c r="A2097" s="73" t="n"/>
      <c r="B2097" s="74" t="n"/>
      <c r="C2097" s="74" t="n"/>
      <c r="D2097" s="75">
        <f>IF($C2097="","",IFERROR(INDEX(CAT_TIPO,MATCH($C2097,CAT_NOME,0)),"Sem categoria"))</f>
        <v/>
      </c>
      <c r="E2097" s="75">
        <f>IF($C2097="","",IFERROR(INDEX(CAT_GRUPO,MATCH($C2097,CAT_NOME,0)),"Sem categoria"))</f>
        <v/>
      </c>
      <c r="F2097" s="76" t="n"/>
      <c r="G2097" s="74" t="n"/>
      <c r="H2097" s="74" t="n"/>
      <c r="I2097" s="74" t="n"/>
      <c r="J2097" s="77" t="n"/>
      <c r="K2097" s="77" t="n"/>
      <c r="L2097" s="74" t="n"/>
      <c r="M2097" s="74" t="n"/>
      <c r="O2097" s="78">
        <f>IF($A2097="","",YEAR($A2097)*100+MONTH($A2097))</f>
        <v/>
      </c>
      <c r="P2097" s="79">
        <f>IF(OR($F2097="",$D2097=""),"",IF($D2097="Receita",$F2097,IF($D2097="Transferência",0,-$F2097)))</f>
        <v/>
      </c>
    </row>
    <row r="2098">
      <c r="A2098" s="73" t="n"/>
      <c r="B2098" s="74" t="n"/>
      <c r="C2098" s="74" t="n"/>
      <c r="D2098" s="75">
        <f>IF($C2098="","",IFERROR(INDEX(CAT_TIPO,MATCH($C2098,CAT_NOME,0)),"Sem categoria"))</f>
        <v/>
      </c>
      <c r="E2098" s="75">
        <f>IF($C2098="","",IFERROR(INDEX(CAT_GRUPO,MATCH($C2098,CAT_NOME,0)),"Sem categoria"))</f>
        <v/>
      </c>
      <c r="F2098" s="76" t="n"/>
      <c r="G2098" s="74" t="n"/>
      <c r="H2098" s="74" t="n"/>
      <c r="I2098" s="74" t="n"/>
      <c r="J2098" s="77" t="n"/>
      <c r="K2098" s="77" t="n"/>
      <c r="L2098" s="74" t="n"/>
      <c r="M2098" s="74" t="n"/>
      <c r="O2098" s="78">
        <f>IF($A2098="","",YEAR($A2098)*100+MONTH($A2098))</f>
        <v/>
      </c>
      <c r="P2098" s="79">
        <f>IF(OR($F2098="",$D2098=""),"",IF($D2098="Receita",$F2098,IF($D2098="Transferência",0,-$F2098)))</f>
        <v/>
      </c>
    </row>
    <row r="2099">
      <c r="A2099" s="73" t="n"/>
      <c r="B2099" s="74" t="n"/>
      <c r="C2099" s="74" t="n"/>
      <c r="D2099" s="75">
        <f>IF($C2099="","",IFERROR(INDEX(CAT_TIPO,MATCH($C2099,CAT_NOME,0)),"Sem categoria"))</f>
        <v/>
      </c>
      <c r="E2099" s="75">
        <f>IF($C2099="","",IFERROR(INDEX(CAT_GRUPO,MATCH($C2099,CAT_NOME,0)),"Sem categoria"))</f>
        <v/>
      </c>
      <c r="F2099" s="76" t="n"/>
      <c r="G2099" s="74" t="n"/>
      <c r="H2099" s="74" t="n"/>
      <c r="I2099" s="74" t="n"/>
      <c r="J2099" s="77" t="n"/>
      <c r="K2099" s="77" t="n"/>
      <c r="L2099" s="74" t="n"/>
      <c r="M2099" s="74" t="n"/>
      <c r="O2099" s="78">
        <f>IF($A2099="","",YEAR($A2099)*100+MONTH($A2099))</f>
        <v/>
      </c>
      <c r="P2099" s="79">
        <f>IF(OR($F2099="",$D2099=""),"",IF($D2099="Receita",$F2099,IF($D2099="Transferência",0,-$F2099)))</f>
        <v/>
      </c>
    </row>
    <row r="2100">
      <c r="A2100" s="73" t="n"/>
      <c r="B2100" s="74" t="n"/>
      <c r="C2100" s="74" t="n"/>
      <c r="D2100" s="75">
        <f>IF($C2100="","",IFERROR(INDEX(CAT_TIPO,MATCH($C2100,CAT_NOME,0)),"Sem categoria"))</f>
        <v/>
      </c>
      <c r="E2100" s="75">
        <f>IF($C2100="","",IFERROR(INDEX(CAT_GRUPO,MATCH($C2100,CAT_NOME,0)),"Sem categoria"))</f>
        <v/>
      </c>
      <c r="F2100" s="76" t="n"/>
      <c r="G2100" s="74" t="n"/>
      <c r="H2100" s="74" t="n"/>
      <c r="I2100" s="74" t="n"/>
      <c r="J2100" s="77" t="n"/>
      <c r="K2100" s="77" t="n"/>
      <c r="L2100" s="74" t="n"/>
      <c r="M2100" s="74" t="n"/>
      <c r="O2100" s="78">
        <f>IF($A2100="","",YEAR($A2100)*100+MONTH($A2100))</f>
        <v/>
      </c>
      <c r="P2100" s="79">
        <f>IF(OR($F2100="",$D2100=""),"",IF($D2100="Receita",$F2100,IF($D2100="Transferência",0,-$F2100)))</f>
        <v/>
      </c>
    </row>
    <row r="2101">
      <c r="A2101" s="73" t="n"/>
      <c r="B2101" s="74" t="n"/>
      <c r="C2101" s="74" t="n"/>
      <c r="D2101" s="75">
        <f>IF($C2101="","",IFERROR(INDEX(CAT_TIPO,MATCH($C2101,CAT_NOME,0)),"Sem categoria"))</f>
        <v/>
      </c>
      <c r="E2101" s="75">
        <f>IF($C2101="","",IFERROR(INDEX(CAT_GRUPO,MATCH($C2101,CAT_NOME,0)),"Sem categoria"))</f>
        <v/>
      </c>
      <c r="F2101" s="76" t="n"/>
      <c r="G2101" s="74" t="n"/>
      <c r="H2101" s="74" t="n"/>
      <c r="I2101" s="74" t="n"/>
      <c r="J2101" s="77" t="n"/>
      <c r="K2101" s="77" t="n"/>
      <c r="L2101" s="74" t="n"/>
      <c r="M2101" s="74" t="n"/>
      <c r="O2101" s="78">
        <f>IF($A2101="","",YEAR($A2101)*100+MONTH($A2101))</f>
        <v/>
      </c>
      <c r="P2101" s="79">
        <f>IF(OR($F2101="",$D2101=""),"",IF($D2101="Receita",$F2101,IF($D2101="Transferência",0,-$F2101)))</f>
        <v/>
      </c>
    </row>
    <row r="2102">
      <c r="A2102" s="73" t="n"/>
      <c r="B2102" s="74" t="n"/>
      <c r="C2102" s="74" t="n"/>
      <c r="D2102" s="75">
        <f>IF($C2102="","",IFERROR(INDEX(CAT_TIPO,MATCH($C2102,CAT_NOME,0)),"Sem categoria"))</f>
        <v/>
      </c>
      <c r="E2102" s="75">
        <f>IF($C2102="","",IFERROR(INDEX(CAT_GRUPO,MATCH($C2102,CAT_NOME,0)),"Sem categoria"))</f>
        <v/>
      </c>
      <c r="F2102" s="76" t="n"/>
      <c r="G2102" s="74" t="n"/>
      <c r="H2102" s="74" t="n"/>
      <c r="I2102" s="74" t="n"/>
      <c r="J2102" s="77" t="n"/>
      <c r="K2102" s="77" t="n"/>
      <c r="L2102" s="74" t="n"/>
      <c r="M2102" s="74" t="n"/>
      <c r="O2102" s="78">
        <f>IF($A2102="","",YEAR($A2102)*100+MONTH($A2102))</f>
        <v/>
      </c>
      <c r="P2102" s="79">
        <f>IF(OR($F2102="",$D2102=""),"",IF($D2102="Receita",$F2102,IF($D2102="Transferência",0,-$F2102)))</f>
        <v/>
      </c>
    </row>
    <row r="2103">
      <c r="A2103" s="73" t="n"/>
      <c r="B2103" s="74" t="n"/>
      <c r="C2103" s="74" t="n"/>
      <c r="D2103" s="75">
        <f>IF($C2103="","",IFERROR(INDEX(CAT_TIPO,MATCH($C2103,CAT_NOME,0)),"Sem categoria"))</f>
        <v/>
      </c>
      <c r="E2103" s="75">
        <f>IF($C2103="","",IFERROR(INDEX(CAT_GRUPO,MATCH($C2103,CAT_NOME,0)),"Sem categoria"))</f>
        <v/>
      </c>
      <c r="F2103" s="76" t="n"/>
      <c r="G2103" s="74" t="n"/>
      <c r="H2103" s="74" t="n"/>
      <c r="I2103" s="74" t="n"/>
      <c r="J2103" s="77" t="n"/>
      <c r="K2103" s="77" t="n"/>
      <c r="L2103" s="74" t="n"/>
      <c r="M2103" s="74" t="n"/>
      <c r="O2103" s="78">
        <f>IF($A2103="","",YEAR($A2103)*100+MONTH($A2103))</f>
        <v/>
      </c>
      <c r="P2103" s="79">
        <f>IF(OR($F2103="",$D2103=""),"",IF($D2103="Receita",$F2103,IF($D2103="Transferência",0,-$F2103)))</f>
        <v/>
      </c>
    </row>
    <row r="2104">
      <c r="A2104" s="73" t="n"/>
      <c r="B2104" s="74" t="n"/>
      <c r="C2104" s="74" t="n"/>
      <c r="D2104" s="75">
        <f>IF($C2104="","",IFERROR(INDEX(CAT_TIPO,MATCH($C2104,CAT_NOME,0)),"Sem categoria"))</f>
        <v/>
      </c>
      <c r="E2104" s="75">
        <f>IF($C2104="","",IFERROR(INDEX(CAT_GRUPO,MATCH($C2104,CAT_NOME,0)),"Sem categoria"))</f>
        <v/>
      </c>
      <c r="F2104" s="76" t="n"/>
      <c r="G2104" s="74" t="n"/>
      <c r="H2104" s="74" t="n"/>
      <c r="I2104" s="74" t="n"/>
      <c r="J2104" s="77" t="n"/>
      <c r="K2104" s="77" t="n"/>
      <c r="L2104" s="74" t="n"/>
      <c r="M2104" s="74" t="n"/>
      <c r="O2104" s="78">
        <f>IF($A2104="","",YEAR($A2104)*100+MONTH($A2104))</f>
        <v/>
      </c>
      <c r="P2104" s="79">
        <f>IF(OR($F2104="",$D2104=""),"",IF($D2104="Receita",$F2104,IF($D2104="Transferência",0,-$F2104)))</f>
        <v/>
      </c>
    </row>
    <row r="2105">
      <c r="A2105" s="73" t="n"/>
      <c r="B2105" s="74" t="n"/>
      <c r="C2105" s="74" t="n"/>
      <c r="D2105" s="75">
        <f>IF($C2105="","",IFERROR(INDEX(CAT_TIPO,MATCH($C2105,CAT_NOME,0)),"Sem categoria"))</f>
        <v/>
      </c>
      <c r="E2105" s="75">
        <f>IF($C2105="","",IFERROR(INDEX(CAT_GRUPO,MATCH($C2105,CAT_NOME,0)),"Sem categoria"))</f>
        <v/>
      </c>
      <c r="F2105" s="76" t="n"/>
      <c r="G2105" s="74" t="n"/>
      <c r="H2105" s="74" t="n"/>
      <c r="I2105" s="74" t="n"/>
      <c r="J2105" s="77" t="n"/>
      <c r="K2105" s="77" t="n"/>
      <c r="L2105" s="74" t="n"/>
      <c r="M2105" s="74" t="n"/>
      <c r="O2105" s="78">
        <f>IF($A2105="","",YEAR($A2105)*100+MONTH($A2105))</f>
        <v/>
      </c>
      <c r="P2105" s="79">
        <f>IF(OR($F2105="",$D2105=""),"",IF($D2105="Receita",$F2105,IF($D2105="Transferência",0,-$F2105)))</f>
        <v/>
      </c>
    </row>
    <row r="2106">
      <c r="A2106" s="73" t="n"/>
      <c r="B2106" s="74" t="n"/>
      <c r="C2106" s="74" t="n"/>
      <c r="D2106" s="75">
        <f>IF($C2106="","",IFERROR(INDEX(CAT_TIPO,MATCH($C2106,CAT_NOME,0)),"Sem categoria"))</f>
        <v/>
      </c>
      <c r="E2106" s="75">
        <f>IF($C2106="","",IFERROR(INDEX(CAT_GRUPO,MATCH($C2106,CAT_NOME,0)),"Sem categoria"))</f>
        <v/>
      </c>
      <c r="F2106" s="76" t="n"/>
      <c r="G2106" s="74" t="n"/>
      <c r="H2106" s="74" t="n"/>
      <c r="I2106" s="74" t="n"/>
      <c r="J2106" s="77" t="n"/>
      <c r="K2106" s="77" t="n"/>
      <c r="L2106" s="74" t="n"/>
      <c r="M2106" s="74" t="n"/>
      <c r="O2106" s="78">
        <f>IF($A2106="","",YEAR($A2106)*100+MONTH($A2106))</f>
        <v/>
      </c>
      <c r="P2106" s="79">
        <f>IF(OR($F2106="",$D2106=""),"",IF($D2106="Receita",$F2106,IF($D2106="Transferência",0,-$F2106)))</f>
        <v/>
      </c>
    </row>
    <row r="2107">
      <c r="A2107" s="73" t="n"/>
      <c r="B2107" s="74" t="n"/>
      <c r="C2107" s="74" t="n"/>
      <c r="D2107" s="75">
        <f>IF($C2107="","",IFERROR(INDEX(CAT_TIPO,MATCH($C2107,CAT_NOME,0)),"Sem categoria"))</f>
        <v/>
      </c>
      <c r="E2107" s="75">
        <f>IF($C2107="","",IFERROR(INDEX(CAT_GRUPO,MATCH($C2107,CAT_NOME,0)),"Sem categoria"))</f>
        <v/>
      </c>
      <c r="F2107" s="76" t="n"/>
      <c r="G2107" s="74" t="n"/>
      <c r="H2107" s="74" t="n"/>
      <c r="I2107" s="74" t="n"/>
      <c r="J2107" s="77" t="n"/>
      <c r="K2107" s="77" t="n"/>
      <c r="L2107" s="74" t="n"/>
      <c r="M2107" s="74" t="n"/>
      <c r="O2107" s="78">
        <f>IF($A2107="","",YEAR($A2107)*100+MONTH($A2107))</f>
        <v/>
      </c>
      <c r="P2107" s="79">
        <f>IF(OR($F2107="",$D2107=""),"",IF($D2107="Receita",$F2107,IF($D2107="Transferência",0,-$F2107)))</f>
        <v/>
      </c>
    </row>
    <row r="2108">
      <c r="A2108" s="73" t="n"/>
      <c r="B2108" s="74" t="n"/>
      <c r="C2108" s="74" t="n"/>
      <c r="D2108" s="75">
        <f>IF($C2108="","",IFERROR(INDEX(CAT_TIPO,MATCH($C2108,CAT_NOME,0)),"Sem categoria"))</f>
        <v/>
      </c>
      <c r="E2108" s="75">
        <f>IF($C2108="","",IFERROR(INDEX(CAT_GRUPO,MATCH($C2108,CAT_NOME,0)),"Sem categoria"))</f>
        <v/>
      </c>
      <c r="F2108" s="76" t="n"/>
      <c r="G2108" s="74" t="n"/>
      <c r="H2108" s="74" t="n"/>
      <c r="I2108" s="74" t="n"/>
      <c r="J2108" s="77" t="n"/>
      <c r="K2108" s="77" t="n"/>
      <c r="L2108" s="74" t="n"/>
      <c r="M2108" s="74" t="n"/>
      <c r="O2108" s="78">
        <f>IF($A2108="","",YEAR($A2108)*100+MONTH($A2108))</f>
        <v/>
      </c>
      <c r="P2108" s="79">
        <f>IF(OR($F2108="",$D2108=""),"",IF($D2108="Receita",$F2108,IF($D2108="Transferência",0,-$F2108)))</f>
        <v/>
      </c>
    </row>
    <row r="2109">
      <c r="A2109" s="73" t="n"/>
      <c r="B2109" s="74" t="n"/>
      <c r="C2109" s="74" t="n"/>
      <c r="D2109" s="75">
        <f>IF($C2109="","",IFERROR(INDEX(CAT_TIPO,MATCH($C2109,CAT_NOME,0)),"Sem categoria"))</f>
        <v/>
      </c>
      <c r="E2109" s="75">
        <f>IF($C2109="","",IFERROR(INDEX(CAT_GRUPO,MATCH($C2109,CAT_NOME,0)),"Sem categoria"))</f>
        <v/>
      </c>
      <c r="F2109" s="76" t="n"/>
      <c r="G2109" s="74" t="n"/>
      <c r="H2109" s="74" t="n"/>
      <c r="I2109" s="74" t="n"/>
      <c r="J2109" s="77" t="n"/>
      <c r="K2109" s="77" t="n"/>
      <c r="L2109" s="74" t="n"/>
      <c r="M2109" s="74" t="n"/>
      <c r="O2109" s="78">
        <f>IF($A2109="","",YEAR($A2109)*100+MONTH($A2109))</f>
        <v/>
      </c>
      <c r="P2109" s="79">
        <f>IF(OR($F2109="",$D2109=""),"",IF($D2109="Receita",$F2109,IF($D2109="Transferência",0,-$F2109)))</f>
        <v/>
      </c>
    </row>
    <row r="2110">
      <c r="A2110" s="73" t="n"/>
      <c r="B2110" s="74" t="n"/>
      <c r="C2110" s="74" t="n"/>
      <c r="D2110" s="75">
        <f>IF($C2110="","",IFERROR(INDEX(CAT_TIPO,MATCH($C2110,CAT_NOME,0)),"Sem categoria"))</f>
        <v/>
      </c>
      <c r="E2110" s="75">
        <f>IF($C2110="","",IFERROR(INDEX(CAT_GRUPO,MATCH($C2110,CAT_NOME,0)),"Sem categoria"))</f>
        <v/>
      </c>
      <c r="F2110" s="76" t="n"/>
      <c r="G2110" s="74" t="n"/>
      <c r="H2110" s="74" t="n"/>
      <c r="I2110" s="74" t="n"/>
      <c r="J2110" s="77" t="n"/>
      <c r="K2110" s="77" t="n"/>
      <c r="L2110" s="74" t="n"/>
      <c r="M2110" s="74" t="n"/>
      <c r="O2110" s="78">
        <f>IF($A2110="","",YEAR($A2110)*100+MONTH($A2110))</f>
        <v/>
      </c>
      <c r="P2110" s="79">
        <f>IF(OR($F2110="",$D2110=""),"",IF($D2110="Receita",$F2110,IF($D2110="Transferência",0,-$F2110)))</f>
        <v/>
      </c>
    </row>
    <row r="2111">
      <c r="A2111" s="73" t="n"/>
      <c r="B2111" s="74" t="n"/>
      <c r="C2111" s="74" t="n"/>
      <c r="D2111" s="75">
        <f>IF($C2111="","",IFERROR(INDEX(CAT_TIPO,MATCH($C2111,CAT_NOME,0)),"Sem categoria"))</f>
        <v/>
      </c>
      <c r="E2111" s="75">
        <f>IF($C2111="","",IFERROR(INDEX(CAT_GRUPO,MATCH($C2111,CAT_NOME,0)),"Sem categoria"))</f>
        <v/>
      </c>
      <c r="F2111" s="76" t="n"/>
      <c r="G2111" s="74" t="n"/>
      <c r="H2111" s="74" t="n"/>
      <c r="I2111" s="74" t="n"/>
      <c r="J2111" s="77" t="n"/>
      <c r="K2111" s="77" t="n"/>
      <c r="L2111" s="74" t="n"/>
      <c r="M2111" s="74" t="n"/>
      <c r="O2111" s="78">
        <f>IF($A2111="","",YEAR($A2111)*100+MONTH($A2111))</f>
        <v/>
      </c>
      <c r="P2111" s="79">
        <f>IF(OR($F2111="",$D2111=""),"",IF($D2111="Receita",$F2111,IF($D2111="Transferência",0,-$F2111)))</f>
        <v/>
      </c>
    </row>
    <row r="2112">
      <c r="A2112" s="73" t="n"/>
      <c r="B2112" s="74" t="n"/>
      <c r="C2112" s="74" t="n"/>
      <c r="D2112" s="75">
        <f>IF($C2112="","",IFERROR(INDEX(CAT_TIPO,MATCH($C2112,CAT_NOME,0)),"Sem categoria"))</f>
        <v/>
      </c>
      <c r="E2112" s="75">
        <f>IF($C2112="","",IFERROR(INDEX(CAT_GRUPO,MATCH($C2112,CAT_NOME,0)),"Sem categoria"))</f>
        <v/>
      </c>
      <c r="F2112" s="76" t="n"/>
      <c r="G2112" s="74" t="n"/>
      <c r="H2112" s="74" t="n"/>
      <c r="I2112" s="74" t="n"/>
      <c r="J2112" s="77" t="n"/>
      <c r="K2112" s="77" t="n"/>
      <c r="L2112" s="74" t="n"/>
      <c r="M2112" s="74" t="n"/>
      <c r="O2112" s="78">
        <f>IF($A2112="","",YEAR($A2112)*100+MONTH($A2112))</f>
        <v/>
      </c>
      <c r="P2112" s="79">
        <f>IF(OR($F2112="",$D2112=""),"",IF($D2112="Receita",$F2112,IF($D2112="Transferência",0,-$F2112)))</f>
        <v/>
      </c>
    </row>
    <row r="2113">
      <c r="A2113" s="73" t="n"/>
      <c r="B2113" s="74" t="n"/>
      <c r="C2113" s="74" t="n"/>
      <c r="D2113" s="75">
        <f>IF($C2113="","",IFERROR(INDEX(CAT_TIPO,MATCH($C2113,CAT_NOME,0)),"Sem categoria"))</f>
        <v/>
      </c>
      <c r="E2113" s="75">
        <f>IF($C2113="","",IFERROR(INDEX(CAT_GRUPO,MATCH($C2113,CAT_NOME,0)),"Sem categoria"))</f>
        <v/>
      </c>
      <c r="F2113" s="76" t="n"/>
      <c r="G2113" s="74" t="n"/>
      <c r="H2113" s="74" t="n"/>
      <c r="I2113" s="74" t="n"/>
      <c r="J2113" s="77" t="n"/>
      <c r="K2113" s="77" t="n"/>
      <c r="L2113" s="74" t="n"/>
      <c r="M2113" s="74" t="n"/>
      <c r="O2113" s="78">
        <f>IF($A2113="","",YEAR($A2113)*100+MONTH($A2113))</f>
        <v/>
      </c>
      <c r="P2113" s="79">
        <f>IF(OR($F2113="",$D2113=""),"",IF($D2113="Receita",$F2113,IF($D2113="Transferência",0,-$F2113)))</f>
        <v/>
      </c>
    </row>
    <row r="2114">
      <c r="A2114" s="73" t="n"/>
      <c r="B2114" s="74" t="n"/>
      <c r="C2114" s="74" t="n"/>
      <c r="D2114" s="75">
        <f>IF($C2114="","",IFERROR(INDEX(CAT_TIPO,MATCH($C2114,CAT_NOME,0)),"Sem categoria"))</f>
        <v/>
      </c>
      <c r="E2114" s="75">
        <f>IF($C2114="","",IFERROR(INDEX(CAT_GRUPO,MATCH($C2114,CAT_NOME,0)),"Sem categoria"))</f>
        <v/>
      </c>
      <c r="F2114" s="76" t="n"/>
      <c r="G2114" s="74" t="n"/>
      <c r="H2114" s="74" t="n"/>
      <c r="I2114" s="74" t="n"/>
      <c r="J2114" s="77" t="n"/>
      <c r="K2114" s="77" t="n"/>
      <c r="L2114" s="74" t="n"/>
      <c r="M2114" s="74" t="n"/>
      <c r="O2114" s="78">
        <f>IF($A2114="","",YEAR($A2114)*100+MONTH($A2114))</f>
        <v/>
      </c>
      <c r="P2114" s="79">
        <f>IF(OR($F2114="",$D2114=""),"",IF($D2114="Receita",$F2114,IF($D2114="Transferência",0,-$F2114)))</f>
        <v/>
      </c>
    </row>
    <row r="2115">
      <c r="A2115" s="73" t="n"/>
      <c r="B2115" s="74" t="n"/>
      <c r="C2115" s="74" t="n"/>
      <c r="D2115" s="75">
        <f>IF($C2115="","",IFERROR(INDEX(CAT_TIPO,MATCH($C2115,CAT_NOME,0)),"Sem categoria"))</f>
        <v/>
      </c>
      <c r="E2115" s="75">
        <f>IF($C2115="","",IFERROR(INDEX(CAT_GRUPO,MATCH($C2115,CAT_NOME,0)),"Sem categoria"))</f>
        <v/>
      </c>
      <c r="F2115" s="76" t="n"/>
      <c r="G2115" s="74" t="n"/>
      <c r="H2115" s="74" t="n"/>
      <c r="I2115" s="74" t="n"/>
      <c r="J2115" s="77" t="n"/>
      <c r="K2115" s="77" t="n"/>
      <c r="L2115" s="74" t="n"/>
      <c r="M2115" s="74" t="n"/>
      <c r="O2115" s="78">
        <f>IF($A2115="","",YEAR($A2115)*100+MONTH($A2115))</f>
        <v/>
      </c>
      <c r="P2115" s="79">
        <f>IF(OR($F2115="",$D2115=""),"",IF($D2115="Receita",$F2115,IF($D2115="Transferência",0,-$F2115)))</f>
        <v/>
      </c>
    </row>
    <row r="2116">
      <c r="A2116" s="73" t="n"/>
      <c r="B2116" s="74" t="n"/>
      <c r="C2116" s="74" t="n"/>
      <c r="D2116" s="75">
        <f>IF($C2116="","",IFERROR(INDEX(CAT_TIPO,MATCH($C2116,CAT_NOME,0)),"Sem categoria"))</f>
        <v/>
      </c>
      <c r="E2116" s="75">
        <f>IF($C2116="","",IFERROR(INDEX(CAT_GRUPO,MATCH($C2116,CAT_NOME,0)),"Sem categoria"))</f>
        <v/>
      </c>
      <c r="F2116" s="76" t="n"/>
      <c r="G2116" s="74" t="n"/>
      <c r="H2116" s="74" t="n"/>
      <c r="I2116" s="74" t="n"/>
      <c r="J2116" s="77" t="n"/>
      <c r="K2116" s="77" t="n"/>
      <c r="L2116" s="74" t="n"/>
      <c r="M2116" s="74" t="n"/>
      <c r="O2116" s="78">
        <f>IF($A2116="","",YEAR($A2116)*100+MONTH($A2116))</f>
        <v/>
      </c>
      <c r="P2116" s="79">
        <f>IF(OR($F2116="",$D2116=""),"",IF($D2116="Receita",$F2116,IF($D2116="Transferência",0,-$F2116)))</f>
        <v/>
      </c>
    </row>
    <row r="2117">
      <c r="A2117" s="73" t="n"/>
      <c r="B2117" s="74" t="n"/>
      <c r="C2117" s="74" t="n"/>
      <c r="D2117" s="75">
        <f>IF($C2117="","",IFERROR(INDEX(CAT_TIPO,MATCH($C2117,CAT_NOME,0)),"Sem categoria"))</f>
        <v/>
      </c>
      <c r="E2117" s="75">
        <f>IF($C2117="","",IFERROR(INDEX(CAT_GRUPO,MATCH($C2117,CAT_NOME,0)),"Sem categoria"))</f>
        <v/>
      </c>
      <c r="F2117" s="76" t="n"/>
      <c r="G2117" s="74" t="n"/>
      <c r="H2117" s="74" t="n"/>
      <c r="I2117" s="74" t="n"/>
      <c r="J2117" s="77" t="n"/>
      <c r="K2117" s="77" t="n"/>
      <c r="L2117" s="74" t="n"/>
      <c r="M2117" s="74" t="n"/>
      <c r="O2117" s="78">
        <f>IF($A2117="","",YEAR($A2117)*100+MONTH($A2117))</f>
        <v/>
      </c>
      <c r="P2117" s="79">
        <f>IF(OR($F2117="",$D2117=""),"",IF($D2117="Receita",$F2117,IF($D2117="Transferência",0,-$F2117)))</f>
        <v/>
      </c>
    </row>
    <row r="2118">
      <c r="A2118" s="73" t="n"/>
      <c r="B2118" s="74" t="n"/>
      <c r="C2118" s="74" t="n"/>
      <c r="D2118" s="75">
        <f>IF($C2118="","",IFERROR(INDEX(CAT_TIPO,MATCH($C2118,CAT_NOME,0)),"Sem categoria"))</f>
        <v/>
      </c>
      <c r="E2118" s="75">
        <f>IF($C2118="","",IFERROR(INDEX(CAT_GRUPO,MATCH($C2118,CAT_NOME,0)),"Sem categoria"))</f>
        <v/>
      </c>
      <c r="F2118" s="76" t="n"/>
      <c r="G2118" s="74" t="n"/>
      <c r="H2118" s="74" t="n"/>
      <c r="I2118" s="74" t="n"/>
      <c r="J2118" s="77" t="n"/>
      <c r="K2118" s="77" t="n"/>
      <c r="L2118" s="74" t="n"/>
      <c r="M2118" s="74" t="n"/>
      <c r="O2118" s="78">
        <f>IF($A2118="","",YEAR($A2118)*100+MONTH($A2118))</f>
        <v/>
      </c>
      <c r="P2118" s="79">
        <f>IF(OR($F2118="",$D2118=""),"",IF($D2118="Receita",$F2118,IF($D2118="Transferência",0,-$F2118)))</f>
        <v/>
      </c>
    </row>
    <row r="2119">
      <c r="A2119" s="73" t="n"/>
      <c r="B2119" s="74" t="n"/>
      <c r="C2119" s="74" t="n"/>
      <c r="D2119" s="75">
        <f>IF($C2119="","",IFERROR(INDEX(CAT_TIPO,MATCH($C2119,CAT_NOME,0)),"Sem categoria"))</f>
        <v/>
      </c>
      <c r="E2119" s="75">
        <f>IF($C2119="","",IFERROR(INDEX(CAT_GRUPO,MATCH($C2119,CAT_NOME,0)),"Sem categoria"))</f>
        <v/>
      </c>
      <c r="F2119" s="76" t="n"/>
      <c r="G2119" s="74" t="n"/>
      <c r="H2119" s="74" t="n"/>
      <c r="I2119" s="74" t="n"/>
      <c r="J2119" s="77" t="n"/>
      <c r="K2119" s="77" t="n"/>
      <c r="L2119" s="74" t="n"/>
      <c r="M2119" s="74" t="n"/>
      <c r="O2119" s="78">
        <f>IF($A2119="","",YEAR($A2119)*100+MONTH($A2119))</f>
        <v/>
      </c>
      <c r="P2119" s="79">
        <f>IF(OR($F2119="",$D2119=""),"",IF($D2119="Receita",$F2119,IF($D2119="Transferência",0,-$F2119)))</f>
        <v/>
      </c>
    </row>
    <row r="2120">
      <c r="A2120" s="73" t="n"/>
      <c r="B2120" s="74" t="n"/>
      <c r="C2120" s="74" t="n"/>
      <c r="D2120" s="75">
        <f>IF($C2120="","",IFERROR(INDEX(CAT_TIPO,MATCH($C2120,CAT_NOME,0)),"Sem categoria"))</f>
        <v/>
      </c>
      <c r="E2120" s="75">
        <f>IF($C2120="","",IFERROR(INDEX(CAT_GRUPO,MATCH($C2120,CAT_NOME,0)),"Sem categoria"))</f>
        <v/>
      </c>
      <c r="F2120" s="76" t="n"/>
      <c r="G2120" s="74" t="n"/>
      <c r="H2120" s="74" t="n"/>
      <c r="I2120" s="74" t="n"/>
      <c r="J2120" s="77" t="n"/>
      <c r="K2120" s="77" t="n"/>
      <c r="L2120" s="74" t="n"/>
      <c r="M2120" s="74" t="n"/>
      <c r="O2120" s="78">
        <f>IF($A2120="","",YEAR($A2120)*100+MONTH($A2120))</f>
        <v/>
      </c>
      <c r="P2120" s="79">
        <f>IF(OR($F2120="",$D2120=""),"",IF($D2120="Receita",$F2120,IF($D2120="Transferência",0,-$F2120)))</f>
        <v/>
      </c>
    </row>
    <row r="2121">
      <c r="A2121" s="73" t="n"/>
      <c r="B2121" s="74" t="n"/>
      <c r="C2121" s="74" t="n"/>
      <c r="D2121" s="75">
        <f>IF($C2121="","",IFERROR(INDEX(CAT_TIPO,MATCH($C2121,CAT_NOME,0)),"Sem categoria"))</f>
        <v/>
      </c>
      <c r="E2121" s="75">
        <f>IF($C2121="","",IFERROR(INDEX(CAT_GRUPO,MATCH($C2121,CAT_NOME,0)),"Sem categoria"))</f>
        <v/>
      </c>
      <c r="F2121" s="76" t="n"/>
      <c r="G2121" s="74" t="n"/>
      <c r="H2121" s="74" t="n"/>
      <c r="I2121" s="74" t="n"/>
      <c r="J2121" s="77" t="n"/>
      <c r="K2121" s="77" t="n"/>
      <c r="L2121" s="74" t="n"/>
      <c r="M2121" s="74" t="n"/>
      <c r="O2121" s="78">
        <f>IF($A2121="","",YEAR($A2121)*100+MONTH($A2121))</f>
        <v/>
      </c>
      <c r="P2121" s="79">
        <f>IF(OR($F2121="",$D2121=""),"",IF($D2121="Receita",$F2121,IF($D2121="Transferência",0,-$F2121)))</f>
        <v/>
      </c>
    </row>
    <row r="2122">
      <c r="A2122" s="73" t="n"/>
      <c r="B2122" s="74" t="n"/>
      <c r="C2122" s="74" t="n"/>
      <c r="D2122" s="75">
        <f>IF($C2122="","",IFERROR(INDEX(CAT_TIPO,MATCH($C2122,CAT_NOME,0)),"Sem categoria"))</f>
        <v/>
      </c>
      <c r="E2122" s="75">
        <f>IF($C2122="","",IFERROR(INDEX(CAT_GRUPO,MATCH($C2122,CAT_NOME,0)),"Sem categoria"))</f>
        <v/>
      </c>
      <c r="F2122" s="76" t="n"/>
      <c r="G2122" s="74" t="n"/>
      <c r="H2122" s="74" t="n"/>
      <c r="I2122" s="74" t="n"/>
      <c r="J2122" s="77" t="n"/>
      <c r="K2122" s="77" t="n"/>
      <c r="L2122" s="74" t="n"/>
      <c r="M2122" s="74" t="n"/>
      <c r="O2122" s="78">
        <f>IF($A2122="","",YEAR($A2122)*100+MONTH($A2122))</f>
        <v/>
      </c>
      <c r="P2122" s="79">
        <f>IF(OR($F2122="",$D2122=""),"",IF($D2122="Receita",$F2122,IF($D2122="Transferência",0,-$F2122)))</f>
        <v/>
      </c>
    </row>
    <row r="2123">
      <c r="A2123" s="73" t="n"/>
      <c r="B2123" s="74" t="n"/>
      <c r="C2123" s="74" t="n"/>
      <c r="D2123" s="75">
        <f>IF($C2123="","",IFERROR(INDEX(CAT_TIPO,MATCH($C2123,CAT_NOME,0)),"Sem categoria"))</f>
        <v/>
      </c>
      <c r="E2123" s="75">
        <f>IF($C2123="","",IFERROR(INDEX(CAT_GRUPO,MATCH($C2123,CAT_NOME,0)),"Sem categoria"))</f>
        <v/>
      </c>
      <c r="F2123" s="76" t="n"/>
      <c r="G2123" s="74" t="n"/>
      <c r="H2123" s="74" t="n"/>
      <c r="I2123" s="74" t="n"/>
      <c r="J2123" s="77" t="n"/>
      <c r="K2123" s="77" t="n"/>
      <c r="L2123" s="74" t="n"/>
      <c r="M2123" s="74" t="n"/>
      <c r="O2123" s="78">
        <f>IF($A2123="","",YEAR($A2123)*100+MONTH($A2123))</f>
        <v/>
      </c>
      <c r="P2123" s="79">
        <f>IF(OR($F2123="",$D2123=""),"",IF($D2123="Receita",$F2123,IF($D2123="Transferência",0,-$F2123)))</f>
        <v/>
      </c>
    </row>
    <row r="2124">
      <c r="A2124" s="73" t="n"/>
      <c r="B2124" s="74" t="n"/>
      <c r="C2124" s="74" t="n"/>
      <c r="D2124" s="75">
        <f>IF($C2124="","",IFERROR(INDEX(CAT_TIPO,MATCH($C2124,CAT_NOME,0)),"Sem categoria"))</f>
        <v/>
      </c>
      <c r="E2124" s="75">
        <f>IF($C2124="","",IFERROR(INDEX(CAT_GRUPO,MATCH($C2124,CAT_NOME,0)),"Sem categoria"))</f>
        <v/>
      </c>
      <c r="F2124" s="76" t="n"/>
      <c r="G2124" s="74" t="n"/>
      <c r="H2124" s="74" t="n"/>
      <c r="I2124" s="74" t="n"/>
      <c r="J2124" s="77" t="n"/>
      <c r="K2124" s="77" t="n"/>
      <c r="L2124" s="74" t="n"/>
      <c r="M2124" s="74" t="n"/>
      <c r="O2124" s="78">
        <f>IF($A2124="","",YEAR($A2124)*100+MONTH($A2124))</f>
        <v/>
      </c>
      <c r="P2124" s="79">
        <f>IF(OR($F2124="",$D2124=""),"",IF($D2124="Receita",$F2124,IF($D2124="Transferência",0,-$F2124)))</f>
        <v/>
      </c>
    </row>
    <row r="2125">
      <c r="A2125" s="73" t="n"/>
      <c r="B2125" s="74" t="n"/>
      <c r="C2125" s="74" t="n"/>
      <c r="D2125" s="75">
        <f>IF($C2125="","",IFERROR(INDEX(CAT_TIPO,MATCH($C2125,CAT_NOME,0)),"Sem categoria"))</f>
        <v/>
      </c>
      <c r="E2125" s="75">
        <f>IF($C2125="","",IFERROR(INDEX(CAT_GRUPO,MATCH($C2125,CAT_NOME,0)),"Sem categoria"))</f>
        <v/>
      </c>
      <c r="F2125" s="76" t="n"/>
      <c r="G2125" s="74" t="n"/>
      <c r="H2125" s="74" t="n"/>
      <c r="I2125" s="74" t="n"/>
      <c r="J2125" s="77" t="n"/>
      <c r="K2125" s="77" t="n"/>
      <c r="L2125" s="74" t="n"/>
      <c r="M2125" s="74" t="n"/>
      <c r="O2125" s="78">
        <f>IF($A2125="","",YEAR($A2125)*100+MONTH($A2125))</f>
        <v/>
      </c>
      <c r="P2125" s="79">
        <f>IF(OR($F2125="",$D2125=""),"",IF($D2125="Receita",$F2125,IF($D2125="Transferência",0,-$F2125)))</f>
        <v/>
      </c>
    </row>
    <row r="2126">
      <c r="A2126" s="73" t="n"/>
      <c r="B2126" s="74" t="n"/>
      <c r="C2126" s="74" t="n"/>
      <c r="D2126" s="75">
        <f>IF($C2126="","",IFERROR(INDEX(CAT_TIPO,MATCH($C2126,CAT_NOME,0)),"Sem categoria"))</f>
        <v/>
      </c>
      <c r="E2126" s="75">
        <f>IF($C2126="","",IFERROR(INDEX(CAT_GRUPO,MATCH($C2126,CAT_NOME,0)),"Sem categoria"))</f>
        <v/>
      </c>
      <c r="F2126" s="76" t="n"/>
      <c r="G2126" s="74" t="n"/>
      <c r="H2126" s="74" t="n"/>
      <c r="I2126" s="74" t="n"/>
      <c r="J2126" s="77" t="n"/>
      <c r="K2126" s="77" t="n"/>
      <c r="L2126" s="74" t="n"/>
      <c r="M2126" s="74" t="n"/>
      <c r="O2126" s="78">
        <f>IF($A2126="","",YEAR($A2126)*100+MONTH($A2126))</f>
        <v/>
      </c>
      <c r="P2126" s="79">
        <f>IF(OR($F2126="",$D2126=""),"",IF($D2126="Receita",$F2126,IF($D2126="Transferência",0,-$F2126)))</f>
        <v/>
      </c>
    </row>
    <row r="2127">
      <c r="A2127" s="73" t="n"/>
      <c r="B2127" s="74" t="n"/>
      <c r="C2127" s="74" t="n"/>
      <c r="D2127" s="75">
        <f>IF($C2127="","",IFERROR(INDEX(CAT_TIPO,MATCH($C2127,CAT_NOME,0)),"Sem categoria"))</f>
        <v/>
      </c>
      <c r="E2127" s="75">
        <f>IF($C2127="","",IFERROR(INDEX(CAT_GRUPO,MATCH($C2127,CAT_NOME,0)),"Sem categoria"))</f>
        <v/>
      </c>
      <c r="F2127" s="76" t="n"/>
      <c r="G2127" s="74" t="n"/>
      <c r="H2127" s="74" t="n"/>
      <c r="I2127" s="74" t="n"/>
      <c r="J2127" s="77" t="n"/>
      <c r="K2127" s="77" t="n"/>
      <c r="L2127" s="74" t="n"/>
      <c r="M2127" s="74" t="n"/>
      <c r="O2127" s="78">
        <f>IF($A2127="","",YEAR($A2127)*100+MONTH($A2127))</f>
        <v/>
      </c>
      <c r="P2127" s="79">
        <f>IF(OR($F2127="",$D2127=""),"",IF($D2127="Receita",$F2127,IF($D2127="Transferência",0,-$F2127)))</f>
        <v/>
      </c>
    </row>
    <row r="2128">
      <c r="A2128" s="73" t="n"/>
      <c r="B2128" s="74" t="n"/>
      <c r="C2128" s="74" t="n"/>
      <c r="D2128" s="75">
        <f>IF($C2128="","",IFERROR(INDEX(CAT_TIPO,MATCH($C2128,CAT_NOME,0)),"Sem categoria"))</f>
        <v/>
      </c>
      <c r="E2128" s="75">
        <f>IF($C2128="","",IFERROR(INDEX(CAT_GRUPO,MATCH($C2128,CAT_NOME,0)),"Sem categoria"))</f>
        <v/>
      </c>
      <c r="F2128" s="76" t="n"/>
      <c r="G2128" s="74" t="n"/>
      <c r="H2128" s="74" t="n"/>
      <c r="I2128" s="74" t="n"/>
      <c r="J2128" s="77" t="n"/>
      <c r="K2128" s="77" t="n"/>
      <c r="L2128" s="74" t="n"/>
      <c r="M2128" s="74" t="n"/>
      <c r="O2128" s="78">
        <f>IF($A2128="","",YEAR($A2128)*100+MONTH($A2128))</f>
        <v/>
      </c>
      <c r="P2128" s="79">
        <f>IF(OR($F2128="",$D2128=""),"",IF($D2128="Receita",$F2128,IF($D2128="Transferência",0,-$F2128)))</f>
        <v/>
      </c>
    </row>
    <row r="2129">
      <c r="A2129" s="73" t="n"/>
      <c r="B2129" s="74" t="n"/>
      <c r="C2129" s="74" t="n"/>
      <c r="D2129" s="75">
        <f>IF($C2129="","",IFERROR(INDEX(CAT_TIPO,MATCH($C2129,CAT_NOME,0)),"Sem categoria"))</f>
        <v/>
      </c>
      <c r="E2129" s="75">
        <f>IF($C2129="","",IFERROR(INDEX(CAT_GRUPO,MATCH($C2129,CAT_NOME,0)),"Sem categoria"))</f>
        <v/>
      </c>
      <c r="F2129" s="76" t="n"/>
      <c r="G2129" s="74" t="n"/>
      <c r="H2129" s="74" t="n"/>
      <c r="I2129" s="74" t="n"/>
      <c r="J2129" s="77" t="n"/>
      <c r="K2129" s="77" t="n"/>
      <c r="L2129" s="74" t="n"/>
      <c r="M2129" s="74" t="n"/>
      <c r="O2129" s="78">
        <f>IF($A2129="","",YEAR($A2129)*100+MONTH($A2129))</f>
        <v/>
      </c>
      <c r="P2129" s="79">
        <f>IF(OR($F2129="",$D2129=""),"",IF($D2129="Receita",$F2129,IF($D2129="Transferência",0,-$F2129)))</f>
        <v/>
      </c>
    </row>
    <row r="2130">
      <c r="A2130" s="73" t="n"/>
      <c r="B2130" s="74" t="n"/>
      <c r="C2130" s="74" t="n"/>
      <c r="D2130" s="75">
        <f>IF($C2130="","",IFERROR(INDEX(CAT_TIPO,MATCH($C2130,CAT_NOME,0)),"Sem categoria"))</f>
        <v/>
      </c>
      <c r="E2130" s="75">
        <f>IF($C2130="","",IFERROR(INDEX(CAT_GRUPO,MATCH($C2130,CAT_NOME,0)),"Sem categoria"))</f>
        <v/>
      </c>
      <c r="F2130" s="76" t="n"/>
      <c r="G2130" s="74" t="n"/>
      <c r="H2130" s="74" t="n"/>
      <c r="I2130" s="74" t="n"/>
      <c r="J2130" s="77" t="n"/>
      <c r="K2130" s="77" t="n"/>
      <c r="L2130" s="74" t="n"/>
      <c r="M2130" s="74" t="n"/>
      <c r="O2130" s="78">
        <f>IF($A2130="","",YEAR($A2130)*100+MONTH($A2130))</f>
        <v/>
      </c>
      <c r="P2130" s="79">
        <f>IF(OR($F2130="",$D2130=""),"",IF($D2130="Receita",$F2130,IF($D2130="Transferência",0,-$F2130)))</f>
        <v/>
      </c>
    </row>
    <row r="2131">
      <c r="A2131" s="73" t="n"/>
      <c r="B2131" s="74" t="n"/>
      <c r="C2131" s="74" t="n"/>
      <c r="D2131" s="75">
        <f>IF($C2131="","",IFERROR(INDEX(CAT_TIPO,MATCH($C2131,CAT_NOME,0)),"Sem categoria"))</f>
        <v/>
      </c>
      <c r="E2131" s="75">
        <f>IF($C2131="","",IFERROR(INDEX(CAT_GRUPO,MATCH($C2131,CAT_NOME,0)),"Sem categoria"))</f>
        <v/>
      </c>
      <c r="F2131" s="76" t="n"/>
      <c r="G2131" s="74" t="n"/>
      <c r="H2131" s="74" t="n"/>
      <c r="I2131" s="74" t="n"/>
      <c r="J2131" s="77" t="n"/>
      <c r="K2131" s="77" t="n"/>
      <c r="L2131" s="74" t="n"/>
      <c r="M2131" s="74" t="n"/>
      <c r="O2131" s="78">
        <f>IF($A2131="","",YEAR($A2131)*100+MONTH($A2131))</f>
        <v/>
      </c>
      <c r="P2131" s="79">
        <f>IF(OR($F2131="",$D2131=""),"",IF($D2131="Receita",$F2131,IF($D2131="Transferência",0,-$F2131)))</f>
        <v/>
      </c>
    </row>
    <row r="2132">
      <c r="A2132" s="73" t="n"/>
      <c r="B2132" s="74" t="n"/>
      <c r="C2132" s="74" t="n"/>
      <c r="D2132" s="75">
        <f>IF($C2132="","",IFERROR(INDEX(CAT_TIPO,MATCH($C2132,CAT_NOME,0)),"Sem categoria"))</f>
        <v/>
      </c>
      <c r="E2132" s="75">
        <f>IF($C2132="","",IFERROR(INDEX(CAT_GRUPO,MATCH($C2132,CAT_NOME,0)),"Sem categoria"))</f>
        <v/>
      </c>
      <c r="F2132" s="76" t="n"/>
      <c r="G2132" s="74" t="n"/>
      <c r="H2132" s="74" t="n"/>
      <c r="I2132" s="74" t="n"/>
      <c r="J2132" s="77" t="n"/>
      <c r="K2132" s="77" t="n"/>
      <c r="L2132" s="74" t="n"/>
      <c r="M2132" s="74" t="n"/>
      <c r="O2132" s="78">
        <f>IF($A2132="","",YEAR($A2132)*100+MONTH($A2132))</f>
        <v/>
      </c>
      <c r="P2132" s="79">
        <f>IF(OR($F2132="",$D2132=""),"",IF($D2132="Receita",$F2132,IF($D2132="Transferência",0,-$F2132)))</f>
        <v/>
      </c>
    </row>
    <row r="2133">
      <c r="A2133" s="73" t="n"/>
      <c r="B2133" s="74" t="n"/>
      <c r="C2133" s="74" t="n"/>
      <c r="D2133" s="75">
        <f>IF($C2133="","",IFERROR(INDEX(CAT_TIPO,MATCH($C2133,CAT_NOME,0)),"Sem categoria"))</f>
        <v/>
      </c>
      <c r="E2133" s="75">
        <f>IF($C2133="","",IFERROR(INDEX(CAT_GRUPO,MATCH($C2133,CAT_NOME,0)),"Sem categoria"))</f>
        <v/>
      </c>
      <c r="F2133" s="76" t="n"/>
      <c r="G2133" s="74" t="n"/>
      <c r="H2133" s="74" t="n"/>
      <c r="I2133" s="74" t="n"/>
      <c r="J2133" s="77" t="n"/>
      <c r="K2133" s="77" t="n"/>
      <c r="L2133" s="74" t="n"/>
      <c r="M2133" s="74" t="n"/>
      <c r="O2133" s="78">
        <f>IF($A2133="","",YEAR($A2133)*100+MONTH($A2133))</f>
        <v/>
      </c>
      <c r="P2133" s="79">
        <f>IF(OR($F2133="",$D2133=""),"",IF($D2133="Receita",$F2133,IF($D2133="Transferência",0,-$F2133)))</f>
        <v/>
      </c>
    </row>
    <row r="2134">
      <c r="A2134" s="73" t="n"/>
      <c r="B2134" s="74" t="n"/>
      <c r="C2134" s="74" t="n"/>
      <c r="D2134" s="75">
        <f>IF($C2134="","",IFERROR(INDEX(CAT_TIPO,MATCH($C2134,CAT_NOME,0)),"Sem categoria"))</f>
        <v/>
      </c>
      <c r="E2134" s="75">
        <f>IF($C2134="","",IFERROR(INDEX(CAT_GRUPO,MATCH($C2134,CAT_NOME,0)),"Sem categoria"))</f>
        <v/>
      </c>
      <c r="F2134" s="76" t="n"/>
      <c r="G2134" s="74" t="n"/>
      <c r="H2134" s="74" t="n"/>
      <c r="I2134" s="74" t="n"/>
      <c r="J2134" s="77" t="n"/>
      <c r="K2134" s="77" t="n"/>
      <c r="L2134" s="74" t="n"/>
      <c r="M2134" s="74" t="n"/>
      <c r="O2134" s="78">
        <f>IF($A2134="","",YEAR($A2134)*100+MONTH($A2134))</f>
        <v/>
      </c>
      <c r="P2134" s="79">
        <f>IF(OR($F2134="",$D2134=""),"",IF($D2134="Receita",$F2134,IF($D2134="Transferência",0,-$F2134)))</f>
        <v/>
      </c>
    </row>
    <row r="2135">
      <c r="A2135" s="73" t="n"/>
      <c r="B2135" s="74" t="n"/>
      <c r="C2135" s="74" t="n"/>
      <c r="D2135" s="75">
        <f>IF($C2135="","",IFERROR(INDEX(CAT_TIPO,MATCH($C2135,CAT_NOME,0)),"Sem categoria"))</f>
        <v/>
      </c>
      <c r="E2135" s="75">
        <f>IF($C2135="","",IFERROR(INDEX(CAT_GRUPO,MATCH($C2135,CAT_NOME,0)),"Sem categoria"))</f>
        <v/>
      </c>
      <c r="F2135" s="76" t="n"/>
      <c r="G2135" s="74" t="n"/>
      <c r="H2135" s="74" t="n"/>
      <c r="I2135" s="74" t="n"/>
      <c r="J2135" s="77" t="n"/>
      <c r="K2135" s="77" t="n"/>
      <c r="L2135" s="74" t="n"/>
      <c r="M2135" s="74" t="n"/>
      <c r="O2135" s="78">
        <f>IF($A2135="","",YEAR($A2135)*100+MONTH($A2135))</f>
        <v/>
      </c>
      <c r="P2135" s="79">
        <f>IF(OR($F2135="",$D2135=""),"",IF($D2135="Receita",$F2135,IF($D2135="Transferência",0,-$F2135)))</f>
        <v/>
      </c>
    </row>
    <row r="2136">
      <c r="A2136" s="73" t="n"/>
      <c r="B2136" s="74" t="n"/>
      <c r="C2136" s="74" t="n"/>
      <c r="D2136" s="75">
        <f>IF($C2136="","",IFERROR(INDEX(CAT_TIPO,MATCH($C2136,CAT_NOME,0)),"Sem categoria"))</f>
        <v/>
      </c>
      <c r="E2136" s="75">
        <f>IF($C2136="","",IFERROR(INDEX(CAT_GRUPO,MATCH($C2136,CAT_NOME,0)),"Sem categoria"))</f>
        <v/>
      </c>
      <c r="F2136" s="76" t="n"/>
      <c r="G2136" s="74" t="n"/>
      <c r="H2136" s="74" t="n"/>
      <c r="I2136" s="74" t="n"/>
      <c r="J2136" s="77" t="n"/>
      <c r="K2136" s="77" t="n"/>
      <c r="L2136" s="74" t="n"/>
      <c r="M2136" s="74" t="n"/>
      <c r="O2136" s="78">
        <f>IF($A2136="","",YEAR($A2136)*100+MONTH($A2136))</f>
        <v/>
      </c>
      <c r="P2136" s="79">
        <f>IF(OR($F2136="",$D2136=""),"",IF($D2136="Receita",$F2136,IF($D2136="Transferência",0,-$F2136)))</f>
        <v/>
      </c>
    </row>
    <row r="2137">
      <c r="A2137" s="73" t="n"/>
      <c r="B2137" s="74" t="n"/>
      <c r="C2137" s="74" t="n"/>
      <c r="D2137" s="75">
        <f>IF($C2137="","",IFERROR(INDEX(CAT_TIPO,MATCH($C2137,CAT_NOME,0)),"Sem categoria"))</f>
        <v/>
      </c>
      <c r="E2137" s="75">
        <f>IF($C2137="","",IFERROR(INDEX(CAT_GRUPO,MATCH($C2137,CAT_NOME,0)),"Sem categoria"))</f>
        <v/>
      </c>
      <c r="F2137" s="76" t="n"/>
      <c r="G2137" s="74" t="n"/>
      <c r="H2137" s="74" t="n"/>
      <c r="I2137" s="74" t="n"/>
      <c r="J2137" s="77" t="n"/>
      <c r="K2137" s="77" t="n"/>
      <c r="L2137" s="74" t="n"/>
      <c r="M2137" s="74" t="n"/>
      <c r="O2137" s="78">
        <f>IF($A2137="","",YEAR($A2137)*100+MONTH($A2137))</f>
        <v/>
      </c>
      <c r="P2137" s="79">
        <f>IF(OR($F2137="",$D2137=""),"",IF($D2137="Receita",$F2137,IF($D2137="Transferência",0,-$F2137)))</f>
        <v/>
      </c>
    </row>
    <row r="2138">
      <c r="A2138" s="73" t="n"/>
      <c r="B2138" s="74" t="n"/>
      <c r="C2138" s="74" t="n"/>
      <c r="D2138" s="75">
        <f>IF($C2138="","",IFERROR(INDEX(CAT_TIPO,MATCH($C2138,CAT_NOME,0)),"Sem categoria"))</f>
        <v/>
      </c>
      <c r="E2138" s="75">
        <f>IF($C2138="","",IFERROR(INDEX(CAT_GRUPO,MATCH($C2138,CAT_NOME,0)),"Sem categoria"))</f>
        <v/>
      </c>
      <c r="F2138" s="76" t="n"/>
      <c r="G2138" s="74" t="n"/>
      <c r="H2138" s="74" t="n"/>
      <c r="I2138" s="74" t="n"/>
      <c r="J2138" s="77" t="n"/>
      <c r="K2138" s="77" t="n"/>
      <c r="L2138" s="74" t="n"/>
      <c r="M2138" s="74" t="n"/>
      <c r="O2138" s="78">
        <f>IF($A2138="","",YEAR($A2138)*100+MONTH($A2138))</f>
        <v/>
      </c>
      <c r="P2138" s="79">
        <f>IF(OR($F2138="",$D2138=""),"",IF($D2138="Receita",$F2138,IF($D2138="Transferência",0,-$F2138)))</f>
        <v/>
      </c>
    </row>
    <row r="2139">
      <c r="A2139" s="73" t="n"/>
      <c r="B2139" s="74" t="n"/>
      <c r="C2139" s="74" t="n"/>
      <c r="D2139" s="75">
        <f>IF($C2139="","",IFERROR(INDEX(CAT_TIPO,MATCH($C2139,CAT_NOME,0)),"Sem categoria"))</f>
        <v/>
      </c>
      <c r="E2139" s="75">
        <f>IF($C2139="","",IFERROR(INDEX(CAT_GRUPO,MATCH($C2139,CAT_NOME,0)),"Sem categoria"))</f>
        <v/>
      </c>
      <c r="F2139" s="76" t="n"/>
      <c r="G2139" s="74" t="n"/>
      <c r="H2139" s="74" t="n"/>
      <c r="I2139" s="74" t="n"/>
      <c r="J2139" s="77" t="n"/>
      <c r="K2139" s="77" t="n"/>
      <c r="L2139" s="74" t="n"/>
      <c r="M2139" s="74" t="n"/>
      <c r="O2139" s="78">
        <f>IF($A2139="","",YEAR($A2139)*100+MONTH($A2139))</f>
        <v/>
      </c>
      <c r="P2139" s="79">
        <f>IF(OR($F2139="",$D2139=""),"",IF($D2139="Receita",$F2139,IF($D2139="Transferência",0,-$F2139)))</f>
        <v/>
      </c>
    </row>
    <row r="2140">
      <c r="A2140" s="73" t="n"/>
      <c r="B2140" s="74" t="n"/>
      <c r="C2140" s="74" t="n"/>
      <c r="D2140" s="75">
        <f>IF($C2140="","",IFERROR(INDEX(CAT_TIPO,MATCH($C2140,CAT_NOME,0)),"Sem categoria"))</f>
        <v/>
      </c>
      <c r="E2140" s="75">
        <f>IF($C2140="","",IFERROR(INDEX(CAT_GRUPO,MATCH($C2140,CAT_NOME,0)),"Sem categoria"))</f>
        <v/>
      </c>
      <c r="F2140" s="76" t="n"/>
      <c r="G2140" s="74" t="n"/>
      <c r="H2140" s="74" t="n"/>
      <c r="I2140" s="74" t="n"/>
      <c r="J2140" s="77" t="n"/>
      <c r="K2140" s="77" t="n"/>
      <c r="L2140" s="74" t="n"/>
      <c r="M2140" s="74" t="n"/>
      <c r="O2140" s="78">
        <f>IF($A2140="","",YEAR($A2140)*100+MONTH($A2140))</f>
        <v/>
      </c>
      <c r="P2140" s="79">
        <f>IF(OR($F2140="",$D2140=""),"",IF($D2140="Receita",$F2140,IF($D2140="Transferência",0,-$F2140)))</f>
        <v/>
      </c>
    </row>
    <row r="2141">
      <c r="A2141" s="73" t="n"/>
      <c r="B2141" s="74" t="n"/>
      <c r="C2141" s="74" t="n"/>
      <c r="D2141" s="75">
        <f>IF($C2141="","",IFERROR(INDEX(CAT_TIPO,MATCH($C2141,CAT_NOME,0)),"Sem categoria"))</f>
        <v/>
      </c>
      <c r="E2141" s="75">
        <f>IF($C2141="","",IFERROR(INDEX(CAT_GRUPO,MATCH($C2141,CAT_NOME,0)),"Sem categoria"))</f>
        <v/>
      </c>
      <c r="F2141" s="76" t="n"/>
      <c r="G2141" s="74" t="n"/>
      <c r="H2141" s="74" t="n"/>
      <c r="I2141" s="74" t="n"/>
      <c r="J2141" s="77" t="n"/>
      <c r="K2141" s="77" t="n"/>
      <c r="L2141" s="74" t="n"/>
      <c r="M2141" s="74" t="n"/>
      <c r="O2141" s="78">
        <f>IF($A2141="","",YEAR($A2141)*100+MONTH($A2141))</f>
        <v/>
      </c>
      <c r="P2141" s="79">
        <f>IF(OR($F2141="",$D2141=""),"",IF($D2141="Receita",$F2141,IF($D2141="Transferência",0,-$F2141)))</f>
        <v/>
      </c>
    </row>
    <row r="2142">
      <c r="A2142" s="73" t="n"/>
      <c r="B2142" s="74" t="n"/>
      <c r="C2142" s="74" t="n"/>
      <c r="D2142" s="75">
        <f>IF($C2142="","",IFERROR(INDEX(CAT_TIPO,MATCH($C2142,CAT_NOME,0)),"Sem categoria"))</f>
        <v/>
      </c>
      <c r="E2142" s="75">
        <f>IF($C2142="","",IFERROR(INDEX(CAT_GRUPO,MATCH($C2142,CAT_NOME,0)),"Sem categoria"))</f>
        <v/>
      </c>
      <c r="F2142" s="76" t="n"/>
      <c r="G2142" s="74" t="n"/>
      <c r="H2142" s="74" t="n"/>
      <c r="I2142" s="74" t="n"/>
      <c r="J2142" s="77" t="n"/>
      <c r="K2142" s="77" t="n"/>
      <c r="L2142" s="74" t="n"/>
      <c r="M2142" s="74" t="n"/>
      <c r="O2142" s="78">
        <f>IF($A2142="","",YEAR($A2142)*100+MONTH($A2142))</f>
        <v/>
      </c>
      <c r="P2142" s="79">
        <f>IF(OR($F2142="",$D2142=""),"",IF($D2142="Receita",$F2142,IF($D2142="Transferência",0,-$F2142)))</f>
        <v/>
      </c>
    </row>
    <row r="2143">
      <c r="A2143" s="73" t="n"/>
      <c r="B2143" s="74" t="n"/>
      <c r="C2143" s="74" t="n"/>
      <c r="D2143" s="75">
        <f>IF($C2143="","",IFERROR(INDEX(CAT_TIPO,MATCH($C2143,CAT_NOME,0)),"Sem categoria"))</f>
        <v/>
      </c>
      <c r="E2143" s="75">
        <f>IF($C2143="","",IFERROR(INDEX(CAT_GRUPO,MATCH($C2143,CAT_NOME,0)),"Sem categoria"))</f>
        <v/>
      </c>
      <c r="F2143" s="76" t="n"/>
      <c r="G2143" s="74" t="n"/>
      <c r="H2143" s="74" t="n"/>
      <c r="I2143" s="74" t="n"/>
      <c r="J2143" s="77" t="n"/>
      <c r="K2143" s="77" t="n"/>
      <c r="L2143" s="74" t="n"/>
      <c r="M2143" s="74" t="n"/>
      <c r="O2143" s="78">
        <f>IF($A2143="","",YEAR($A2143)*100+MONTH($A2143))</f>
        <v/>
      </c>
      <c r="P2143" s="79">
        <f>IF(OR($F2143="",$D2143=""),"",IF($D2143="Receita",$F2143,IF($D2143="Transferência",0,-$F2143)))</f>
        <v/>
      </c>
    </row>
    <row r="2144">
      <c r="A2144" s="73" t="n"/>
      <c r="B2144" s="74" t="n"/>
      <c r="C2144" s="74" t="n"/>
      <c r="D2144" s="75">
        <f>IF($C2144="","",IFERROR(INDEX(CAT_TIPO,MATCH($C2144,CAT_NOME,0)),"Sem categoria"))</f>
        <v/>
      </c>
      <c r="E2144" s="75">
        <f>IF($C2144="","",IFERROR(INDEX(CAT_GRUPO,MATCH($C2144,CAT_NOME,0)),"Sem categoria"))</f>
        <v/>
      </c>
      <c r="F2144" s="76" t="n"/>
      <c r="G2144" s="74" t="n"/>
      <c r="H2144" s="74" t="n"/>
      <c r="I2144" s="74" t="n"/>
      <c r="J2144" s="77" t="n"/>
      <c r="K2144" s="77" t="n"/>
      <c r="L2144" s="74" t="n"/>
      <c r="M2144" s="74" t="n"/>
      <c r="O2144" s="78">
        <f>IF($A2144="","",YEAR($A2144)*100+MONTH($A2144))</f>
        <v/>
      </c>
      <c r="P2144" s="79">
        <f>IF(OR($F2144="",$D2144=""),"",IF($D2144="Receita",$F2144,IF($D2144="Transferência",0,-$F2144)))</f>
        <v/>
      </c>
    </row>
    <row r="2145">
      <c r="A2145" s="73" t="n"/>
      <c r="B2145" s="74" t="n"/>
      <c r="C2145" s="74" t="n"/>
      <c r="D2145" s="75">
        <f>IF($C2145="","",IFERROR(INDEX(CAT_TIPO,MATCH($C2145,CAT_NOME,0)),"Sem categoria"))</f>
        <v/>
      </c>
      <c r="E2145" s="75">
        <f>IF($C2145="","",IFERROR(INDEX(CAT_GRUPO,MATCH($C2145,CAT_NOME,0)),"Sem categoria"))</f>
        <v/>
      </c>
      <c r="F2145" s="76" t="n"/>
      <c r="G2145" s="74" t="n"/>
      <c r="H2145" s="74" t="n"/>
      <c r="I2145" s="74" t="n"/>
      <c r="J2145" s="77" t="n"/>
      <c r="K2145" s="77" t="n"/>
      <c r="L2145" s="74" t="n"/>
      <c r="M2145" s="74" t="n"/>
      <c r="O2145" s="78">
        <f>IF($A2145="","",YEAR($A2145)*100+MONTH($A2145))</f>
        <v/>
      </c>
      <c r="P2145" s="79">
        <f>IF(OR($F2145="",$D2145=""),"",IF($D2145="Receita",$F2145,IF($D2145="Transferência",0,-$F2145)))</f>
        <v/>
      </c>
    </row>
    <row r="2146">
      <c r="A2146" s="73" t="n"/>
      <c r="B2146" s="74" t="n"/>
      <c r="C2146" s="74" t="n"/>
      <c r="D2146" s="75">
        <f>IF($C2146="","",IFERROR(INDEX(CAT_TIPO,MATCH($C2146,CAT_NOME,0)),"Sem categoria"))</f>
        <v/>
      </c>
      <c r="E2146" s="75">
        <f>IF($C2146="","",IFERROR(INDEX(CAT_GRUPO,MATCH($C2146,CAT_NOME,0)),"Sem categoria"))</f>
        <v/>
      </c>
      <c r="F2146" s="76" t="n"/>
      <c r="G2146" s="74" t="n"/>
      <c r="H2146" s="74" t="n"/>
      <c r="I2146" s="74" t="n"/>
      <c r="J2146" s="77" t="n"/>
      <c r="K2146" s="77" t="n"/>
      <c r="L2146" s="74" t="n"/>
      <c r="M2146" s="74" t="n"/>
      <c r="O2146" s="78">
        <f>IF($A2146="","",YEAR($A2146)*100+MONTH($A2146))</f>
        <v/>
      </c>
      <c r="P2146" s="79">
        <f>IF(OR($F2146="",$D2146=""),"",IF($D2146="Receita",$F2146,IF($D2146="Transferência",0,-$F2146)))</f>
        <v/>
      </c>
    </row>
    <row r="2147">
      <c r="A2147" s="73" t="n"/>
      <c r="B2147" s="74" t="n"/>
      <c r="C2147" s="74" t="n"/>
      <c r="D2147" s="75">
        <f>IF($C2147="","",IFERROR(INDEX(CAT_TIPO,MATCH($C2147,CAT_NOME,0)),"Sem categoria"))</f>
        <v/>
      </c>
      <c r="E2147" s="75">
        <f>IF($C2147="","",IFERROR(INDEX(CAT_GRUPO,MATCH($C2147,CAT_NOME,0)),"Sem categoria"))</f>
        <v/>
      </c>
      <c r="F2147" s="76" t="n"/>
      <c r="G2147" s="74" t="n"/>
      <c r="H2147" s="74" t="n"/>
      <c r="I2147" s="74" t="n"/>
      <c r="J2147" s="77" t="n"/>
      <c r="K2147" s="77" t="n"/>
      <c r="L2147" s="74" t="n"/>
      <c r="M2147" s="74" t="n"/>
      <c r="O2147" s="78">
        <f>IF($A2147="","",YEAR($A2147)*100+MONTH($A2147))</f>
        <v/>
      </c>
      <c r="P2147" s="79">
        <f>IF(OR($F2147="",$D2147=""),"",IF($D2147="Receita",$F2147,IF($D2147="Transferência",0,-$F2147)))</f>
        <v/>
      </c>
    </row>
    <row r="2148">
      <c r="A2148" s="73" t="n"/>
      <c r="B2148" s="74" t="n"/>
      <c r="C2148" s="74" t="n"/>
      <c r="D2148" s="75">
        <f>IF($C2148="","",IFERROR(INDEX(CAT_TIPO,MATCH($C2148,CAT_NOME,0)),"Sem categoria"))</f>
        <v/>
      </c>
      <c r="E2148" s="75">
        <f>IF($C2148="","",IFERROR(INDEX(CAT_GRUPO,MATCH($C2148,CAT_NOME,0)),"Sem categoria"))</f>
        <v/>
      </c>
      <c r="F2148" s="76" t="n"/>
      <c r="G2148" s="74" t="n"/>
      <c r="H2148" s="74" t="n"/>
      <c r="I2148" s="74" t="n"/>
      <c r="J2148" s="77" t="n"/>
      <c r="K2148" s="77" t="n"/>
      <c r="L2148" s="74" t="n"/>
      <c r="M2148" s="74" t="n"/>
      <c r="O2148" s="78">
        <f>IF($A2148="","",YEAR($A2148)*100+MONTH($A2148))</f>
        <v/>
      </c>
      <c r="P2148" s="79">
        <f>IF(OR($F2148="",$D2148=""),"",IF($D2148="Receita",$F2148,IF($D2148="Transferência",0,-$F2148)))</f>
        <v/>
      </c>
    </row>
    <row r="2149">
      <c r="A2149" s="73" t="n"/>
      <c r="B2149" s="74" t="n"/>
      <c r="C2149" s="74" t="n"/>
      <c r="D2149" s="75">
        <f>IF($C2149="","",IFERROR(INDEX(CAT_TIPO,MATCH($C2149,CAT_NOME,0)),"Sem categoria"))</f>
        <v/>
      </c>
      <c r="E2149" s="75">
        <f>IF($C2149="","",IFERROR(INDEX(CAT_GRUPO,MATCH($C2149,CAT_NOME,0)),"Sem categoria"))</f>
        <v/>
      </c>
      <c r="F2149" s="76" t="n"/>
      <c r="G2149" s="74" t="n"/>
      <c r="H2149" s="74" t="n"/>
      <c r="I2149" s="74" t="n"/>
      <c r="J2149" s="77" t="n"/>
      <c r="K2149" s="77" t="n"/>
      <c r="L2149" s="74" t="n"/>
      <c r="M2149" s="74" t="n"/>
      <c r="O2149" s="78">
        <f>IF($A2149="","",YEAR($A2149)*100+MONTH($A2149))</f>
        <v/>
      </c>
      <c r="P2149" s="79">
        <f>IF(OR($F2149="",$D2149=""),"",IF($D2149="Receita",$F2149,IF($D2149="Transferência",0,-$F2149)))</f>
        <v/>
      </c>
    </row>
    <row r="2150">
      <c r="A2150" s="73" t="n"/>
      <c r="B2150" s="74" t="n"/>
      <c r="C2150" s="74" t="n"/>
      <c r="D2150" s="75">
        <f>IF($C2150="","",IFERROR(INDEX(CAT_TIPO,MATCH($C2150,CAT_NOME,0)),"Sem categoria"))</f>
        <v/>
      </c>
      <c r="E2150" s="75">
        <f>IF($C2150="","",IFERROR(INDEX(CAT_GRUPO,MATCH($C2150,CAT_NOME,0)),"Sem categoria"))</f>
        <v/>
      </c>
      <c r="F2150" s="76" t="n"/>
      <c r="G2150" s="74" t="n"/>
      <c r="H2150" s="74" t="n"/>
      <c r="I2150" s="74" t="n"/>
      <c r="J2150" s="77" t="n"/>
      <c r="K2150" s="77" t="n"/>
      <c r="L2150" s="74" t="n"/>
      <c r="M2150" s="74" t="n"/>
      <c r="O2150" s="78">
        <f>IF($A2150="","",YEAR($A2150)*100+MONTH($A2150))</f>
        <v/>
      </c>
      <c r="P2150" s="79">
        <f>IF(OR($F2150="",$D2150=""),"",IF($D2150="Receita",$F2150,IF($D2150="Transferência",0,-$F2150)))</f>
        <v/>
      </c>
    </row>
    <row r="2151">
      <c r="A2151" s="73" t="n"/>
      <c r="B2151" s="74" t="n"/>
      <c r="C2151" s="74" t="n"/>
      <c r="D2151" s="75">
        <f>IF($C2151="","",IFERROR(INDEX(CAT_TIPO,MATCH($C2151,CAT_NOME,0)),"Sem categoria"))</f>
        <v/>
      </c>
      <c r="E2151" s="75">
        <f>IF($C2151="","",IFERROR(INDEX(CAT_GRUPO,MATCH($C2151,CAT_NOME,0)),"Sem categoria"))</f>
        <v/>
      </c>
      <c r="F2151" s="76" t="n"/>
      <c r="G2151" s="74" t="n"/>
      <c r="H2151" s="74" t="n"/>
      <c r="I2151" s="74" t="n"/>
      <c r="J2151" s="77" t="n"/>
      <c r="K2151" s="77" t="n"/>
      <c r="L2151" s="74" t="n"/>
      <c r="M2151" s="74" t="n"/>
      <c r="O2151" s="78">
        <f>IF($A2151="","",YEAR($A2151)*100+MONTH($A2151))</f>
        <v/>
      </c>
      <c r="P2151" s="79">
        <f>IF(OR($F2151="",$D2151=""),"",IF($D2151="Receita",$F2151,IF($D2151="Transferência",0,-$F2151)))</f>
        <v/>
      </c>
    </row>
    <row r="2152">
      <c r="A2152" s="73" t="n"/>
      <c r="B2152" s="74" t="n"/>
      <c r="C2152" s="74" t="n"/>
      <c r="D2152" s="75">
        <f>IF($C2152="","",IFERROR(INDEX(CAT_TIPO,MATCH($C2152,CAT_NOME,0)),"Sem categoria"))</f>
        <v/>
      </c>
      <c r="E2152" s="75">
        <f>IF($C2152="","",IFERROR(INDEX(CAT_GRUPO,MATCH($C2152,CAT_NOME,0)),"Sem categoria"))</f>
        <v/>
      </c>
      <c r="F2152" s="76" t="n"/>
      <c r="G2152" s="74" t="n"/>
      <c r="H2152" s="74" t="n"/>
      <c r="I2152" s="74" t="n"/>
      <c r="J2152" s="77" t="n"/>
      <c r="K2152" s="77" t="n"/>
      <c r="L2152" s="74" t="n"/>
      <c r="M2152" s="74" t="n"/>
      <c r="O2152" s="78">
        <f>IF($A2152="","",YEAR($A2152)*100+MONTH($A2152))</f>
        <v/>
      </c>
      <c r="P2152" s="79">
        <f>IF(OR($F2152="",$D2152=""),"",IF($D2152="Receita",$F2152,IF($D2152="Transferência",0,-$F2152)))</f>
        <v/>
      </c>
    </row>
    <row r="2153">
      <c r="A2153" s="73" t="n"/>
      <c r="B2153" s="74" t="n"/>
      <c r="C2153" s="74" t="n"/>
      <c r="D2153" s="75">
        <f>IF($C2153="","",IFERROR(INDEX(CAT_TIPO,MATCH($C2153,CAT_NOME,0)),"Sem categoria"))</f>
        <v/>
      </c>
      <c r="E2153" s="75">
        <f>IF($C2153="","",IFERROR(INDEX(CAT_GRUPO,MATCH($C2153,CAT_NOME,0)),"Sem categoria"))</f>
        <v/>
      </c>
      <c r="F2153" s="76" t="n"/>
      <c r="G2153" s="74" t="n"/>
      <c r="H2153" s="74" t="n"/>
      <c r="I2153" s="74" t="n"/>
      <c r="J2153" s="77" t="n"/>
      <c r="K2153" s="77" t="n"/>
      <c r="L2153" s="74" t="n"/>
      <c r="M2153" s="74" t="n"/>
      <c r="O2153" s="78">
        <f>IF($A2153="","",YEAR($A2153)*100+MONTH($A2153))</f>
        <v/>
      </c>
      <c r="P2153" s="79">
        <f>IF(OR($F2153="",$D2153=""),"",IF($D2153="Receita",$F2153,IF($D2153="Transferência",0,-$F2153)))</f>
        <v/>
      </c>
    </row>
    <row r="2154">
      <c r="A2154" s="73" t="n"/>
      <c r="B2154" s="74" t="n"/>
      <c r="C2154" s="74" t="n"/>
      <c r="D2154" s="75">
        <f>IF($C2154="","",IFERROR(INDEX(CAT_TIPO,MATCH($C2154,CAT_NOME,0)),"Sem categoria"))</f>
        <v/>
      </c>
      <c r="E2154" s="75">
        <f>IF($C2154="","",IFERROR(INDEX(CAT_GRUPO,MATCH($C2154,CAT_NOME,0)),"Sem categoria"))</f>
        <v/>
      </c>
      <c r="F2154" s="76" t="n"/>
      <c r="G2154" s="74" t="n"/>
      <c r="H2154" s="74" t="n"/>
      <c r="I2154" s="74" t="n"/>
      <c r="J2154" s="77" t="n"/>
      <c r="K2154" s="77" t="n"/>
      <c r="L2154" s="74" t="n"/>
      <c r="M2154" s="74" t="n"/>
      <c r="O2154" s="78">
        <f>IF($A2154="","",YEAR($A2154)*100+MONTH($A2154))</f>
        <v/>
      </c>
      <c r="P2154" s="79">
        <f>IF(OR($F2154="",$D2154=""),"",IF($D2154="Receita",$F2154,IF($D2154="Transferência",0,-$F2154)))</f>
        <v/>
      </c>
    </row>
    <row r="2155">
      <c r="A2155" s="73" t="n"/>
      <c r="B2155" s="74" t="n"/>
      <c r="C2155" s="74" t="n"/>
      <c r="D2155" s="75">
        <f>IF($C2155="","",IFERROR(INDEX(CAT_TIPO,MATCH($C2155,CAT_NOME,0)),"Sem categoria"))</f>
        <v/>
      </c>
      <c r="E2155" s="75">
        <f>IF($C2155="","",IFERROR(INDEX(CAT_GRUPO,MATCH($C2155,CAT_NOME,0)),"Sem categoria"))</f>
        <v/>
      </c>
      <c r="F2155" s="76" t="n"/>
      <c r="G2155" s="74" t="n"/>
      <c r="H2155" s="74" t="n"/>
      <c r="I2155" s="74" t="n"/>
      <c r="J2155" s="77" t="n"/>
      <c r="K2155" s="77" t="n"/>
      <c r="L2155" s="74" t="n"/>
      <c r="M2155" s="74" t="n"/>
      <c r="O2155" s="78">
        <f>IF($A2155="","",YEAR($A2155)*100+MONTH($A2155))</f>
        <v/>
      </c>
      <c r="P2155" s="79">
        <f>IF(OR($F2155="",$D2155=""),"",IF($D2155="Receita",$F2155,IF($D2155="Transferência",0,-$F2155)))</f>
        <v/>
      </c>
    </row>
    <row r="2156">
      <c r="A2156" s="73" t="n"/>
      <c r="B2156" s="74" t="n"/>
      <c r="C2156" s="74" t="n"/>
      <c r="D2156" s="75">
        <f>IF($C2156="","",IFERROR(INDEX(CAT_TIPO,MATCH($C2156,CAT_NOME,0)),"Sem categoria"))</f>
        <v/>
      </c>
      <c r="E2156" s="75">
        <f>IF($C2156="","",IFERROR(INDEX(CAT_GRUPO,MATCH($C2156,CAT_NOME,0)),"Sem categoria"))</f>
        <v/>
      </c>
      <c r="F2156" s="76" t="n"/>
      <c r="G2156" s="74" t="n"/>
      <c r="H2156" s="74" t="n"/>
      <c r="I2156" s="74" t="n"/>
      <c r="J2156" s="77" t="n"/>
      <c r="K2156" s="77" t="n"/>
      <c r="L2156" s="74" t="n"/>
      <c r="M2156" s="74" t="n"/>
      <c r="O2156" s="78">
        <f>IF($A2156="","",YEAR($A2156)*100+MONTH($A2156))</f>
        <v/>
      </c>
      <c r="P2156" s="79">
        <f>IF(OR($F2156="",$D2156=""),"",IF($D2156="Receita",$F2156,IF($D2156="Transferência",0,-$F2156)))</f>
        <v/>
      </c>
    </row>
    <row r="2157">
      <c r="A2157" s="73" t="n"/>
      <c r="B2157" s="74" t="n"/>
      <c r="C2157" s="74" t="n"/>
      <c r="D2157" s="75">
        <f>IF($C2157="","",IFERROR(INDEX(CAT_TIPO,MATCH($C2157,CAT_NOME,0)),"Sem categoria"))</f>
        <v/>
      </c>
      <c r="E2157" s="75">
        <f>IF($C2157="","",IFERROR(INDEX(CAT_GRUPO,MATCH($C2157,CAT_NOME,0)),"Sem categoria"))</f>
        <v/>
      </c>
      <c r="F2157" s="76" t="n"/>
      <c r="G2157" s="74" t="n"/>
      <c r="H2157" s="74" t="n"/>
      <c r="I2157" s="74" t="n"/>
      <c r="J2157" s="77" t="n"/>
      <c r="K2157" s="77" t="n"/>
      <c r="L2157" s="74" t="n"/>
      <c r="M2157" s="74" t="n"/>
      <c r="O2157" s="78">
        <f>IF($A2157="","",YEAR($A2157)*100+MONTH($A2157))</f>
        <v/>
      </c>
      <c r="P2157" s="79">
        <f>IF(OR($F2157="",$D2157=""),"",IF($D2157="Receita",$F2157,IF($D2157="Transferência",0,-$F2157)))</f>
        <v/>
      </c>
    </row>
    <row r="2158">
      <c r="A2158" s="73" t="n"/>
      <c r="B2158" s="74" t="n"/>
      <c r="C2158" s="74" t="n"/>
      <c r="D2158" s="75">
        <f>IF($C2158="","",IFERROR(INDEX(CAT_TIPO,MATCH($C2158,CAT_NOME,0)),"Sem categoria"))</f>
        <v/>
      </c>
      <c r="E2158" s="75">
        <f>IF($C2158="","",IFERROR(INDEX(CAT_GRUPO,MATCH($C2158,CAT_NOME,0)),"Sem categoria"))</f>
        <v/>
      </c>
      <c r="F2158" s="76" t="n"/>
      <c r="G2158" s="74" t="n"/>
      <c r="H2158" s="74" t="n"/>
      <c r="I2158" s="74" t="n"/>
      <c r="J2158" s="77" t="n"/>
      <c r="K2158" s="77" t="n"/>
      <c r="L2158" s="74" t="n"/>
      <c r="M2158" s="74" t="n"/>
      <c r="O2158" s="78">
        <f>IF($A2158="","",YEAR($A2158)*100+MONTH($A2158))</f>
        <v/>
      </c>
      <c r="P2158" s="79">
        <f>IF(OR($F2158="",$D2158=""),"",IF($D2158="Receita",$F2158,IF($D2158="Transferência",0,-$F2158)))</f>
        <v/>
      </c>
    </row>
    <row r="2159">
      <c r="A2159" s="73" t="n"/>
      <c r="B2159" s="74" t="n"/>
      <c r="C2159" s="74" t="n"/>
      <c r="D2159" s="75">
        <f>IF($C2159="","",IFERROR(INDEX(CAT_TIPO,MATCH($C2159,CAT_NOME,0)),"Sem categoria"))</f>
        <v/>
      </c>
      <c r="E2159" s="75">
        <f>IF($C2159="","",IFERROR(INDEX(CAT_GRUPO,MATCH($C2159,CAT_NOME,0)),"Sem categoria"))</f>
        <v/>
      </c>
      <c r="F2159" s="76" t="n"/>
      <c r="G2159" s="74" t="n"/>
      <c r="H2159" s="74" t="n"/>
      <c r="I2159" s="74" t="n"/>
      <c r="J2159" s="77" t="n"/>
      <c r="K2159" s="77" t="n"/>
      <c r="L2159" s="74" t="n"/>
      <c r="M2159" s="74" t="n"/>
      <c r="O2159" s="78">
        <f>IF($A2159="","",YEAR($A2159)*100+MONTH($A2159))</f>
        <v/>
      </c>
      <c r="P2159" s="79">
        <f>IF(OR($F2159="",$D2159=""),"",IF($D2159="Receita",$F2159,IF($D2159="Transferência",0,-$F2159)))</f>
        <v/>
      </c>
    </row>
    <row r="2160">
      <c r="A2160" s="73" t="n"/>
      <c r="B2160" s="74" t="n"/>
      <c r="C2160" s="74" t="n"/>
      <c r="D2160" s="75">
        <f>IF($C2160="","",IFERROR(INDEX(CAT_TIPO,MATCH($C2160,CAT_NOME,0)),"Sem categoria"))</f>
        <v/>
      </c>
      <c r="E2160" s="75">
        <f>IF($C2160="","",IFERROR(INDEX(CAT_GRUPO,MATCH($C2160,CAT_NOME,0)),"Sem categoria"))</f>
        <v/>
      </c>
      <c r="F2160" s="76" t="n"/>
      <c r="G2160" s="74" t="n"/>
      <c r="H2160" s="74" t="n"/>
      <c r="I2160" s="74" t="n"/>
      <c r="J2160" s="77" t="n"/>
      <c r="K2160" s="77" t="n"/>
      <c r="L2160" s="74" t="n"/>
      <c r="M2160" s="74" t="n"/>
      <c r="O2160" s="78">
        <f>IF($A2160="","",YEAR($A2160)*100+MONTH($A2160))</f>
        <v/>
      </c>
      <c r="P2160" s="79">
        <f>IF(OR($F2160="",$D2160=""),"",IF($D2160="Receita",$F2160,IF($D2160="Transferência",0,-$F2160)))</f>
        <v/>
      </c>
    </row>
    <row r="2161">
      <c r="A2161" s="73" t="n"/>
      <c r="B2161" s="74" t="n"/>
      <c r="C2161" s="74" t="n"/>
      <c r="D2161" s="75">
        <f>IF($C2161="","",IFERROR(INDEX(CAT_TIPO,MATCH($C2161,CAT_NOME,0)),"Sem categoria"))</f>
        <v/>
      </c>
      <c r="E2161" s="75">
        <f>IF($C2161="","",IFERROR(INDEX(CAT_GRUPO,MATCH($C2161,CAT_NOME,0)),"Sem categoria"))</f>
        <v/>
      </c>
      <c r="F2161" s="76" t="n"/>
      <c r="G2161" s="74" t="n"/>
      <c r="H2161" s="74" t="n"/>
      <c r="I2161" s="74" t="n"/>
      <c r="J2161" s="77" t="n"/>
      <c r="K2161" s="77" t="n"/>
      <c r="L2161" s="74" t="n"/>
      <c r="M2161" s="74" t="n"/>
      <c r="O2161" s="78">
        <f>IF($A2161="","",YEAR($A2161)*100+MONTH($A2161))</f>
        <v/>
      </c>
      <c r="P2161" s="79">
        <f>IF(OR($F2161="",$D2161=""),"",IF($D2161="Receita",$F2161,IF($D2161="Transferência",0,-$F2161)))</f>
        <v/>
      </c>
    </row>
    <row r="2162">
      <c r="A2162" s="73" t="n"/>
      <c r="B2162" s="74" t="n"/>
      <c r="C2162" s="74" t="n"/>
      <c r="D2162" s="75">
        <f>IF($C2162="","",IFERROR(INDEX(CAT_TIPO,MATCH($C2162,CAT_NOME,0)),"Sem categoria"))</f>
        <v/>
      </c>
      <c r="E2162" s="75">
        <f>IF($C2162="","",IFERROR(INDEX(CAT_GRUPO,MATCH($C2162,CAT_NOME,0)),"Sem categoria"))</f>
        <v/>
      </c>
      <c r="F2162" s="76" t="n"/>
      <c r="G2162" s="74" t="n"/>
      <c r="H2162" s="74" t="n"/>
      <c r="I2162" s="74" t="n"/>
      <c r="J2162" s="77" t="n"/>
      <c r="K2162" s="77" t="n"/>
      <c r="L2162" s="74" t="n"/>
      <c r="M2162" s="74" t="n"/>
      <c r="O2162" s="78">
        <f>IF($A2162="","",YEAR($A2162)*100+MONTH($A2162))</f>
        <v/>
      </c>
      <c r="P2162" s="79">
        <f>IF(OR($F2162="",$D2162=""),"",IF($D2162="Receita",$F2162,IF($D2162="Transferência",0,-$F2162)))</f>
        <v/>
      </c>
    </row>
    <row r="2163">
      <c r="A2163" s="73" t="n"/>
      <c r="B2163" s="74" t="n"/>
      <c r="C2163" s="74" t="n"/>
      <c r="D2163" s="75">
        <f>IF($C2163="","",IFERROR(INDEX(CAT_TIPO,MATCH($C2163,CAT_NOME,0)),"Sem categoria"))</f>
        <v/>
      </c>
      <c r="E2163" s="75">
        <f>IF($C2163="","",IFERROR(INDEX(CAT_GRUPO,MATCH($C2163,CAT_NOME,0)),"Sem categoria"))</f>
        <v/>
      </c>
      <c r="F2163" s="76" t="n"/>
      <c r="G2163" s="74" t="n"/>
      <c r="H2163" s="74" t="n"/>
      <c r="I2163" s="74" t="n"/>
      <c r="J2163" s="77" t="n"/>
      <c r="K2163" s="77" t="n"/>
      <c r="L2163" s="74" t="n"/>
      <c r="M2163" s="74" t="n"/>
      <c r="O2163" s="78">
        <f>IF($A2163="","",YEAR($A2163)*100+MONTH($A2163))</f>
        <v/>
      </c>
      <c r="P2163" s="79">
        <f>IF(OR($F2163="",$D2163=""),"",IF($D2163="Receita",$F2163,IF($D2163="Transferência",0,-$F2163)))</f>
        <v/>
      </c>
    </row>
    <row r="2164">
      <c r="A2164" s="73" t="n"/>
      <c r="B2164" s="74" t="n"/>
      <c r="C2164" s="74" t="n"/>
      <c r="D2164" s="75">
        <f>IF($C2164="","",IFERROR(INDEX(CAT_TIPO,MATCH($C2164,CAT_NOME,0)),"Sem categoria"))</f>
        <v/>
      </c>
      <c r="E2164" s="75">
        <f>IF($C2164="","",IFERROR(INDEX(CAT_GRUPO,MATCH($C2164,CAT_NOME,0)),"Sem categoria"))</f>
        <v/>
      </c>
      <c r="F2164" s="76" t="n"/>
      <c r="G2164" s="74" t="n"/>
      <c r="H2164" s="74" t="n"/>
      <c r="I2164" s="74" t="n"/>
      <c r="J2164" s="77" t="n"/>
      <c r="K2164" s="77" t="n"/>
      <c r="L2164" s="74" t="n"/>
      <c r="M2164" s="74" t="n"/>
      <c r="O2164" s="78">
        <f>IF($A2164="","",YEAR($A2164)*100+MONTH($A2164))</f>
        <v/>
      </c>
      <c r="P2164" s="79">
        <f>IF(OR($F2164="",$D2164=""),"",IF($D2164="Receita",$F2164,IF($D2164="Transferência",0,-$F2164)))</f>
        <v/>
      </c>
    </row>
    <row r="2165">
      <c r="A2165" s="73" t="n"/>
      <c r="B2165" s="74" t="n"/>
      <c r="C2165" s="74" t="n"/>
      <c r="D2165" s="75">
        <f>IF($C2165="","",IFERROR(INDEX(CAT_TIPO,MATCH($C2165,CAT_NOME,0)),"Sem categoria"))</f>
        <v/>
      </c>
      <c r="E2165" s="75">
        <f>IF($C2165="","",IFERROR(INDEX(CAT_GRUPO,MATCH($C2165,CAT_NOME,0)),"Sem categoria"))</f>
        <v/>
      </c>
      <c r="F2165" s="76" t="n"/>
      <c r="G2165" s="74" t="n"/>
      <c r="H2165" s="74" t="n"/>
      <c r="I2165" s="74" t="n"/>
      <c r="J2165" s="77" t="n"/>
      <c r="K2165" s="77" t="n"/>
      <c r="L2165" s="74" t="n"/>
      <c r="M2165" s="74" t="n"/>
      <c r="O2165" s="78">
        <f>IF($A2165="","",YEAR($A2165)*100+MONTH($A2165))</f>
        <v/>
      </c>
      <c r="P2165" s="79">
        <f>IF(OR($F2165="",$D2165=""),"",IF($D2165="Receita",$F2165,IF($D2165="Transferência",0,-$F2165)))</f>
        <v/>
      </c>
    </row>
    <row r="2166">
      <c r="A2166" s="73" t="n"/>
      <c r="B2166" s="74" t="n"/>
      <c r="C2166" s="74" t="n"/>
      <c r="D2166" s="75">
        <f>IF($C2166="","",IFERROR(INDEX(CAT_TIPO,MATCH($C2166,CAT_NOME,0)),"Sem categoria"))</f>
        <v/>
      </c>
      <c r="E2166" s="75">
        <f>IF($C2166="","",IFERROR(INDEX(CAT_GRUPO,MATCH($C2166,CAT_NOME,0)),"Sem categoria"))</f>
        <v/>
      </c>
      <c r="F2166" s="76" t="n"/>
      <c r="G2166" s="74" t="n"/>
      <c r="H2166" s="74" t="n"/>
      <c r="I2166" s="74" t="n"/>
      <c r="J2166" s="77" t="n"/>
      <c r="K2166" s="77" t="n"/>
      <c r="L2166" s="74" t="n"/>
      <c r="M2166" s="74" t="n"/>
      <c r="O2166" s="78">
        <f>IF($A2166="","",YEAR($A2166)*100+MONTH($A2166))</f>
        <v/>
      </c>
      <c r="P2166" s="79">
        <f>IF(OR($F2166="",$D2166=""),"",IF($D2166="Receita",$F2166,IF($D2166="Transferência",0,-$F2166)))</f>
        <v/>
      </c>
    </row>
    <row r="2167">
      <c r="A2167" s="73" t="n"/>
      <c r="B2167" s="74" t="n"/>
      <c r="C2167" s="74" t="n"/>
      <c r="D2167" s="75">
        <f>IF($C2167="","",IFERROR(INDEX(CAT_TIPO,MATCH($C2167,CAT_NOME,0)),"Sem categoria"))</f>
        <v/>
      </c>
      <c r="E2167" s="75">
        <f>IF($C2167="","",IFERROR(INDEX(CAT_GRUPO,MATCH($C2167,CAT_NOME,0)),"Sem categoria"))</f>
        <v/>
      </c>
      <c r="F2167" s="76" t="n"/>
      <c r="G2167" s="74" t="n"/>
      <c r="H2167" s="74" t="n"/>
      <c r="I2167" s="74" t="n"/>
      <c r="J2167" s="77" t="n"/>
      <c r="K2167" s="77" t="n"/>
      <c r="L2167" s="74" t="n"/>
      <c r="M2167" s="74" t="n"/>
      <c r="O2167" s="78">
        <f>IF($A2167="","",YEAR($A2167)*100+MONTH($A2167))</f>
        <v/>
      </c>
      <c r="P2167" s="79">
        <f>IF(OR($F2167="",$D2167=""),"",IF($D2167="Receita",$F2167,IF($D2167="Transferência",0,-$F2167)))</f>
        <v/>
      </c>
    </row>
    <row r="2168">
      <c r="A2168" s="73" t="n"/>
      <c r="B2168" s="74" t="n"/>
      <c r="C2168" s="74" t="n"/>
      <c r="D2168" s="75">
        <f>IF($C2168="","",IFERROR(INDEX(CAT_TIPO,MATCH($C2168,CAT_NOME,0)),"Sem categoria"))</f>
        <v/>
      </c>
      <c r="E2168" s="75">
        <f>IF($C2168="","",IFERROR(INDEX(CAT_GRUPO,MATCH($C2168,CAT_NOME,0)),"Sem categoria"))</f>
        <v/>
      </c>
      <c r="F2168" s="76" t="n"/>
      <c r="G2168" s="74" t="n"/>
      <c r="H2168" s="74" t="n"/>
      <c r="I2168" s="74" t="n"/>
      <c r="J2168" s="77" t="n"/>
      <c r="K2168" s="77" t="n"/>
      <c r="L2168" s="74" t="n"/>
      <c r="M2168" s="74" t="n"/>
      <c r="O2168" s="78">
        <f>IF($A2168="","",YEAR($A2168)*100+MONTH($A2168))</f>
        <v/>
      </c>
      <c r="P2168" s="79">
        <f>IF(OR($F2168="",$D2168=""),"",IF($D2168="Receita",$F2168,IF($D2168="Transferência",0,-$F2168)))</f>
        <v/>
      </c>
    </row>
    <row r="2169">
      <c r="A2169" s="73" t="n"/>
      <c r="B2169" s="74" t="n"/>
      <c r="C2169" s="74" t="n"/>
      <c r="D2169" s="75">
        <f>IF($C2169="","",IFERROR(INDEX(CAT_TIPO,MATCH($C2169,CAT_NOME,0)),"Sem categoria"))</f>
        <v/>
      </c>
      <c r="E2169" s="75">
        <f>IF($C2169="","",IFERROR(INDEX(CAT_GRUPO,MATCH($C2169,CAT_NOME,0)),"Sem categoria"))</f>
        <v/>
      </c>
      <c r="F2169" s="76" t="n"/>
      <c r="G2169" s="74" t="n"/>
      <c r="H2169" s="74" t="n"/>
      <c r="I2169" s="74" t="n"/>
      <c r="J2169" s="77" t="n"/>
      <c r="K2169" s="77" t="n"/>
      <c r="L2169" s="74" t="n"/>
      <c r="M2169" s="74" t="n"/>
      <c r="O2169" s="78">
        <f>IF($A2169="","",YEAR($A2169)*100+MONTH($A2169))</f>
        <v/>
      </c>
      <c r="P2169" s="79">
        <f>IF(OR($F2169="",$D2169=""),"",IF($D2169="Receita",$F2169,IF($D2169="Transferência",0,-$F2169)))</f>
        <v/>
      </c>
    </row>
    <row r="2170">
      <c r="A2170" s="73" t="n"/>
      <c r="B2170" s="74" t="n"/>
      <c r="C2170" s="74" t="n"/>
      <c r="D2170" s="75">
        <f>IF($C2170="","",IFERROR(INDEX(CAT_TIPO,MATCH($C2170,CAT_NOME,0)),"Sem categoria"))</f>
        <v/>
      </c>
      <c r="E2170" s="75">
        <f>IF($C2170="","",IFERROR(INDEX(CAT_GRUPO,MATCH($C2170,CAT_NOME,0)),"Sem categoria"))</f>
        <v/>
      </c>
      <c r="F2170" s="76" t="n"/>
      <c r="G2170" s="74" t="n"/>
      <c r="H2170" s="74" t="n"/>
      <c r="I2170" s="74" t="n"/>
      <c r="J2170" s="77" t="n"/>
      <c r="K2170" s="77" t="n"/>
      <c r="L2170" s="74" t="n"/>
      <c r="M2170" s="74" t="n"/>
      <c r="O2170" s="78">
        <f>IF($A2170="","",YEAR($A2170)*100+MONTH($A2170))</f>
        <v/>
      </c>
      <c r="P2170" s="79">
        <f>IF(OR($F2170="",$D2170=""),"",IF($D2170="Receita",$F2170,IF($D2170="Transferência",0,-$F2170)))</f>
        <v/>
      </c>
    </row>
    <row r="2171">
      <c r="A2171" s="73" t="n"/>
      <c r="B2171" s="74" t="n"/>
      <c r="C2171" s="74" t="n"/>
      <c r="D2171" s="75">
        <f>IF($C2171="","",IFERROR(INDEX(CAT_TIPO,MATCH($C2171,CAT_NOME,0)),"Sem categoria"))</f>
        <v/>
      </c>
      <c r="E2171" s="75">
        <f>IF($C2171="","",IFERROR(INDEX(CAT_GRUPO,MATCH($C2171,CAT_NOME,0)),"Sem categoria"))</f>
        <v/>
      </c>
      <c r="F2171" s="76" t="n"/>
      <c r="G2171" s="74" t="n"/>
      <c r="H2171" s="74" t="n"/>
      <c r="I2171" s="74" t="n"/>
      <c r="J2171" s="77" t="n"/>
      <c r="K2171" s="77" t="n"/>
      <c r="L2171" s="74" t="n"/>
      <c r="M2171" s="74" t="n"/>
      <c r="O2171" s="78">
        <f>IF($A2171="","",YEAR($A2171)*100+MONTH($A2171))</f>
        <v/>
      </c>
      <c r="P2171" s="79">
        <f>IF(OR($F2171="",$D2171=""),"",IF($D2171="Receita",$F2171,IF($D2171="Transferência",0,-$F2171)))</f>
        <v/>
      </c>
    </row>
    <row r="2172">
      <c r="A2172" s="73" t="n"/>
      <c r="B2172" s="74" t="n"/>
      <c r="C2172" s="74" t="n"/>
      <c r="D2172" s="75">
        <f>IF($C2172="","",IFERROR(INDEX(CAT_TIPO,MATCH($C2172,CAT_NOME,0)),"Sem categoria"))</f>
        <v/>
      </c>
      <c r="E2172" s="75">
        <f>IF($C2172="","",IFERROR(INDEX(CAT_GRUPO,MATCH($C2172,CAT_NOME,0)),"Sem categoria"))</f>
        <v/>
      </c>
      <c r="F2172" s="76" t="n"/>
      <c r="G2172" s="74" t="n"/>
      <c r="H2172" s="74" t="n"/>
      <c r="I2172" s="74" t="n"/>
      <c r="J2172" s="77" t="n"/>
      <c r="K2172" s="77" t="n"/>
      <c r="L2172" s="74" t="n"/>
      <c r="M2172" s="74" t="n"/>
      <c r="O2172" s="78">
        <f>IF($A2172="","",YEAR($A2172)*100+MONTH($A2172))</f>
        <v/>
      </c>
      <c r="P2172" s="79">
        <f>IF(OR($F2172="",$D2172=""),"",IF($D2172="Receita",$F2172,IF($D2172="Transferência",0,-$F2172)))</f>
        <v/>
      </c>
    </row>
    <row r="2173">
      <c r="A2173" s="73" t="n"/>
      <c r="B2173" s="74" t="n"/>
      <c r="C2173" s="74" t="n"/>
      <c r="D2173" s="75">
        <f>IF($C2173="","",IFERROR(INDEX(CAT_TIPO,MATCH($C2173,CAT_NOME,0)),"Sem categoria"))</f>
        <v/>
      </c>
      <c r="E2173" s="75">
        <f>IF($C2173="","",IFERROR(INDEX(CAT_GRUPO,MATCH($C2173,CAT_NOME,0)),"Sem categoria"))</f>
        <v/>
      </c>
      <c r="F2173" s="76" t="n"/>
      <c r="G2173" s="74" t="n"/>
      <c r="H2173" s="74" t="n"/>
      <c r="I2173" s="74" t="n"/>
      <c r="J2173" s="77" t="n"/>
      <c r="K2173" s="77" t="n"/>
      <c r="L2173" s="74" t="n"/>
      <c r="M2173" s="74" t="n"/>
      <c r="O2173" s="78">
        <f>IF($A2173="","",YEAR($A2173)*100+MONTH($A2173))</f>
        <v/>
      </c>
      <c r="P2173" s="79">
        <f>IF(OR($F2173="",$D2173=""),"",IF($D2173="Receita",$F2173,IF($D2173="Transferência",0,-$F2173)))</f>
        <v/>
      </c>
    </row>
    <row r="2174">
      <c r="A2174" s="73" t="n"/>
      <c r="B2174" s="74" t="n"/>
      <c r="C2174" s="74" t="n"/>
      <c r="D2174" s="75">
        <f>IF($C2174="","",IFERROR(INDEX(CAT_TIPO,MATCH($C2174,CAT_NOME,0)),"Sem categoria"))</f>
        <v/>
      </c>
      <c r="E2174" s="75">
        <f>IF($C2174="","",IFERROR(INDEX(CAT_GRUPO,MATCH($C2174,CAT_NOME,0)),"Sem categoria"))</f>
        <v/>
      </c>
      <c r="F2174" s="76" t="n"/>
      <c r="G2174" s="74" t="n"/>
      <c r="H2174" s="74" t="n"/>
      <c r="I2174" s="74" t="n"/>
      <c r="J2174" s="77" t="n"/>
      <c r="K2174" s="77" t="n"/>
      <c r="L2174" s="74" t="n"/>
      <c r="M2174" s="74" t="n"/>
      <c r="O2174" s="78">
        <f>IF($A2174="","",YEAR($A2174)*100+MONTH($A2174))</f>
        <v/>
      </c>
      <c r="P2174" s="79">
        <f>IF(OR($F2174="",$D2174=""),"",IF($D2174="Receita",$F2174,IF($D2174="Transferência",0,-$F2174)))</f>
        <v/>
      </c>
    </row>
    <row r="2175">
      <c r="A2175" s="73" t="n"/>
      <c r="B2175" s="74" t="n"/>
      <c r="C2175" s="74" t="n"/>
      <c r="D2175" s="75">
        <f>IF($C2175="","",IFERROR(INDEX(CAT_TIPO,MATCH($C2175,CAT_NOME,0)),"Sem categoria"))</f>
        <v/>
      </c>
      <c r="E2175" s="75">
        <f>IF($C2175="","",IFERROR(INDEX(CAT_GRUPO,MATCH($C2175,CAT_NOME,0)),"Sem categoria"))</f>
        <v/>
      </c>
      <c r="F2175" s="76" t="n"/>
      <c r="G2175" s="74" t="n"/>
      <c r="H2175" s="74" t="n"/>
      <c r="I2175" s="74" t="n"/>
      <c r="J2175" s="77" t="n"/>
      <c r="K2175" s="77" t="n"/>
      <c r="L2175" s="74" t="n"/>
      <c r="M2175" s="74" t="n"/>
      <c r="O2175" s="78">
        <f>IF($A2175="","",YEAR($A2175)*100+MONTH($A2175))</f>
        <v/>
      </c>
      <c r="P2175" s="79">
        <f>IF(OR($F2175="",$D2175=""),"",IF($D2175="Receita",$F2175,IF($D2175="Transferência",0,-$F2175)))</f>
        <v/>
      </c>
    </row>
    <row r="2176">
      <c r="A2176" s="73" t="n"/>
      <c r="B2176" s="74" t="n"/>
      <c r="C2176" s="74" t="n"/>
      <c r="D2176" s="75">
        <f>IF($C2176="","",IFERROR(INDEX(CAT_TIPO,MATCH($C2176,CAT_NOME,0)),"Sem categoria"))</f>
        <v/>
      </c>
      <c r="E2176" s="75">
        <f>IF($C2176="","",IFERROR(INDEX(CAT_GRUPO,MATCH($C2176,CAT_NOME,0)),"Sem categoria"))</f>
        <v/>
      </c>
      <c r="F2176" s="76" t="n"/>
      <c r="G2176" s="74" t="n"/>
      <c r="H2176" s="74" t="n"/>
      <c r="I2176" s="74" t="n"/>
      <c r="J2176" s="77" t="n"/>
      <c r="K2176" s="77" t="n"/>
      <c r="L2176" s="74" t="n"/>
      <c r="M2176" s="74" t="n"/>
      <c r="O2176" s="78">
        <f>IF($A2176="","",YEAR($A2176)*100+MONTH($A2176))</f>
        <v/>
      </c>
      <c r="P2176" s="79">
        <f>IF(OR($F2176="",$D2176=""),"",IF($D2176="Receita",$F2176,IF($D2176="Transferência",0,-$F2176)))</f>
        <v/>
      </c>
    </row>
    <row r="2177">
      <c r="A2177" s="73" t="n"/>
      <c r="B2177" s="74" t="n"/>
      <c r="C2177" s="74" t="n"/>
      <c r="D2177" s="75">
        <f>IF($C2177="","",IFERROR(INDEX(CAT_TIPO,MATCH($C2177,CAT_NOME,0)),"Sem categoria"))</f>
        <v/>
      </c>
      <c r="E2177" s="75">
        <f>IF($C2177="","",IFERROR(INDEX(CAT_GRUPO,MATCH($C2177,CAT_NOME,0)),"Sem categoria"))</f>
        <v/>
      </c>
      <c r="F2177" s="76" t="n"/>
      <c r="G2177" s="74" t="n"/>
      <c r="H2177" s="74" t="n"/>
      <c r="I2177" s="74" t="n"/>
      <c r="J2177" s="77" t="n"/>
      <c r="K2177" s="77" t="n"/>
      <c r="L2177" s="74" t="n"/>
      <c r="M2177" s="74" t="n"/>
      <c r="O2177" s="78">
        <f>IF($A2177="","",YEAR($A2177)*100+MONTH($A2177))</f>
        <v/>
      </c>
      <c r="P2177" s="79">
        <f>IF(OR($F2177="",$D2177=""),"",IF($D2177="Receita",$F2177,IF($D2177="Transferência",0,-$F2177)))</f>
        <v/>
      </c>
    </row>
    <row r="2178">
      <c r="A2178" s="73" t="n"/>
      <c r="B2178" s="74" t="n"/>
      <c r="C2178" s="74" t="n"/>
      <c r="D2178" s="75">
        <f>IF($C2178="","",IFERROR(INDEX(CAT_TIPO,MATCH($C2178,CAT_NOME,0)),"Sem categoria"))</f>
        <v/>
      </c>
      <c r="E2178" s="75">
        <f>IF($C2178="","",IFERROR(INDEX(CAT_GRUPO,MATCH($C2178,CAT_NOME,0)),"Sem categoria"))</f>
        <v/>
      </c>
      <c r="F2178" s="76" t="n"/>
      <c r="G2178" s="74" t="n"/>
      <c r="H2178" s="74" t="n"/>
      <c r="I2178" s="74" t="n"/>
      <c r="J2178" s="77" t="n"/>
      <c r="K2178" s="77" t="n"/>
      <c r="L2178" s="74" t="n"/>
      <c r="M2178" s="74" t="n"/>
      <c r="O2178" s="78">
        <f>IF($A2178="","",YEAR($A2178)*100+MONTH($A2178))</f>
        <v/>
      </c>
      <c r="P2178" s="79">
        <f>IF(OR($F2178="",$D2178=""),"",IF($D2178="Receita",$F2178,IF($D2178="Transferência",0,-$F2178)))</f>
        <v/>
      </c>
    </row>
    <row r="2179">
      <c r="A2179" s="73" t="n"/>
      <c r="B2179" s="74" t="n"/>
      <c r="C2179" s="74" t="n"/>
      <c r="D2179" s="75">
        <f>IF($C2179="","",IFERROR(INDEX(CAT_TIPO,MATCH($C2179,CAT_NOME,0)),"Sem categoria"))</f>
        <v/>
      </c>
      <c r="E2179" s="75">
        <f>IF($C2179="","",IFERROR(INDEX(CAT_GRUPO,MATCH($C2179,CAT_NOME,0)),"Sem categoria"))</f>
        <v/>
      </c>
      <c r="F2179" s="76" t="n"/>
      <c r="G2179" s="74" t="n"/>
      <c r="H2179" s="74" t="n"/>
      <c r="I2179" s="74" t="n"/>
      <c r="J2179" s="77" t="n"/>
      <c r="K2179" s="77" t="n"/>
      <c r="L2179" s="74" t="n"/>
      <c r="M2179" s="74" t="n"/>
      <c r="O2179" s="78">
        <f>IF($A2179="","",YEAR($A2179)*100+MONTH($A2179))</f>
        <v/>
      </c>
      <c r="P2179" s="79">
        <f>IF(OR($F2179="",$D2179=""),"",IF($D2179="Receita",$F2179,IF($D2179="Transferência",0,-$F2179)))</f>
        <v/>
      </c>
    </row>
    <row r="2180">
      <c r="A2180" s="73" t="n"/>
      <c r="B2180" s="74" t="n"/>
      <c r="C2180" s="74" t="n"/>
      <c r="D2180" s="75">
        <f>IF($C2180="","",IFERROR(INDEX(CAT_TIPO,MATCH($C2180,CAT_NOME,0)),"Sem categoria"))</f>
        <v/>
      </c>
      <c r="E2180" s="75">
        <f>IF($C2180="","",IFERROR(INDEX(CAT_GRUPO,MATCH($C2180,CAT_NOME,0)),"Sem categoria"))</f>
        <v/>
      </c>
      <c r="F2180" s="76" t="n"/>
      <c r="G2180" s="74" t="n"/>
      <c r="H2180" s="74" t="n"/>
      <c r="I2180" s="74" t="n"/>
      <c r="J2180" s="77" t="n"/>
      <c r="K2180" s="77" t="n"/>
      <c r="L2180" s="74" t="n"/>
      <c r="M2180" s="74" t="n"/>
      <c r="O2180" s="78">
        <f>IF($A2180="","",YEAR($A2180)*100+MONTH($A2180))</f>
        <v/>
      </c>
      <c r="P2180" s="79">
        <f>IF(OR($F2180="",$D2180=""),"",IF($D2180="Receita",$F2180,IF($D2180="Transferência",0,-$F2180)))</f>
        <v/>
      </c>
    </row>
    <row r="2181">
      <c r="A2181" s="73" t="n"/>
      <c r="B2181" s="74" t="n"/>
      <c r="C2181" s="74" t="n"/>
      <c r="D2181" s="75">
        <f>IF($C2181="","",IFERROR(INDEX(CAT_TIPO,MATCH($C2181,CAT_NOME,0)),"Sem categoria"))</f>
        <v/>
      </c>
      <c r="E2181" s="75">
        <f>IF($C2181="","",IFERROR(INDEX(CAT_GRUPO,MATCH($C2181,CAT_NOME,0)),"Sem categoria"))</f>
        <v/>
      </c>
      <c r="F2181" s="76" t="n"/>
      <c r="G2181" s="74" t="n"/>
      <c r="H2181" s="74" t="n"/>
      <c r="I2181" s="74" t="n"/>
      <c r="J2181" s="77" t="n"/>
      <c r="K2181" s="77" t="n"/>
      <c r="L2181" s="74" t="n"/>
      <c r="M2181" s="74" t="n"/>
      <c r="O2181" s="78">
        <f>IF($A2181="","",YEAR($A2181)*100+MONTH($A2181))</f>
        <v/>
      </c>
      <c r="P2181" s="79">
        <f>IF(OR($F2181="",$D2181=""),"",IF($D2181="Receita",$F2181,IF($D2181="Transferência",0,-$F2181)))</f>
        <v/>
      </c>
    </row>
    <row r="2182">
      <c r="A2182" s="73" t="n"/>
      <c r="B2182" s="74" t="n"/>
      <c r="C2182" s="74" t="n"/>
      <c r="D2182" s="75">
        <f>IF($C2182="","",IFERROR(INDEX(CAT_TIPO,MATCH($C2182,CAT_NOME,0)),"Sem categoria"))</f>
        <v/>
      </c>
      <c r="E2182" s="75">
        <f>IF($C2182="","",IFERROR(INDEX(CAT_GRUPO,MATCH($C2182,CAT_NOME,0)),"Sem categoria"))</f>
        <v/>
      </c>
      <c r="F2182" s="76" t="n"/>
      <c r="G2182" s="74" t="n"/>
      <c r="H2182" s="74" t="n"/>
      <c r="I2182" s="74" t="n"/>
      <c r="J2182" s="77" t="n"/>
      <c r="K2182" s="77" t="n"/>
      <c r="L2182" s="74" t="n"/>
      <c r="M2182" s="74" t="n"/>
      <c r="O2182" s="78">
        <f>IF($A2182="","",YEAR($A2182)*100+MONTH($A2182))</f>
        <v/>
      </c>
      <c r="P2182" s="79">
        <f>IF(OR($F2182="",$D2182=""),"",IF($D2182="Receita",$F2182,IF($D2182="Transferência",0,-$F2182)))</f>
        <v/>
      </c>
    </row>
    <row r="2183">
      <c r="A2183" s="73" t="n"/>
      <c r="B2183" s="74" t="n"/>
      <c r="C2183" s="74" t="n"/>
      <c r="D2183" s="75">
        <f>IF($C2183="","",IFERROR(INDEX(CAT_TIPO,MATCH($C2183,CAT_NOME,0)),"Sem categoria"))</f>
        <v/>
      </c>
      <c r="E2183" s="75">
        <f>IF($C2183="","",IFERROR(INDEX(CAT_GRUPO,MATCH($C2183,CAT_NOME,0)),"Sem categoria"))</f>
        <v/>
      </c>
      <c r="F2183" s="76" t="n"/>
      <c r="G2183" s="74" t="n"/>
      <c r="H2183" s="74" t="n"/>
      <c r="I2183" s="74" t="n"/>
      <c r="J2183" s="77" t="n"/>
      <c r="K2183" s="77" t="n"/>
      <c r="L2183" s="74" t="n"/>
      <c r="M2183" s="74" t="n"/>
      <c r="O2183" s="78">
        <f>IF($A2183="","",YEAR($A2183)*100+MONTH($A2183))</f>
        <v/>
      </c>
      <c r="P2183" s="79">
        <f>IF(OR($F2183="",$D2183=""),"",IF($D2183="Receita",$F2183,IF($D2183="Transferência",0,-$F2183)))</f>
        <v/>
      </c>
    </row>
    <row r="2184">
      <c r="A2184" s="73" t="n"/>
      <c r="B2184" s="74" t="n"/>
      <c r="C2184" s="74" t="n"/>
      <c r="D2184" s="75">
        <f>IF($C2184="","",IFERROR(INDEX(CAT_TIPO,MATCH($C2184,CAT_NOME,0)),"Sem categoria"))</f>
        <v/>
      </c>
      <c r="E2184" s="75">
        <f>IF($C2184="","",IFERROR(INDEX(CAT_GRUPO,MATCH($C2184,CAT_NOME,0)),"Sem categoria"))</f>
        <v/>
      </c>
      <c r="F2184" s="76" t="n"/>
      <c r="G2184" s="74" t="n"/>
      <c r="H2184" s="74" t="n"/>
      <c r="I2184" s="74" t="n"/>
      <c r="J2184" s="77" t="n"/>
      <c r="K2184" s="77" t="n"/>
      <c r="L2184" s="74" t="n"/>
      <c r="M2184" s="74" t="n"/>
      <c r="O2184" s="78">
        <f>IF($A2184="","",YEAR($A2184)*100+MONTH($A2184))</f>
        <v/>
      </c>
      <c r="P2184" s="79">
        <f>IF(OR($F2184="",$D2184=""),"",IF($D2184="Receita",$F2184,IF($D2184="Transferência",0,-$F2184)))</f>
        <v/>
      </c>
    </row>
    <row r="2185">
      <c r="A2185" s="73" t="n"/>
      <c r="B2185" s="74" t="n"/>
      <c r="C2185" s="74" t="n"/>
      <c r="D2185" s="75">
        <f>IF($C2185="","",IFERROR(INDEX(CAT_TIPO,MATCH($C2185,CAT_NOME,0)),"Sem categoria"))</f>
        <v/>
      </c>
      <c r="E2185" s="75">
        <f>IF($C2185="","",IFERROR(INDEX(CAT_GRUPO,MATCH($C2185,CAT_NOME,0)),"Sem categoria"))</f>
        <v/>
      </c>
      <c r="F2185" s="76" t="n"/>
      <c r="G2185" s="74" t="n"/>
      <c r="H2185" s="74" t="n"/>
      <c r="I2185" s="74" t="n"/>
      <c r="J2185" s="77" t="n"/>
      <c r="K2185" s="77" t="n"/>
      <c r="L2185" s="74" t="n"/>
      <c r="M2185" s="74" t="n"/>
      <c r="O2185" s="78">
        <f>IF($A2185="","",YEAR($A2185)*100+MONTH($A2185))</f>
        <v/>
      </c>
      <c r="P2185" s="79">
        <f>IF(OR($F2185="",$D2185=""),"",IF($D2185="Receita",$F2185,IF($D2185="Transferência",0,-$F2185)))</f>
        <v/>
      </c>
    </row>
    <row r="2186">
      <c r="A2186" s="73" t="n"/>
      <c r="B2186" s="74" t="n"/>
      <c r="C2186" s="74" t="n"/>
      <c r="D2186" s="75">
        <f>IF($C2186="","",IFERROR(INDEX(CAT_TIPO,MATCH($C2186,CAT_NOME,0)),"Sem categoria"))</f>
        <v/>
      </c>
      <c r="E2186" s="75">
        <f>IF($C2186="","",IFERROR(INDEX(CAT_GRUPO,MATCH($C2186,CAT_NOME,0)),"Sem categoria"))</f>
        <v/>
      </c>
      <c r="F2186" s="76" t="n"/>
      <c r="G2186" s="74" t="n"/>
      <c r="H2186" s="74" t="n"/>
      <c r="I2186" s="74" t="n"/>
      <c r="J2186" s="77" t="n"/>
      <c r="K2186" s="77" t="n"/>
      <c r="L2186" s="74" t="n"/>
      <c r="M2186" s="74" t="n"/>
      <c r="O2186" s="78">
        <f>IF($A2186="","",YEAR($A2186)*100+MONTH($A2186))</f>
        <v/>
      </c>
      <c r="P2186" s="79">
        <f>IF(OR($F2186="",$D2186=""),"",IF($D2186="Receita",$F2186,IF($D2186="Transferência",0,-$F2186)))</f>
        <v/>
      </c>
    </row>
    <row r="2187">
      <c r="A2187" s="73" t="n"/>
      <c r="B2187" s="74" t="n"/>
      <c r="C2187" s="74" t="n"/>
      <c r="D2187" s="75">
        <f>IF($C2187="","",IFERROR(INDEX(CAT_TIPO,MATCH($C2187,CAT_NOME,0)),"Sem categoria"))</f>
        <v/>
      </c>
      <c r="E2187" s="75">
        <f>IF($C2187="","",IFERROR(INDEX(CAT_GRUPO,MATCH($C2187,CAT_NOME,0)),"Sem categoria"))</f>
        <v/>
      </c>
      <c r="F2187" s="76" t="n"/>
      <c r="G2187" s="74" t="n"/>
      <c r="H2187" s="74" t="n"/>
      <c r="I2187" s="74" t="n"/>
      <c r="J2187" s="77" t="n"/>
      <c r="K2187" s="77" t="n"/>
      <c r="L2187" s="74" t="n"/>
      <c r="M2187" s="74" t="n"/>
      <c r="O2187" s="78">
        <f>IF($A2187="","",YEAR($A2187)*100+MONTH($A2187))</f>
        <v/>
      </c>
      <c r="P2187" s="79">
        <f>IF(OR($F2187="",$D2187=""),"",IF($D2187="Receita",$F2187,IF($D2187="Transferência",0,-$F2187)))</f>
        <v/>
      </c>
    </row>
    <row r="2188">
      <c r="A2188" s="73" t="n"/>
      <c r="B2188" s="74" t="n"/>
      <c r="C2188" s="74" t="n"/>
      <c r="D2188" s="75">
        <f>IF($C2188="","",IFERROR(INDEX(CAT_TIPO,MATCH($C2188,CAT_NOME,0)),"Sem categoria"))</f>
        <v/>
      </c>
      <c r="E2188" s="75">
        <f>IF($C2188="","",IFERROR(INDEX(CAT_GRUPO,MATCH($C2188,CAT_NOME,0)),"Sem categoria"))</f>
        <v/>
      </c>
      <c r="F2188" s="76" t="n"/>
      <c r="G2188" s="74" t="n"/>
      <c r="H2188" s="74" t="n"/>
      <c r="I2188" s="74" t="n"/>
      <c r="J2188" s="77" t="n"/>
      <c r="K2188" s="77" t="n"/>
      <c r="L2188" s="74" t="n"/>
      <c r="M2188" s="74" t="n"/>
      <c r="O2188" s="78">
        <f>IF($A2188="","",YEAR($A2188)*100+MONTH($A2188))</f>
        <v/>
      </c>
      <c r="P2188" s="79">
        <f>IF(OR($F2188="",$D2188=""),"",IF($D2188="Receita",$F2188,IF($D2188="Transferência",0,-$F2188)))</f>
        <v/>
      </c>
    </row>
    <row r="2189">
      <c r="A2189" s="73" t="n"/>
      <c r="B2189" s="74" t="n"/>
      <c r="C2189" s="74" t="n"/>
      <c r="D2189" s="75">
        <f>IF($C2189="","",IFERROR(INDEX(CAT_TIPO,MATCH($C2189,CAT_NOME,0)),"Sem categoria"))</f>
        <v/>
      </c>
      <c r="E2189" s="75">
        <f>IF($C2189="","",IFERROR(INDEX(CAT_GRUPO,MATCH($C2189,CAT_NOME,0)),"Sem categoria"))</f>
        <v/>
      </c>
      <c r="F2189" s="76" t="n"/>
      <c r="G2189" s="74" t="n"/>
      <c r="H2189" s="74" t="n"/>
      <c r="I2189" s="74" t="n"/>
      <c r="J2189" s="77" t="n"/>
      <c r="K2189" s="77" t="n"/>
      <c r="L2189" s="74" t="n"/>
      <c r="M2189" s="74" t="n"/>
      <c r="O2189" s="78">
        <f>IF($A2189="","",YEAR($A2189)*100+MONTH($A2189))</f>
        <v/>
      </c>
      <c r="P2189" s="79">
        <f>IF(OR($F2189="",$D2189=""),"",IF($D2189="Receita",$F2189,IF($D2189="Transferência",0,-$F2189)))</f>
        <v/>
      </c>
    </row>
    <row r="2190">
      <c r="A2190" s="73" t="n"/>
      <c r="B2190" s="74" t="n"/>
      <c r="C2190" s="74" t="n"/>
      <c r="D2190" s="75">
        <f>IF($C2190="","",IFERROR(INDEX(CAT_TIPO,MATCH($C2190,CAT_NOME,0)),"Sem categoria"))</f>
        <v/>
      </c>
      <c r="E2190" s="75">
        <f>IF($C2190="","",IFERROR(INDEX(CAT_GRUPO,MATCH($C2190,CAT_NOME,0)),"Sem categoria"))</f>
        <v/>
      </c>
      <c r="F2190" s="76" t="n"/>
      <c r="G2190" s="74" t="n"/>
      <c r="H2190" s="74" t="n"/>
      <c r="I2190" s="74" t="n"/>
      <c r="J2190" s="77" t="n"/>
      <c r="K2190" s="77" t="n"/>
      <c r="L2190" s="74" t="n"/>
      <c r="M2190" s="74" t="n"/>
      <c r="O2190" s="78">
        <f>IF($A2190="","",YEAR($A2190)*100+MONTH($A2190))</f>
        <v/>
      </c>
      <c r="P2190" s="79">
        <f>IF(OR($F2190="",$D2190=""),"",IF($D2190="Receita",$F2190,IF($D2190="Transferência",0,-$F2190)))</f>
        <v/>
      </c>
    </row>
    <row r="2191">
      <c r="A2191" s="73" t="n"/>
      <c r="B2191" s="74" t="n"/>
      <c r="C2191" s="74" t="n"/>
      <c r="D2191" s="75">
        <f>IF($C2191="","",IFERROR(INDEX(CAT_TIPO,MATCH($C2191,CAT_NOME,0)),"Sem categoria"))</f>
        <v/>
      </c>
      <c r="E2191" s="75">
        <f>IF($C2191="","",IFERROR(INDEX(CAT_GRUPO,MATCH($C2191,CAT_NOME,0)),"Sem categoria"))</f>
        <v/>
      </c>
      <c r="F2191" s="76" t="n"/>
      <c r="G2191" s="74" t="n"/>
      <c r="H2191" s="74" t="n"/>
      <c r="I2191" s="74" t="n"/>
      <c r="J2191" s="77" t="n"/>
      <c r="K2191" s="77" t="n"/>
      <c r="L2191" s="74" t="n"/>
      <c r="M2191" s="74" t="n"/>
      <c r="O2191" s="78">
        <f>IF($A2191="","",YEAR($A2191)*100+MONTH($A2191))</f>
        <v/>
      </c>
      <c r="P2191" s="79">
        <f>IF(OR($F2191="",$D2191=""),"",IF($D2191="Receita",$F2191,IF($D2191="Transferência",0,-$F2191)))</f>
        <v/>
      </c>
    </row>
    <row r="2192">
      <c r="A2192" s="73" t="n"/>
      <c r="B2192" s="74" t="n"/>
      <c r="C2192" s="74" t="n"/>
      <c r="D2192" s="75">
        <f>IF($C2192="","",IFERROR(INDEX(CAT_TIPO,MATCH($C2192,CAT_NOME,0)),"Sem categoria"))</f>
        <v/>
      </c>
      <c r="E2192" s="75">
        <f>IF($C2192="","",IFERROR(INDEX(CAT_GRUPO,MATCH($C2192,CAT_NOME,0)),"Sem categoria"))</f>
        <v/>
      </c>
      <c r="F2192" s="76" t="n"/>
      <c r="G2192" s="74" t="n"/>
      <c r="H2192" s="74" t="n"/>
      <c r="I2192" s="74" t="n"/>
      <c r="J2192" s="77" t="n"/>
      <c r="K2192" s="77" t="n"/>
      <c r="L2192" s="74" t="n"/>
      <c r="M2192" s="74" t="n"/>
      <c r="O2192" s="78">
        <f>IF($A2192="","",YEAR($A2192)*100+MONTH($A2192))</f>
        <v/>
      </c>
      <c r="P2192" s="79">
        <f>IF(OR($F2192="",$D2192=""),"",IF($D2192="Receita",$F2192,IF($D2192="Transferência",0,-$F2192)))</f>
        <v/>
      </c>
    </row>
    <row r="2193">
      <c r="A2193" s="73" t="n"/>
      <c r="B2193" s="74" t="n"/>
      <c r="C2193" s="74" t="n"/>
      <c r="D2193" s="75">
        <f>IF($C2193="","",IFERROR(INDEX(CAT_TIPO,MATCH($C2193,CAT_NOME,0)),"Sem categoria"))</f>
        <v/>
      </c>
      <c r="E2193" s="75">
        <f>IF($C2193="","",IFERROR(INDEX(CAT_GRUPO,MATCH($C2193,CAT_NOME,0)),"Sem categoria"))</f>
        <v/>
      </c>
      <c r="F2193" s="76" t="n"/>
      <c r="G2193" s="74" t="n"/>
      <c r="H2193" s="74" t="n"/>
      <c r="I2193" s="74" t="n"/>
      <c r="J2193" s="77" t="n"/>
      <c r="K2193" s="77" t="n"/>
      <c r="L2193" s="74" t="n"/>
      <c r="M2193" s="74" t="n"/>
      <c r="O2193" s="78">
        <f>IF($A2193="","",YEAR($A2193)*100+MONTH($A2193))</f>
        <v/>
      </c>
      <c r="P2193" s="79">
        <f>IF(OR($F2193="",$D2193=""),"",IF($D2193="Receita",$F2193,IF($D2193="Transferência",0,-$F2193)))</f>
        <v/>
      </c>
    </row>
    <row r="2194">
      <c r="A2194" s="73" t="n"/>
      <c r="B2194" s="74" t="n"/>
      <c r="C2194" s="74" t="n"/>
      <c r="D2194" s="75">
        <f>IF($C2194="","",IFERROR(INDEX(CAT_TIPO,MATCH($C2194,CAT_NOME,0)),"Sem categoria"))</f>
        <v/>
      </c>
      <c r="E2194" s="75">
        <f>IF($C2194="","",IFERROR(INDEX(CAT_GRUPO,MATCH($C2194,CAT_NOME,0)),"Sem categoria"))</f>
        <v/>
      </c>
      <c r="F2194" s="76" t="n"/>
      <c r="G2194" s="74" t="n"/>
      <c r="H2194" s="74" t="n"/>
      <c r="I2194" s="74" t="n"/>
      <c r="J2194" s="77" t="n"/>
      <c r="K2194" s="77" t="n"/>
      <c r="L2194" s="74" t="n"/>
      <c r="M2194" s="74" t="n"/>
      <c r="O2194" s="78">
        <f>IF($A2194="","",YEAR($A2194)*100+MONTH($A2194))</f>
        <v/>
      </c>
      <c r="P2194" s="79">
        <f>IF(OR($F2194="",$D2194=""),"",IF($D2194="Receita",$F2194,IF($D2194="Transferência",0,-$F2194)))</f>
        <v/>
      </c>
    </row>
    <row r="2195">
      <c r="A2195" s="73" t="n"/>
      <c r="B2195" s="74" t="n"/>
      <c r="C2195" s="74" t="n"/>
      <c r="D2195" s="75">
        <f>IF($C2195="","",IFERROR(INDEX(CAT_TIPO,MATCH($C2195,CAT_NOME,0)),"Sem categoria"))</f>
        <v/>
      </c>
      <c r="E2195" s="75">
        <f>IF($C2195="","",IFERROR(INDEX(CAT_GRUPO,MATCH($C2195,CAT_NOME,0)),"Sem categoria"))</f>
        <v/>
      </c>
      <c r="F2195" s="76" t="n"/>
      <c r="G2195" s="74" t="n"/>
      <c r="H2195" s="74" t="n"/>
      <c r="I2195" s="74" t="n"/>
      <c r="J2195" s="77" t="n"/>
      <c r="K2195" s="77" t="n"/>
      <c r="L2195" s="74" t="n"/>
      <c r="M2195" s="74" t="n"/>
      <c r="O2195" s="78">
        <f>IF($A2195="","",YEAR($A2195)*100+MONTH($A2195))</f>
        <v/>
      </c>
      <c r="P2195" s="79">
        <f>IF(OR($F2195="",$D2195=""),"",IF($D2195="Receita",$F2195,IF($D2195="Transferência",0,-$F2195)))</f>
        <v/>
      </c>
    </row>
    <row r="2196">
      <c r="A2196" s="73" t="n"/>
      <c r="B2196" s="74" t="n"/>
      <c r="C2196" s="74" t="n"/>
      <c r="D2196" s="75">
        <f>IF($C2196="","",IFERROR(INDEX(CAT_TIPO,MATCH($C2196,CAT_NOME,0)),"Sem categoria"))</f>
        <v/>
      </c>
      <c r="E2196" s="75">
        <f>IF($C2196="","",IFERROR(INDEX(CAT_GRUPO,MATCH($C2196,CAT_NOME,0)),"Sem categoria"))</f>
        <v/>
      </c>
      <c r="F2196" s="76" t="n"/>
      <c r="G2196" s="74" t="n"/>
      <c r="H2196" s="74" t="n"/>
      <c r="I2196" s="74" t="n"/>
      <c r="J2196" s="77" t="n"/>
      <c r="K2196" s="77" t="n"/>
      <c r="L2196" s="74" t="n"/>
      <c r="M2196" s="74" t="n"/>
      <c r="O2196" s="78">
        <f>IF($A2196="","",YEAR($A2196)*100+MONTH($A2196))</f>
        <v/>
      </c>
      <c r="P2196" s="79">
        <f>IF(OR($F2196="",$D2196=""),"",IF($D2196="Receita",$F2196,IF($D2196="Transferência",0,-$F2196)))</f>
        <v/>
      </c>
    </row>
    <row r="2197">
      <c r="A2197" s="73" t="n"/>
      <c r="B2197" s="74" t="n"/>
      <c r="C2197" s="74" t="n"/>
      <c r="D2197" s="75">
        <f>IF($C2197="","",IFERROR(INDEX(CAT_TIPO,MATCH($C2197,CAT_NOME,0)),"Sem categoria"))</f>
        <v/>
      </c>
      <c r="E2197" s="75">
        <f>IF($C2197="","",IFERROR(INDEX(CAT_GRUPO,MATCH($C2197,CAT_NOME,0)),"Sem categoria"))</f>
        <v/>
      </c>
      <c r="F2197" s="76" t="n"/>
      <c r="G2197" s="74" t="n"/>
      <c r="H2197" s="74" t="n"/>
      <c r="I2197" s="74" t="n"/>
      <c r="J2197" s="77" t="n"/>
      <c r="K2197" s="77" t="n"/>
      <c r="L2197" s="74" t="n"/>
      <c r="M2197" s="74" t="n"/>
      <c r="O2197" s="78">
        <f>IF($A2197="","",YEAR($A2197)*100+MONTH($A2197))</f>
        <v/>
      </c>
      <c r="P2197" s="79">
        <f>IF(OR($F2197="",$D2197=""),"",IF($D2197="Receita",$F2197,IF($D2197="Transferência",0,-$F2197)))</f>
        <v/>
      </c>
    </row>
    <row r="2198">
      <c r="A2198" s="73" t="n"/>
      <c r="B2198" s="74" t="n"/>
      <c r="C2198" s="74" t="n"/>
      <c r="D2198" s="75">
        <f>IF($C2198="","",IFERROR(INDEX(CAT_TIPO,MATCH($C2198,CAT_NOME,0)),"Sem categoria"))</f>
        <v/>
      </c>
      <c r="E2198" s="75">
        <f>IF($C2198="","",IFERROR(INDEX(CAT_GRUPO,MATCH($C2198,CAT_NOME,0)),"Sem categoria"))</f>
        <v/>
      </c>
      <c r="F2198" s="76" t="n"/>
      <c r="G2198" s="74" t="n"/>
      <c r="H2198" s="74" t="n"/>
      <c r="I2198" s="74" t="n"/>
      <c r="J2198" s="77" t="n"/>
      <c r="K2198" s="77" t="n"/>
      <c r="L2198" s="74" t="n"/>
      <c r="M2198" s="74" t="n"/>
      <c r="O2198" s="78">
        <f>IF($A2198="","",YEAR($A2198)*100+MONTH($A2198))</f>
        <v/>
      </c>
      <c r="P2198" s="79">
        <f>IF(OR($F2198="",$D2198=""),"",IF($D2198="Receita",$F2198,IF($D2198="Transferência",0,-$F2198)))</f>
        <v/>
      </c>
    </row>
    <row r="2199">
      <c r="A2199" s="73" t="n"/>
      <c r="B2199" s="74" t="n"/>
      <c r="C2199" s="74" t="n"/>
      <c r="D2199" s="75">
        <f>IF($C2199="","",IFERROR(INDEX(CAT_TIPO,MATCH($C2199,CAT_NOME,0)),"Sem categoria"))</f>
        <v/>
      </c>
      <c r="E2199" s="75">
        <f>IF($C2199="","",IFERROR(INDEX(CAT_GRUPO,MATCH($C2199,CAT_NOME,0)),"Sem categoria"))</f>
        <v/>
      </c>
      <c r="F2199" s="76" t="n"/>
      <c r="G2199" s="74" t="n"/>
      <c r="H2199" s="74" t="n"/>
      <c r="I2199" s="74" t="n"/>
      <c r="J2199" s="77" t="n"/>
      <c r="K2199" s="77" t="n"/>
      <c r="L2199" s="74" t="n"/>
      <c r="M2199" s="74" t="n"/>
      <c r="O2199" s="78">
        <f>IF($A2199="","",YEAR($A2199)*100+MONTH($A2199))</f>
        <v/>
      </c>
      <c r="P2199" s="79">
        <f>IF(OR($F2199="",$D2199=""),"",IF($D2199="Receita",$F2199,IF($D2199="Transferência",0,-$F2199)))</f>
        <v/>
      </c>
    </row>
    <row r="2200">
      <c r="A2200" s="73" t="n"/>
      <c r="B2200" s="74" t="n"/>
      <c r="C2200" s="74" t="n"/>
      <c r="D2200" s="75">
        <f>IF($C2200="","",IFERROR(INDEX(CAT_TIPO,MATCH($C2200,CAT_NOME,0)),"Sem categoria"))</f>
        <v/>
      </c>
      <c r="E2200" s="75">
        <f>IF($C2200="","",IFERROR(INDEX(CAT_GRUPO,MATCH($C2200,CAT_NOME,0)),"Sem categoria"))</f>
        <v/>
      </c>
      <c r="F2200" s="76" t="n"/>
      <c r="G2200" s="74" t="n"/>
      <c r="H2200" s="74" t="n"/>
      <c r="I2200" s="74" t="n"/>
      <c r="J2200" s="77" t="n"/>
      <c r="K2200" s="77" t="n"/>
      <c r="L2200" s="74" t="n"/>
      <c r="M2200" s="74" t="n"/>
      <c r="O2200" s="78">
        <f>IF($A2200="","",YEAR($A2200)*100+MONTH($A2200))</f>
        <v/>
      </c>
      <c r="P2200" s="79">
        <f>IF(OR($F2200="",$D2200=""),"",IF($D2200="Receita",$F2200,IF($D2200="Transferência",0,-$F2200)))</f>
        <v/>
      </c>
    </row>
    <row r="2201">
      <c r="A2201" s="73" t="n"/>
      <c r="B2201" s="74" t="n"/>
      <c r="C2201" s="74" t="n"/>
      <c r="D2201" s="75">
        <f>IF($C2201="","",IFERROR(INDEX(CAT_TIPO,MATCH($C2201,CAT_NOME,0)),"Sem categoria"))</f>
        <v/>
      </c>
      <c r="E2201" s="75">
        <f>IF($C2201="","",IFERROR(INDEX(CAT_GRUPO,MATCH($C2201,CAT_NOME,0)),"Sem categoria"))</f>
        <v/>
      </c>
      <c r="F2201" s="76" t="n"/>
      <c r="G2201" s="74" t="n"/>
      <c r="H2201" s="74" t="n"/>
      <c r="I2201" s="74" t="n"/>
      <c r="J2201" s="77" t="n"/>
      <c r="K2201" s="77" t="n"/>
      <c r="L2201" s="74" t="n"/>
      <c r="M2201" s="74" t="n"/>
      <c r="O2201" s="78">
        <f>IF($A2201="","",YEAR($A2201)*100+MONTH($A2201))</f>
        <v/>
      </c>
      <c r="P2201" s="79">
        <f>IF(OR($F2201="",$D2201=""),"",IF($D2201="Receita",$F2201,IF($D2201="Transferência",0,-$F2201)))</f>
        <v/>
      </c>
    </row>
    <row r="2202">
      <c r="A2202" s="73" t="n"/>
      <c r="B2202" s="74" t="n"/>
      <c r="C2202" s="74" t="n"/>
      <c r="D2202" s="75">
        <f>IF($C2202="","",IFERROR(INDEX(CAT_TIPO,MATCH($C2202,CAT_NOME,0)),"Sem categoria"))</f>
        <v/>
      </c>
      <c r="E2202" s="75">
        <f>IF($C2202="","",IFERROR(INDEX(CAT_GRUPO,MATCH($C2202,CAT_NOME,0)),"Sem categoria"))</f>
        <v/>
      </c>
      <c r="F2202" s="76" t="n"/>
      <c r="G2202" s="74" t="n"/>
      <c r="H2202" s="74" t="n"/>
      <c r="I2202" s="74" t="n"/>
      <c r="J2202" s="77" t="n"/>
      <c r="K2202" s="77" t="n"/>
      <c r="L2202" s="74" t="n"/>
      <c r="M2202" s="74" t="n"/>
      <c r="O2202" s="78">
        <f>IF($A2202="","",YEAR($A2202)*100+MONTH($A2202))</f>
        <v/>
      </c>
      <c r="P2202" s="79">
        <f>IF(OR($F2202="",$D2202=""),"",IF($D2202="Receita",$F2202,IF($D2202="Transferência",0,-$F2202)))</f>
        <v/>
      </c>
    </row>
    <row r="2203">
      <c r="A2203" s="73" t="n"/>
      <c r="B2203" s="74" t="n"/>
      <c r="C2203" s="74" t="n"/>
      <c r="D2203" s="75">
        <f>IF($C2203="","",IFERROR(INDEX(CAT_TIPO,MATCH($C2203,CAT_NOME,0)),"Sem categoria"))</f>
        <v/>
      </c>
      <c r="E2203" s="75">
        <f>IF($C2203="","",IFERROR(INDEX(CAT_GRUPO,MATCH($C2203,CAT_NOME,0)),"Sem categoria"))</f>
        <v/>
      </c>
      <c r="F2203" s="76" t="n"/>
      <c r="G2203" s="74" t="n"/>
      <c r="H2203" s="74" t="n"/>
      <c r="I2203" s="74" t="n"/>
      <c r="J2203" s="77" t="n"/>
      <c r="K2203" s="77" t="n"/>
      <c r="L2203" s="74" t="n"/>
      <c r="M2203" s="74" t="n"/>
      <c r="O2203" s="78">
        <f>IF($A2203="","",YEAR($A2203)*100+MONTH($A2203))</f>
        <v/>
      </c>
      <c r="P2203" s="79">
        <f>IF(OR($F2203="",$D2203=""),"",IF($D2203="Receita",$F2203,IF($D2203="Transferência",0,-$F2203)))</f>
        <v/>
      </c>
    </row>
    <row r="2204">
      <c r="A2204" s="73" t="n"/>
      <c r="B2204" s="74" t="n"/>
      <c r="C2204" s="74" t="n"/>
      <c r="D2204" s="75">
        <f>IF($C2204="","",IFERROR(INDEX(CAT_TIPO,MATCH($C2204,CAT_NOME,0)),"Sem categoria"))</f>
        <v/>
      </c>
      <c r="E2204" s="75">
        <f>IF($C2204="","",IFERROR(INDEX(CAT_GRUPO,MATCH($C2204,CAT_NOME,0)),"Sem categoria"))</f>
        <v/>
      </c>
      <c r="F2204" s="76" t="n"/>
      <c r="G2204" s="74" t="n"/>
      <c r="H2204" s="74" t="n"/>
      <c r="I2204" s="74" t="n"/>
      <c r="J2204" s="77" t="n"/>
      <c r="K2204" s="77" t="n"/>
      <c r="L2204" s="74" t="n"/>
      <c r="M2204" s="74" t="n"/>
      <c r="O2204" s="78">
        <f>IF($A2204="","",YEAR($A2204)*100+MONTH($A2204))</f>
        <v/>
      </c>
      <c r="P2204" s="79">
        <f>IF(OR($F2204="",$D2204=""),"",IF($D2204="Receita",$F2204,IF($D2204="Transferência",0,-$F2204)))</f>
        <v/>
      </c>
    </row>
    <row r="2205">
      <c r="A2205" s="73" t="n"/>
      <c r="B2205" s="74" t="n"/>
      <c r="C2205" s="74" t="n"/>
      <c r="D2205" s="75">
        <f>IF($C2205="","",IFERROR(INDEX(CAT_TIPO,MATCH($C2205,CAT_NOME,0)),"Sem categoria"))</f>
        <v/>
      </c>
      <c r="E2205" s="75">
        <f>IF($C2205="","",IFERROR(INDEX(CAT_GRUPO,MATCH($C2205,CAT_NOME,0)),"Sem categoria"))</f>
        <v/>
      </c>
      <c r="F2205" s="76" t="n"/>
      <c r="G2205" s="74" t="n"/>
      <c r="H2205" s="74" t="n"/>
      <c r="I2205" s="74" t="n"/>
      <c r="J2205" s="77" t="n"/>
      <c r="K2205" s="77" t="n"/>
      <c r="L2205" s="74" t="n"/>
      <c r="M2205" s="74" t="n"/>
      <c r="O2205" s="78">
        <f>IF($A2205="","",YEAR($A2205)*100+MONTH($A2205))</f>
        <v/>
      </c>
      <c r="P2205" s="79">
        <f>IF(OR($F2205="",$D2205=""),"",IF($D2205="Receita",$F2205,IF($D2205="Transferência",0,-$F2205)))</f>
        <v/>
      </c>
    </row>
    <row r="2206">
      <c r="A2206" s="73" t="n"/>
      <c r="B2206" s="74" t="n"/>
      <c r="C2206" s="74" t="n"/>
      <c r="D2206" s="75">
        <f>IF($C2206="","",IFERROR(INDEX(CAT_TIPO,MATCH($C2206,CAT_NOME,0)),"Sem categoria"))</f>
        <v/>
      </c>
      <c r="E2206" s="75">
        <f>IF($C2206="","",IFERROR(INDEX(CAT_GRUPO,MATCH($C2206,CAT_NOME,0)),"Sem categoria"))</f>
        <v/>
      </c>
      <c r="F2206" s="76" t="n"/>
      <c r="G2206" s="74" t="n"/>
      <c r="H2206" s="74" t="n"/>
      <c r="I2206" s="74" t="n"/>
      <c r="J2206" s="77" t="n"/>
      <c r="K2206" s="77" t="n"/>
      <c r="L2206" s="74" t="n"/>
      <c r="M2206" s="74" t="n"/>
      <c r="O2206" s="78">
        <f>IF($A2206="","",YEAR($A2206)*100+MONTH($A2206))</f>
        <v/>
      </c>
      <c r="P2206" s="79">
        <f>IF(OR($F2206="",$D2206=""),"",IF($D2206="Receita",$F2206,IF($D2206="Transferência",0,-$F2206)))</f>
        <v/>
      </c>
    </row>
    <row r="2207">
      <c r="A2207" s="73" t="n"/>
      <c r="B2207" s="74" t="n"/>
      <c r="C2207" s="74" t="n"/>
      <c r="D2207" s="75">
        <f>IF($C2207="","",IFERROR(INDEX(CAT_TIPO,MATCH($C2207,CAT_NOME,0)),"Sem categoria"))</f>
        <v/>
      </c>
      <c r="E2207" s="75">
        <f>IF($C2207="","",IFERROR(INDEX(CAT_GRUPO,MATCH($C2207,CAT_NOME,0)),"Sem categoria"))</f>
        <v/>
      </c>
      <c r="F2207" s="76" t="n"/>
      <c r="G2207" s="74" t="n"/>
      <c r="H2207" s="74" t="n"/>
      <c r="I2207" s="74" t="n"/>
      <c r="J2207" s="77" t="n"/>
      <c r="K2207" s="77" t="n"/>
      <c r="L2207" s="74" t="n"/>
      <c r="M2207" s="74" t="n"/>
      <c r="O2207" s="78">
        <f>IF($A2207="","",YEAR($A2207)*100+MONTH($A2207))</f>
        <v/>
      </c>
      <c r="P2207" s="79">
        <f>IF(OR($F2207="",$D2207=""),"",IF($D2207="Receita",$F2207,IF($D2207="Transferência",0,-$F2207)))</f>
        <v/>
      </c>
    </row>
    <row r="2208">
      <c r="A2208" s="73" t="n"/>
      <c r="B2208" s="74" t="n"/>
      <c r="C2208" s="74" t="n"/>
      <c r="D2208" s="75">
        <f>IF($C2208="","",IFERROR(INDEX(CAT_TIPO,MATCH($C2208,CAT_NOME,0)),"Sem categoria"))</f>
        <v/>
      </c>
      <c r="E2208" s="75">
        <f>IF($C2208="","",IFERROR(INDEX(CAT_GRUPO,MATCH($C2208,CAT_NOME,0)),"Sem categoria"))</f>
        <v/>
      </c>
      <c r="F2208" s="76" t="n"/>
      <c r="G2208" s="74" t="n"/>
      <c r="H2208" s="74" t="n"/>
      <c r="I2208" s="74" t="n"/>
      <c r="J2208" s="77" t="n"/>
      <c r="K2208" s="77" t="n"/>
      <c r="L2208" s="74" t="n"/>
      <c r="M2208" s="74" t="n"/>
      <c r="O2208" s="78">
        <f>IF($A2208="","",YEAR($A2208)*100+MONTH($A2208))</f>
        <v/>
      </c>
      <c r="P2208" s="79">
        <f>IF(OR($F2208="",$D2208=""),"",IF($D2208="Receita",$F2208,IF($D2208="Transferência",0,-$F2208)))</f>
        <v/>
      </c>
    </row>
    <row r="2209">
      <c r="A2209" s="73" t="n"/>
      <c r="B2209" s="74" t="n"/>
      <c r="C2209" s="74" t="n"/>
      <c r="D2209" s="75">
        <f>IF($C2209="","",IFERROR(INDEX(CAT_TIPO,MATCH($C2209,CAT_NOME,0)),"Sem categoria"))</f>
        <v/>
      </c>
      <c r="E2209" s="75">
        <f>IF($C2209="","",IFERROR(INDEX(CAT_GRUPO,MATCH($C2209,CAT_NOME,0)),"Sem categoria"))</f>
        <v/>
      </c>
      <c r="F2209" s="76" t="n"/>
      <c r="G2209" s="74" t="n"/>
      <c r="H2209" s="74" t="n"/>
      <c r="I2209" s="74" t="n"/>
      <c r="J2209" s="77" t="n"/>
      <c r="K2209" s="77" t="n"/>
      <c r="L2209" s="74" t="n"/>
      <c r="M2209" s="74" t="n"/>
      <c r="O2209" s="78">
        <f>IF($A2209="","",YEAR($A2209)*100+MONTH($A2209))</f>
        <v/>
      </c>
      <c r="P2209" s="79">
        <f>IF(OR($F2209="",$D2209=""),"",IF($D2209="Receita",$F2209,IF($D2209="Transferência",0,-$F2209)))</f>
        <v/>
      </c>
    </row>
    <row r="2210">
      <c r="A2210" s="73" t="n"/>
      <c r="B2210" s="74" t="n"/>
      <c r="C2210" s="74" t="n"/>
      <c r="D2210" s="75">
        <f>IF($C2210="","",IFERROR(INDEX(CAT_TIPO,MATCH($C2210,CAT_NOME,0)),"Sem categoria"))</f>
        <v/>
      </c>
      <c r="E2210" s="75">
        <f>IF($C2210="","",IFERROR(INDEX(CAT_GRUPO,MATCH($C2210,CAT_NOME,0)),"Sem categoria"))</f>
        <v/>
      </c>
      <c r="F2210" s="76" t="n"/>
      <c r="G2210" s="74" t="n"/>
      <c r="H2210" s="74" t="n"/>
      <c r="I2210" s="74" t="n"/>
      <c r="J2210" s="77" t="n"/>
      <c r="K2210" s="77" t="n"/>
      <c r="L2210" s="74" t="n"/>
      <c r="M2210" s="74" t="n"/>
      <c r="O2210" s="78">
        <f>IF($A2210="","",YEAR($A2210)*100+MONTH($A2210))</f>
        <v/>
      </c>
      <c r="P2210" s="79">
        <f>IF(OR($F2210="",$D2210=""),"",IF($D2210="Receita",$F2210,IF($D2210="Transferência",0,-$F2210)))</f>
        <v/>
      </c>
    </row>
    <row r="2211">
      <c r="A2211" s="73" t="n"/>
      <c r="B2211" s="74" t="n"/>
      <c r="C2211" s="74" t="n"/>
      <c r="D2211" s="75">
        <f>IF($C2211="","",IFERROR(INDEX(CAT_TIPO,MATCH($C2211,CAT_NOME,0)),"Sem categoria"))</f>
        <v/>
      </c>
      <c r="E2211" s="75">
        <f>IF($C2211="","",IFERROR(INDEX(CAT_GRUPO,MATCH($C2211,CAT_NOME,0)),"Sem categoria"))</f>
        <v/>
      </c>
      <c r="F2211" s="76" t="n"/>
      <c r="G2211" s="74" t="n"/>
      <c r="H2211" s="74" t="n"/>
      <c r="I2211" s="74" t="n"/>
      <c r="J2211" s="77" t="n"/>
      <c r="K2211" s="77" t="n"/>
      <c r="L2211" s="74" t="n"/>
      <c r="M2211" s="74" t="n"/>
      <c r="O2211" s="78">
        <f>IF($A2211="","",YEAR($A2211)*100+MONTH($A2211))</f>
        <v/>
      </c>
      <c r="P2211" s="79">
        <f>IF(OR($F2211="",$D2211=""),"",IF($D2211="Receita",$F2211,IF($D2211="Transferência",0,-$F2211)))</f>
        <v/>
      </c>
    </row>
    <row r="2212">
      <c r="A2212" s="73" t="n"/>
      <c r="B2212" s="74" t="n"/>
      <c r="C2212" s="74" t="n"/>
      <c r="D2212" s="75">
        <f>IF($C2212="","",IFERROR(INDEX(CAT_TIPO,MATCH($C2212,CAT_NOME,0)),"Sem categoria"))</f>
        <v/>
      </c>
      <c r="E2212" s="75">
        <f>IF($C2212="","",IFERROR(INDEX(CAT_GRUPO,MATCH($C2212,CAT_NOME,0)),"Sem categoria"))</f>
        <v/>
      </c>
      <c r="F2212" s="76" t="n"/>
      <c r="G2212" s="74" t="n"/>
      <c r="H2212" s="74" t="n"/>
      <c r="I2212" s="74" t="n"/>
      <c r="J2212" s="77" t="n"/>
      <c r="K2212" s="77" t="n"/>
      <c r="L2212" s="74" t="n"/>
      <c r="M2212" s="74" t="n"/>
      <c r="O2212" s="78">
        <f>IF($A2212="","",YEAR($A2212)*100+MONTH($A2212))</f>
        <v/>
      </c>
      <c r="P2212" s="79">
        <f>IF(OR($F2212="",$D2212=""),"",IF($D2212="Receita",$F2212,IF($D2212="Transferência",0,-$F2212)))</f>
        <v/>
      </c>
    </row>
    <row r="2213">
      <c r="A2213" s="73" t="n"/>
      <c r="B2213" s="74" t="n"/>
      <c r="C2213" s="74" t="n"/>
      <c r="D2213" s="75">
        <f>IF($C2213="","",IFERROR(INDEX(CAT_TIPO,MATCH($C2213,CAT_NOME,0)),"Sem categoria"))</f>
        <v/>
      </c>
      <c r="E2213" s="75">
        <f>IF($C2213="","",IFERROR(INDEX(CAT_GRUPO,MATCH($C2213,CAT_NOME,0)),"Sem categoria"))</f>
        <v/>
      </c>
      <c r="F2213" s="76" t="n"/>
      <c r="G2213" s="74" t="n"/>
      <c r="H2213" s="74" t="n"/>
      <c r="I2213" s="74" t="n"/>
      <c r="J2213" s="77" t="n"/>
      <c r="K2213" s="77" t="n"/>
      <c r="L2213" s="74" t="n"/>
      <c r="M2213" s="74" t="n"/>
      <c r="O2213" s="78">
        <f>IF($A2213="","",YEAR($A2213)*100+MONTH($A2213))</f>
        <v/>
      </c>
      <c r="P2213" s="79">
        <f>IF(OR($F2213="",$D2213=""),"",IF($D2213="Receita",$F2213,IF($D2213="Transferência",0,-$F2213)))</f>
        <v/>
      </c>
    </row>
    <row r="2214">
      <c r="A2214" s="73" t="n"/>
      <c r="B2214" s="74" t="n"/>
      <c r="C2214" s="74" t="n"/>
      <c r="D2214" s="75">
        <f>IF($C2214="","",IFERROR(INDEX(CAT_TIPO,MATCH($C2214,CAT_NOME,0)),"Sem categoria"))</f>
        <v/>
      </c>
      <c r="E2214" s="75">
        <f>IF($C2214="","",IFERROR(INDEX(CAT_GRUPO,MATCH($C2214,CAT_NOME,0)),"Sem categoria"))</f>
        <v/>
      </c>
      <c r="F2214" s="76" t="n"/>
      <c r="G2214" s="74" t="n"/>
      <c r="H2214" s="74" t="n"/>
      <c r="I2214" s="74" t="n"/>
      <c r="J2214" s="77" t="n"/>
      <c r="K2214" s="77" t="n"/>
      <c r="L2214" s="74" t="n"/>
      <c r="M2214" s="74" t="n"/>
      <c r="O2214" s="78">
        <f>IF($A2214="","",YEAR($A2214)*100+MONTH($A2214))</f>
        <v/>
      </c>
      <c r="P2214" s="79">
        <f>IF(OR($F2214="",$D2214=""),"",IF($D2214="Receita",$F2214,IF($D2214="Transferência",0,-$F2214)))</f>
        <v/>
      </c>
    </row>
    <row r="2215">
      <c r="A2215" s="73" t="n"/>
      <c r="B2215" s="74" t="n"/>
      <c r="C2215" s="74" t="n"/>
      <c r="D2215" s="75">
        <f>IF($C2215="","",IFERROR(INDEX(CAT_TIPO,MATCH($C2215,CAT_NOME,0)),"Sem categoria"))</f>
        <v/>
      </c>
      <c r="E2215" s="75">
        <f>IF($C2215="","",IFERROR(INDEX(CAT_GRUPO,MATCH($C2215,CAT_NOME,0)),"Sem categoria"))</f>
        <v/>
      </c>
      <c r="F2215" s="76" t="n"/>
      <c r="G2215" s="74" t="n"/>
      <c r="H2215" s="74" t="n"/>
      <c r="I2215" s="74" t="n"/>
      <c r="J2215" s="77" t="n"/>
      <c r="K2215" s="77" t="n"/>
      <c r="L2215" s="74" t="n"/>
      <c r="M2215" s="74" t="n"/>
      <c r="O2215" s="78">
        <f>IF($A2215="","",YEAR($A2215)*100+MONTH($A2215))</f>
        <v/>
      </c>
      <c r="P2215" s="79">
        <f>IF(OR($F2215="",$D2215=""),"",IF($D2215="Receita",$F2215,IF($D2215="Transferência",0,-$F2215)))</f>
        <v/>
      </c>
    </row>
    <row r="2216">
      <c r="A2216" s="73" t="n"/>
      <c r="B2216" s="74" t="n"/>
      <c r="C2216" s="74" t="n"/>
      <c r="D2216" s="75">
        <f>IF($C2216="","",IFERROR(INDEX(CAT_TIPO,MATCH($C2216,CAT_NOME,0)),"Sem categoria"))</f>
        <v/>
      </c>
      <c r="E2216" s="75">
        <f>IF($C2216="","",IFERROR(INDEX(CAT_GRUPO,MATCH($C2216,CAT_NOME,0)),"Sem categoria"))</f>
        <v/>
      </c>
      <c r="F2216" s="76" t="n"/>
      <c r="G2216" s="74" t="n"/>
      <c r="H2216" s="74" t="n"/>
      <c r="I2216" s="74" t="n"/>
      <c r="J2216" s="77" t="n"/>
      <c r="K2216" s="77" t="n"/>
      <c r="L2216" s="74" t="n"/>
      <c r="M2216" s="74" t="n"/>
      <c r="O2216" s="78">
        <f>IF($A2216="","",YEAR($A2216)*100+MONTH($A2216))</f>
        <v/>
      </c>
      <c r="P2216" s="79">
        <f>IF(OR($F2216="",$D2216=""),"",IF($D2216="Receita",$F2216,IF($D2216="Transferência",0,-$F2216)))</f>
        <v/>
      </c>
    </row>
    <row r="2217">
      <c r="A2217" s="73" t="n"/>
      <c r="B2217" s="74" t="n"/>
      <c r="C2217" s="74" t="n"/>
      <c r="D2217" s="75">
        <f>IF($C2217="","",IFERROR(INDEX(CAT_TIPO,MATCH($C2217,CAT_NOME,0)),"Sem categoria"))</f>
        <v/>
      </c>
      <c r="E2217" s="75">
        <f>IF($C2217="","",IFERROR(INDEX(CAT_GRUPO,MATCH($C2217,CAT_NOME,0)),"Sem categoria"))</f>
        <v/>
      </c>
      <c r="F2217" s="76" t="n"/>
      <c r="G2217" s="74" t="n"/>
      <c r="H2217" s="74" t="n"/>
      <c r="I2217" s="74" t="n"/>
      <c r="J2217" s="77" t="n"/>
      <c r="K2217" s="77" t="n"/>
      <c r="L2217" s="74" t="n"/>
      <c r="M2217" s="74" t="n"/>
      <c r="O2217" s="78">
        <f>IF($A2217="","",YEAR($A2217)*100+MONTH($A2217))</f>
        <v/>
      </c>
      <c r="P2217" s="79">
        <f>IF(OR($F2217="",$D2217=""),"",IF($D2217="Receita",$F2217,IF($D2217="Transferência",0,-$F2217)))</f>
        <v/>
      </c>
    </row>
    <row r="2218">
      <c r="A2218" s="73" t="n"/>
      <c r="B2218" s="74" t="n"/>
      <c r="C2218" s="74" t="n"/>
      <c r="D2218" s="75">
        <f>IF($C2218="","",IFERROR(INDEX(CAT_TIPO,MATCH($C2218,CAT_NOME,0)),"Sem categoria"))</f>
        <v/>
      </c>
      <c r="E2218" s="75">
        <f>IF($C2218="","",IFERROR(INDEX(CAT_GRUPO,MATCH($C2218,CAT_NOME,0)),"Sem categoria"))</f>
        <v/>
      </c>
      <c r="F2218" s="76" t="n"/>
      <c r="G2218" s="74" t="n"/>
      <c r="H2218" s="74" t="n"/>
      <c r="I2218" s="74" t="n"/>
      <c r="J2218" s="77" t="n"/>
      <c r="K2218" s="77" t="n"/>
      <c r="L2218" s="74" t="n"/>
      <c r="M2218" s="74" t="n"/>
      <c r="O2218" s="78">
        <f>IF($A2218="","",YEAR($A2218)*100+MONTH($A2218))</f>
        <v/>
      </c>
      <c r="P2218" s="79">
        <f>IF(OR($F2218="",$D2218=""),"",IF($D2218="Receita",$F2218,IF($D2218="Transferência",0,-$F2218)))</f>
        <v/>
      </c>
    </row>
    <row r="2219">
      <c r="A2219" s="73" t="n"/>
      <c r="B2219" s="74" t="n"/>
      <c r="C2219" s="74" t="n"/>
      <c r="D2219" s="75">
        <f>IF($C2219="","",IFERROR(INDEX(CAT_TIPO,MATCH($C2219,CAT_NOME,0)),"Sem categoria"))</f>
        <v/>
      </c>
      <c r="E2219" s="75">
        <f>IF($C2219="","",IFERROR(INDEX(CAT_GRUPO,MATCH($C2219,CAT_NOME,0)),"Sem categoria"))</f>
        <v/>
      </c>
      <c r="F2219" s="76" t="n"/>
      <c r="G2219" s="74" t="n"/>
      <c r="H2219" s="74" t="n"/>
      <c r="I2219" s="74" t="n"/>
      <c r="J2219" s="77" t="n"/>
      <c r="K2219" s="77" t="n"/>
      <c r="L2219" s="74" t="n"/>
      <c r="M2219" s="74" t="n"/>
      <c r="O2219" s="78">
        <f>IF($A2219="","",YEAR($A2219)*100+MONTH($A2219))</f>
        <v/>
      </c>
      <c r="P2219" s="79">
        <f>IF(OR($F2219="",$D2219=""),"",IF($D2219="Receita",$F2219,IF($D2219="Transferência",0,-$F2219)))</f>
        <v/>
      </c>
    </row>
    <row r="2220">
      <c r="A2220" s="73" t="n"/>
      <c r="B2220" s="74" t="n"/>
      <c r="C2220" s="74" t="n"/>
      <c r="D2220" s="75">
        <f>IF($C2220="","",IFERROR(INDEX(CAT_TIPO,MATCH($C2220,CAT_NOME,0)),"Sem categoria"))</f>
        <v/>
      </c>
      <c r="E2220" s="75">
        <f>IF($C2220="","",IFERROR(INDEX(CAT_GRUPO,MATCH($C2220,CAT_NOME,0)),"Sem categoria"))</f>
        <v/>
      </c>
      <c r="F2220" s="76" t="n"/>
      <c r="G2220" s="74" t="n"/>
      <c r="H2220" s="74" t="n"/>
      <c r="I2220" s="74" t="n"/>
      <c r="J2220" s="77" t="n"/>
      <c r="K2220" s="77" t="n"/>
      <c r="L2220" s="74" t="n"/>
      <c r="M2220" s="74" t="n"/>
      <c r="O2220" s="78">
        <f>IF($A2220="","",YEAR($A2220)*100+MONTH($A2220))</f>
        <v/>
      </c>
      <c r="P2220" s="79">
        <f>IF(OR($F2220="",$D2220=""),"",IF($D2220="Receita",$F2220,IF($D2220="Transferência",0,-$F2220)))</f>
        <v/>
      </c>
    </row>
    <row r="2221">
      <c r="A2221" s="73" t="n"/>
      <c r="B2221" s="74" t="n"/>
      <c r="C2221" s="74" t="n"/>
      <c r="D2221" s="75">
        <f>IF($C2221="","",IFERROR(INDEX(CAT_TIPO,MATCH($C2221,CAT_NOME,0)),"Sem categoria"))</f>
        <v/>
      </c>
      <c r="E2221" s="75">
        <f>IF($C2221="","",IFERROR(INDEX(CAT_GRUPO,MATCH($C2221,CAT_NOME,0)),"Sem categoria"))</f>
        <v/>
      </c>
      <c r="F2221" s="76" t="n"/>
      <c r="G2221" s="74" t="n"/>
      <c r="H2221" s="74" t="n"/>
      <c r="I2221" s="74" t="n"/>
      <c r="J2221" s="77" t="n"/>
      <c r="K2221" s="77" t="n"/>
      <c r="L2221" s="74" t="n"/>
      <c r="M2221" s="74" t="n"/>
      <c r="O2221" s="78">
        <f>IF($A2221="","",YEAR($A2221)*100+MONTH($A2221))</f>
        <v/>
      </c>
      <c r="P2221" s="79">
        <f>IF(OR($F2221="",$D2221=""),"",IF($D2221="Receita",$F2221,IF($D2221="Transferência",0,-$F2221)))</f>
        <v/>
      </c>
    </row>
    <row r="2222">
      <c r="A2222" s="73" t="n"/>
      <c r="B2222" s="74" t="n"/>
      <c r="C2222" s="74" t="n"/>
      <c r="D2222" s="75">
        <f>IF($C2222="","",IFERROR(INDEX(CAT_TIPO,MATCH($C2222,CAT_NOME,0)),"Sem categoria"))</f>
        <v/>
      </c>
      <c r="E2222" s="75">
        <f>IF($C2222="","",IFERROR(INDEX(CAT_GRUPO,MATCH($C2222,CAT_NOME,0)),"Sem categoria"))</f>
        <v/>
      </c>
      <c r="F2222" s="76" t="n"/>
      <c r="G2222" s="74" t="n"/>
      <c r="H2222" s="74" t="n"/>
      <c r="I2222" s="74" t="n"/>
      <c r="J2222" s="77" t="n"/>
      <c r="K2222" s="77" t="n"/>
      <c r="L2222" s="74" t="n"/>
      <c r="M2222" s="74" t="n"/>
      <c r="O2222" s="78">
        <f>IF($A2222="","",YEAR($A2222)*100+MONTH($A2222))</f>
        <v/>
      </c>
      <c r="P2222" s="79">
        <f>IF(OR($F2222="",$D2222=""),"",IF($D2222="Receita",$F2222,IF($D2222="Transferência",0,-$F2222)))</f>
        <v/>
      </c>
    </row>
    <row r="2223">
      <c r="A2223" s="73" t="n"/>
      <c r="B2223" s="74" t="n"/>
      <c r="C2223" s="74" t="n"/>
      <c r="D2223" s="75">
        <f>IF($C2223="","",IFERROR(INDEX(CAT_TIPO,MATCH($C2223,CAT_NOME,0)),"Sem categoria"))</f>
        <v/>
      </c>
      <c r="E2223" s="75">
        <f>IF($C2223="","",IFERROR(INDEX(CAT_GRUPO,MATCH($C2223,CAT_NOME,0)),"Sem categoria"))</f>
        <v/>
      </c>
      <c r="F2223" s="76" t="n"/>
      <c r="G2223" s="74" t="n"/>
      <c r="H2223" s="74" t="n"/>
      <c r="I2223" s="74" t="n"/>
      <c r="J2223" s="77" t="n"/>
      <c r="K2223" s="77" t="n"/>
      <c r="L2223" s="74" t="n"/>
      <c r="M2223" s="74" t="n"/>
      <c r="O2223" s="78">
        <f>IF($A2223="","",YEAR($A2223)*100+MONTH($A2223))</f>
        <v/>
      </c>
      <c r="P2223" s="79">
        <f>IF(OR($F2223="",$D2223=""),"",IF($D2223="Receita",$F2223,IF($D2223="Transferência",0,-$F2223)))</f>
        <v/>
      </c>
    </row>
    <row r="2224">
      <c r="A2224" s="73" t="n"/>
      <c r="B2224" s="74" t="n"/>
      <c r="C2224" s="74" t="n"/>
      <c r="D2224" s="75">
        <f>IF($C2224="","",IFERROR(INDEX(CAT_TIPO,MATCH($C2224,CAT_NOME,0)),"Sem categoria"))</f>
        <v/>
      </c>
      <c r="E2224" s="75">
        <f>IF($C2224="","",IFERROR(INDEX(CAT_GRUPO,MATCH($C2224,CAT_NOME,0)),"Sem categoria"))</f>
        <v/>
      </c>
      <c r="F2224" s="76" t="n"/>
      <c r="G2224" s="74" t="n"/>
      <c r="H2224" s="74" t="n"/>
      <c r="I2224" s="74" t="n"/>
      <c r="J2224" s="77" t="n"/>
      <c r="K2224" s="77" t="n"/>
      <c r="L2224" s="74" t="n"/>
      <c r="M2224" s="74" t="n"/>
      <c r="O2224" s="78">
        <f>IF($A2224="","",YEAR($A2224)*100+MONTH($A2224))</f>
        <v/>
      </c>
      <c r="P2224" s="79">
        <f>IF(OR($F2224="",$D2224=""),"",IF($D2224="Receita",$F2224,IF($D2224="Transferência",0,-$F2224)))</f>
        <v/>
      </c>
    </row>
    <row r="2225">
      <c r="A2225" s="73" t="n"/>
      <c r="B2225" s="74" t="n"/>
      <c r="C2225" s="74" t="n"/>
      <c r="D2225" s="75">
        <f>IF($C2225="","",IFERROR(INDEX(CAT_TIPO,MATCH($C2225,CAT_NOME,0)),"Sem categoria"))</f>
        <v/>
      </c>
      <c r="E2225" s="75">
        <f>IF($C2225="","",IFERROR(INDEX(CAT_GRUPO,MATCH($C2225,CAT_NOME,0)),"Sem categoria"))</f>
        <v/>
      </c>
      <c r="F2225" s="76" t="n"/>
      <c r="G2225" s="74" t="n"/>
      <c r="H2225" s="74" t="n"/>
      <c r="I2225" s="74" t="n"/>
      <c r="J2225" s="77" t="n"/>
      <c r="K2225" s="77" t="n"/>
      <c r="L2225" s="74" t="n"/>
      <c r="M2225" s="74" t="n"/>
      <c r="O2225" s="78">
        <f>IF($A2225="","",YEAR($A2225)*100+MONTH($A2225))</f>
        <v/>
      </c>
      <c r="P2225" s="79">
        <f>IF(OR($F2225="",$D2225=""),"",IF($D2225="Receita",$F2225,IF($D2225="Transferência",0,-$F2225)))</f>
        <v/>
      </c>
    </row>
    <row r="2226">
      <c r="A2226" s="73" t="n"/>
      <c r="B2226" s="74" t="n"/>
      <c r="C2226" s="74" t="n"/>
      <c r="D2226" s="75">
        <f>IF($C2226="","",IFERROR(INDEX(CAT_TIPO,MATCH($C2226,CAT_NOME,0)),"Sem categoria"))</f>
        <v/>
      </c>
      <c r="E2226" s="75">
        <f>IF($C2226="","",IFERROR(INDEX(CAT_GRUPO,MATCH($C2226,CAT_NOME,0)),"Sem categoria"))</f>
        <v/>
      </c>
      <c r="F2226" s="76" t="n"/>
      <c r="G2226" s="74" t="n"/>
      <c r="H2226" s="74" t="n"/>
      <c r="I2226" s="74" t="n"/>
      <c r="J2226" s="77" t="n"/>
      <c r="K2226" s="77" t="n"/>
      <c r="L2226" s="74" t="n"/>
      <c r="M2226" s="74" t="n"/>
      <c r="O2226" s="78">
        <f>IF($A2226="","",YEAR($A2226)*100+MONTH($A2226))</f>
        <v/>
      </c>
      <c r="P2226" s="79">
        <f>IF(OR($F2226="",$D2226=""),"",IF($D2226="Receita",$F2226,IF($D2226="Transferência",0,-$F2226)))</f>
        <v/>
      </c>
    </row>
    <row r="2227">
      <c r="A2227" s="73" t="n"/>
      <c r="B2227" s="74" t="n"/>
      <c r="C2227" s="74" t="n"/>
      <c r="D2227" s="75">
        <f>IF($C2227="","",IFERROR(INDEX(CAT_TIPO,MATCH($C2227,CAT_NOME,0)),"Sem categoria"))</f>
        <v/>
      </c>
      <c r="E2227" s="75">
        <f>IF($C2227="","",IFERROR(INDEX(CAT_GRUPO,MATCH($C2227,CAT_NOME,0)),"Sem categoria"))</f>
        <v/>
      </c>
      <c r="F2227" s="76" t="n"/>
      <c r="G2227" s="74" t="n"/>
      <c r="H2227" s="74" t="n"/>
      <c r="I2227" s="74" t="n"/>
      <c r="J2227" s="77" t="n"/>
      <c r="K2227" s="77" t="n"/>
      <c r="L2227" s="74" t="n"/>
      <c r="M2227" s="74" t="n"/>
      <c r="O2227" s="78">
        <f>IF($A2227="","",YEAR($A2227)*100+MONTH($A2227))</f>
        <v/>
      </c>
      <c r="P2227" s="79">
        <f>IF(OR($F2227="",$D2227=""),"",IF($D2227="Receita",$F2227,IF($D2227="Transferência",0,-$F2227)))</f>
        <v/>
      </c>
    </row>
    <row r="2228">
      <c r="A2228" s="73" t="n"/>
      <c r="B2228" s="74" t="n"/>
      <c r="C2228" s="74" t="n"/>
      <c r="D2228" s="75">
        <f>IF($C2228="","",IFERROR(INDEX(CAT_TIPO,MATCH($C2228,CAT_NOME,0)),"Sem categoria"))</f>
        <v/>
      </c>
      <c r="E2228" s="75">
        <f>IF($C2228="","",IFERROR(INDEX(CAT_GRUPO,MATCH($C2228,CAT_NOME,0)),"Sem categoria"))</f>
        <v/>
      </c>
      <c r="F2228" s="76" t="n"/>
      <c r="G2228" s="74" t="n"/>
      <c r="H2228" s="74" t="n"/>
      <c r="I2228" s="74" t="n"/>
      <c r="J2228" s="77" t="n"/>
      <c r="K2228" s="77" t="n"/>
      <c r="L2228" s="74" t="n"/>
      <c r="M2228" s="74" t="n"/>
      <c r="O2228" s="78">
        <f>IF($A2228="","",YEAR($A2228)*100+MONTH($A2228))</f>
        <v/>
      </c>
      <c r="P2228" s="79">
        <f>IF(OR($F2228="",$D2228=""),"",IF($D2228="Receita",$F2228,IF($D2228="Transferência",0,-$F2228)))</f>
        <v/>
      </c>
    </row>
    <row r="2229">
      <c r="A2229" s="73" t="n"/>
      <c r="B2229" s="74" t="n"/>
      <c r="C2229" s="74" t="n"/>
      <c r="D2229" s="75">
        <f>IF($C2229="","",IFERROR(INDEX(CAT_TIPO,MATCH($C2229,CAT_NOME,0)),"Sem categoria"))</f>
        <v/>
      </c>
      <c r="E2229" s="75">
        <f>IF($C2229="","",IFERROR(INDEX(CAT_GRUPO,MATCH($C2229,CAT_NOME,0)),"Sem categoria"))</f>
        <v/>
      </c>
      <c r="F2229" s="76" t="n"/>
      <c r="G2229" s="74" t="n"/>
      <c r="H2229" s="74" t="n"/>
      <c r="I2229" s="74" t="n"/>
      <c r="J2229" s="77" t="n"/>
      <c r="K2229" s="77" t="n"/>
      <c r="L2229" s="74" t="n"/>
      <c r="M2229" s="74" t="n"/>
      <c r="O2229" s="78">
        <f>IF($A2229="","",YEAR($A2229)*100+MONTH($A2229))</f>
        <v/>
      </c>
      <c r="P2229" s="79">
        <f>IF(OR($F2229="",$D2229=""),"",IF($D2229="Receita",$F2229,IF($D2229="Transferência",0,-$F2229)))</f>
        <v/>
      </c>
    </row>
    <row r="2230">
      <c r="A2230" s="73" t="n"/>
      <c r="B2230" s="74" t="n"/>
      <c r="C2230" s="74" t="n"/>
      <c r="D2230" s="75">
        <f>IF($C2230="","",IFERROR(INDEX(CAT_TIPO,MATCH($C2230,CAT_NOME,0)),"Sem categoria"))</f>
        <v/>
      </c>
      <c r="E2230" s="75">
        <f>IF($C2230="","",IFERROR(INDEX(CAT_GRUPO,MATCH($C2230,CAT_NOME,0)),"Sem categoria"))</f>
        <v/>
      </c>
      <c r="F2230" s="76" t="n"/>
      <c r="G2230" s="74" t="n"/>
      <c r="H2230" s="74" t="n"/>
      <c r="I2230" s="74" t="n"/>
      <c r="J2230" s="77" t="n"/>
      <c r="K2230" s="77" t="n"/>
      <c r="L2230" s="74" t="n"/>
      <c r="M2230" s="74" t="n"/>
      <c r="O2230" s="78">
        <f>IF($A2230="","",YEAR($A2230)*100+MONTH($A2230))</f>
        <v/>
      </c>
      <c r="P2230" s="79">
        <f>IF(OR($F2230="",$D2230=""),"",IF($D2230="Receita",$F2230,IF($D2230="Transferência",0,-$F2230)))</f>
        <v/>
      </c>
    </row>
    <row r="2231">
      <c r="A2231" s="73" t="n"/>
      <c r="B2231" s="74" t="n"/>
      <c r="C2231" s="74" t="n"/>
      <c r="D2231" s="75">
        <f>IF($C2231="","",IFERROR(INDEX(CAT_TIPO,MATCH($C2231,CAT_NOME,0)),"Sem categoria"))</f>
        <v/>
      </c>
      <c r="E2231" s="75">
        <f>IF($C2231="","",IFERROR(INDEX(CAT_GRUPO,MATCH($C2231,CAT_NOME,0)),"Sem categoria"))</f>
        <v/>
      </c>
      <c r="F2231" s="76" t="n"/>
      <c r="G2231" s="74" t="n"/>
      <c r="H2231" s="74" t="n"/>
      <c r="I2231" s="74" t="n"/>
      <c r="J2231" s="77" t="n"/>
      <c r="K2231" s="77" t="n"/>
      <c r="L2231" s="74" t="n"/>
      <c r="M2231" s="74" t="n"/>
      <c r="O2231" s="78">
        <f>IF($A2231="","",YEAR($A2231)*100+MONTH($A2231))</f>
        <v/>
      </c>
      <c r="P2231" s="79">
        <f>IF(OR($F2231="",$D2231=""),"",IF($D2231="Receita",$F2231,IF($D2231="Transferência",0,-$F2231)))</f>
        <v/>
      </c>
    </row>
    <row r="2232">
      <c r="A2232" s="73" t="n"/>
      <c r="B2232" s="74" t="n"/>
      <c r="C2232" s="74" t="n"/>
      <c r="D2232" s="75">
        <f>IF($C2232="","",IFERROR(INDEX(CAT_TIPO,MATCH($C2232,CAT_NOME,0)),"Sem categoria"))</f>
        <v/>
      </c>
      <c r="E2232" s="75">
        <f>IF($C2232="","",IFERROR(INDEX(CAT_GRUPO,MATCH($C2232,CAT_NOME,0)),"Sem categoria"))</f>
        <v/>
      </c>
      <c r="F2232" s="76" t="n"/>
      <c r="G2232" s="74" t="n"/>
      <c r="H2232" s="74" t="n"/>
      <c r="I2232" s="74" t="n"/>
      <c r="J2232" s="77" t="n"/>
      <c r="K2232" s="77" t="n"/>
      <c r="L2232" s="74" t="n"/>
      <c r="M2232" s="74" t="n"/>
      <c r="O2232" s="78">
        <f>IF($A2232="","",YEAR($A2232)*100+MONTH($A2232))</f>
        <v/>
      </c>
      <c r="P2232" s="79">
        <f>IF(OR($F2232="",$D2232=""),"",IF($D2232="Receita",$F2232,IF($D2232="Transferência",0,-$F2232)))</f>
        <v/>
      </c>
    </row>
    <row r="2233">
      <c r="A2233" s="73" t="n"/>
      <c r="B2233" s="74" t="n"/>
      <c r="C2233" s="74" t="n"/>
      <c r="D2233" s="75">
        <f>IF($C2233="","",IFERROR(INDEX(CAT_TIPO,MATCH($C2233,CAT_NOME,0)),"Sem categoria"))</f>
        <v/>
      </c>
      <c r="E2233" s="75">
        <f>IF($C2233="","",IFERROR(INDEX(CAT_GRUPO,MATCH($C2233,CAT_NOME,0)),"Sem categoria"))</f>
        <v/>
      </c>
      <c r="F2233" s="76" t="n"/>
      <c r="G2233" s="74" t="n"/>
      <c r="H2233" s="74" t="n"/>
      <c r="I2233" s="74" t="n"/>
      <c r="J2233" s="77" t="n"/>
      <c r="K2233" s="77" t="n"/>
      <c r="L2233" s="74" t="n"/>
      <c r="M2233" s="74" t="n"/>
      <c r="O2233" s="78">
        <f>IF($A2233="","",YEAR($A2233)*100+MONTH($A2233))</f>
        <v/>
      </c>
      <c r="P2233" s="79">
        <f>IF(OR($F2233="",$D2233=""),"",IF($D2233="Receita",$F2233,IF($D2233="Transferência",0,-$F2233)))</f>
        <v/>
      </c>
    </row>
    <row r="2234">
      <c r="A2234" s="73" t="n"/>
      <c r="B2234" s="74" t="n"/>
      <c r="C2234" s="74" t="n"/>
      <c r="D2234" s="75">
        <f>IF($C2234="","",IFERROR(INDEX(CAT_TIPO,MATCH($C2234,CAT_NOME,0)),"Sem categoria"))</f>
        <v/>
      </c>
      <c r="E2234" s="75">
        <f>IF($C2234="","",IFERROR(INDEX(CAT_GRUPO,MATCH($C2234,CAT_NOME,0)),"Sem categoria"))</f>
        <v/>
      </c>
      <c r="F2234" s="76" t="n"/>
      <c r="G2234" s="74" t="n"/>
      <c r="H2234" s="74" t="n"/>
      <c r="I2234" s="74" t="n"/>
      <c r="J2234" s="77" t="n"/>
      <c r="K2234" s="77" t="n"/>
      <c r="L2234" s="74" t="n"/>
      <c r="M2234" s="74" t="n"/>
      <c r="O2234" s="78">
        <f>IF($A2234="","",YEAR($A2234)*100+MONTH($A2234))</f>
        <v/>
      </c>
      <c r="P2234" s="79">
        <f>IF(OR($F2234="",$D2234=""),"",IF($D2234="Receita",$F2234,IF($D2234="Transferência",0,-$F2234)))</f>
        <v/>
      </c>
    </row>
    <row r="2235">
      <c r="A2235" s="73" t="n"/>
      <c r="B2235" s="74" t="n"/>
      <c r="C2235" s="74" t="n"/>
      <c r="D2235" s="75">
        <f>IF($C2235="","",IFERROR(INDEX(CAT_TIPO,MATCH($C2235,CAT_NOME,0)),"Sem categoria"))</f>
        <v/>
      </c>
      <c r="E2235" s="75">
        <f>IF($C2235="","",IFERROR(INDEX(CAT_GRUPO,MATCH($C2235,CAT_NOME,0)),"Sem categoria"))</f>
        <v/>
      </c>
      <c r="F2235" s="76" t="n"/>
      <c r="G2235" s="74" t="n"/>
      <c r="H2235" s="74" t="n"/>
      <c r="I2235" s="74" t="n"/>
      <c r="J2235" s="77" t="n"/>
      <c r="K2235" s="77" t="n"/>
      <c r="L2235" s="74" t="n"/>
      <c r="M2235" s="74" t="n"/>
      <c r="O2235" s="78">
        <f>IF($A2235="","",YEAR($A2235)*100+MONTH($A2235))</f>
        <v/>
      </c>
      <c r="P2235" s="79">
        <f>IF(OR($F2235="",$D2235=""),"",IF($D2235="Receita",$F2235,IF($D2235="Transferência",0,-$F2235)))</f>
        <v/>
      </c>
    </row>
    <row r="2236">
      <c r="A2236" s="73" t="n"/>
      <c r="B2236" s="74" t="n"/>
      <c r="C2236" s="74" t="n"/>
      <c r="D2236" s="75">
        <f>IF($C2236="","",IFERROR(INDEX(CAT_TIPO,MATCH($C2236,CAT_NOME,0)),"Sem categoria"))</f>
        <v/>
      </c>
      <c r="E2236" s="75">
        <f>IF($C2236="","",IFERROR(INDEX(CAT_GRUPO,MATCH($C2236,CAT_NOME,0)),"Sem categoria"))</f>
        <v/>
      </c>
      <c r="F2236" s="76" t="n"/>
      <c r="G2236" s="74" t="n"/>
      <c r="H2236" s="74" t="n"/>
      <c r="I2236" s="74" t="n"/>
      <c r="J2236" s="77" t="n"/>
      <c r="K2236" s="77" t="n"/>
      <c r="L2236" s="74" t="n"/>
      <c r="M2236" s="74" t="n"/>
      <c r="O2236" s="78">
        <f>IF($A2236="","",YEAR($A2236)*100+MONTH($A2236))</f>
        <v/>
      </c>
      <c r="P2236" s="79">
        <f>IF(OR($F2236="",$D2236=""),"",IF($D2236="Receita",$F2236,IF($D2236="Transferência",0,-$F2236)))</f>
        <v/>
      </c>
    </row>
    <row r="2237">
      <c r="A2237" s="73" t="n"/>
      <c r="B2237" s="74" t="n"/>
      <c r="C2237" s="74" t="n"/>
      <c r="D2237" s="75">
        <f>IF($C2237="","",IFERROR(INDEX(CAT_TIPO,MATCH($C2237,CAT_NOME,0)),"Sem categoria"))</f>
        <v/>
      </c>
      <c r="E2237" s="75">
        <f>IF($C2237="","",IFERROR(INDEX(CAT_GRUPO,MATCH($C2237,CAT_NOME,0)),"Sem categoria"))</f>
        <v/>
      </c>
      <c r="F2237" s="76" t="n"/>
      <c r="G2237" s="74" t="n"/>
      <c r="H2237" s="74" t="n"/>
      <c r="I2237" s="74" t="n"/>
      <c r="J2237" s="77" t="n"/>
      <c r="K2237" s="77" t="n"/>
      <c r="L2237" s="74" t="n"/>
      <c r="M2237" s="74" t="n"/>
      <c r="O2237" s="78">
        <f>IF($A2237="","",YEAR($A2237)*100+MONTH($A2237))</f>
        <v/>
      </c>
      <c r="P2237" s="79">
        <f>IF(OR($F2237="",$D2237=""),"",IF($D2237="Receita",$F2237,IF($D2237="Transferência",0,-$F2237)))</f>
        <v/>
      </c>
    </row>
    <row r="2238">
      <c r="A2238" s="73" t="n"/>
      <c r="B2238" s="74" t="n"/>
      <c r="C2238" s="74" t="n"/>
      <c r="D2238" s="75">
        <f>IF($C2238="","",IFERROR(INDEX(CAT_TIPO,MATCH($C2238,CAT_NOME,0)),"Sem categoria"))</f>
        <v/>
      </c>
      <c r="E2238" s="75">
        <f>IF($C2238="","",IFERROR(INDEX(CAT_GRUPO,MATCH($C2238,CAT_NOME,0)),"Sem categoria"))</f>
        <v/>
      </c>
      <c r="F2238" s="76" t="n"/>
      <c r="G2238" s="74" t="n"/>
      <c r="H2238" s="74" t="n"/>
      <c r="I2238" s="74" t="n"/>
      <c r="J2238" s="77" t="n"/>
      <c r="K2238" s="77" t="n"/>
      <c r="L2238" s="74" t="n"/>
      <c r="M2238" s="74" t="n"/>
      <c r="O2238" s="78">
        <f>IF($A2238="","",YEAR($A2238)*100+MONTH($A2238))</f>
        <v/>
      </c>
      <c r="P2238" s="79">
        <f>IF(OR($F2238="",$D2238=""),"",IF($D2238="Receita",$F2238,IF($D2238="Transferência",0,-$F2238)))</f>
        <v/>
      </c>
    </row>
    <row r="2239">
      <c r="A2239" s="73" t="n"/>
      <c r="B2239" s="74" t="n"/>
      <c r="C2239" s="74" t="n"/>
      <c r="D2239" s="75">
        <f>IF($C2239="","",IFERROR(INDEX(CAT_TIPO,MATCH($C2239,CAT_NOME,0)),"Sem categoria"))</f>
        <v/>
      </c>
      <c r="E2239" s="75">
        <f>IF($C2239="","",IFERROR(INDEX(CAT_GRUPO,MATCH($C2239,CAT_NOME,0)),"Sem categoria"))</f>
        <v/>
      </c>
      <c r="F2239" s="76" t="n"/>
      <c r="G2239" s="74" t="n"/>
      <c r="H2239" s="74" t="n"/>
      <c r="I2239" s="74" t="n"/>
      <c r="J2239" s="77" t="n"/>
      <c r="K2239" s="77" t="n"/>
      <c r="L2239" s="74" t="n"/>
      <c r="M2239" s="74" t="n"/>
      <c r="O2239" s="78">
        <f>IF($A2239="","",YEAR($A2239)*100+MONTH($A2239))</f>
        <v/>
      </c>
      <c r="P2239" s="79">
        <f>IF(OR($F2239="",$D2239=""),"",IF($D2239="Receita",$F2239,IF($D2239="Transferência",0,-$F2239)))</f>
        <v/>
      </c>
    </row>
    <row r="2240">
      <c r="A2240" s="73" t="n"/>
      <c r="B2240" s="74" t="n"/>
      <c r="C2240" s="74" t="n"/>
      <c r="D2240" s="75">
        <f>IF($C2240="","",IFERROR(INDEX(CAT_TIPO,MATCH($C2240,CAT_NOME,0)),"Sem categoria"))</f>
        <v/>
      </c>
      <c r="E2240" s="75">
        <f>IF($C2240="","",IFERROR(INDEX(CAT_GRUPO,MATCH($C2240,CAT_NOME,0)),"Sem categoria"))</f>
        <v/>
      </c>
      <c r="F2240" s="76" t="n"/>
      <c r="G2240" s="74" t="n"/>
      <c r="H2240" s="74" t="n"/>
      <c r="I2240" s="74" t="n"/>
      <c r="J2240" s="77" t="n"/>
      <c r="K2240" s="77" t="n"/>
      <c r="L2240" s="74" t="n"/>
      <c r="M2240" s="74" t="n"/>
      <c r="O2240" s="78">
        <f>IF($A2240="","",YEAR($A2240)*100+MONTH($A2240))</f>
        <v/>
      </c>
      <c r="P2240" s="79">
        <f>IF(OR($F2240="",$D2240=""),"",IF($D2240="Receita",$F2240,IF($D2240="Transferência",0,-$F2240)))</f>
        <v/>
      </c>
    </row>
    <row r="2241">
      <c r="A2241" s="73" t="n"/>
      <c r="B2241" s="74" t="n"/>
      <c r="C2241" s="74" t="n"/>
      <c r="D2241" s="75">
        <f>IF($C2241="","",IFERROR(INDEX(CAT_TIPO,MATCH($C2241,CAT_NOME,0)),"Sem categoria"))</f>
        <v/>
      </c>
      <c r="E2241" s="75">
        <f>IF($C2241="","",IFERROR(INDEX(CAT_GRUPO,MATCH($C2241,CAT_NOME,0)),"Sem categoria"))</f>
        <v/>
      </c>
      <c r="F2241" s="76" t="n"/>
      <c r="G2241" s="74" t="n"/>
      <c r="H2241" s="74" t="n"/>
      <c r="I2241" s="74" t="n"/>
      <c r="J2241" s="77" t="n"/>
      <c r="K2241" s="77" t="n"/>
      <c r="L2241" s="74" t="n"/>
      <c r="M2241" s="74" t="n"/>
      <c r="O2241" s="78">
        <f>IF($A2241="","",YEAR($A2241)*100+MONTH($A2241))</f>
        <v/>
      </c>
      <c r="P2241" s="79">
        <f>IF(OR($F2241="",$D2241=""),"",IF($D2241="Receita",$F2241,IF($D2241="Transferência",0,-$F2241)))</f>
        <v/>
      </c>
    </row>
    <row r="2242">
      <c r="A2242" s="73" t="n"/>
      <c r="B2242" s="74" t="n"/>
      <c r="C2242" s="74" t="n"/>
      <c r="D2242" s="75">
        <f>IF($C2242="","",IFERROR(INDEX(CAT_TIPO,MATCH($C2242,CAT_NOME,0)),"Sem categoria"))</f>
        <v/>
      </c>
      <c r="E2242" s="75">
        <f>IF($C2242="","",IFERROR(INDEX(CAT_GRUPO,MATCH($C2242,CAT_NOME,0)),"Sem categoria"))</f>
        <v/>
      </c>
      <c r="F2242" s="76" t="n"/>
      <c r="G2242" s="74" t="n"/>
      <c r="H2242" s="74" t="n"/>
      <c r="I2242" s="74" t="n"/>
      <c r="J2242" s="77" t="n"/>
      <c r="K2242" s="77" t="n"/>
      <c r="L2242" s="74" t="n"/>
      <c r="M2242" s="74" t="n"/>
      <c r="O2242" s="78">
        <f>IF($A2242="","",YEAR($A2242)*100+MONTH($A2242))</f>
        <v/>
      </c>
      <c r="P2242" s="79">
        <f>IF(OR($F2242="",$D2242=""),"",IF($D2242="Receita",$F2242,IF($D2242="Transferência",0,-$F2242)))</f>
        <v/>
      </c>
    </row>
    <row r="2243">
      <c r="A2243" s="73" t="n"/>
      <c r="B2243" s="74" t="n"/>
      <c r="C2243" s="74" t="n"/>
      <c r="D2243" s="75">
        <f>IF($C2243="","",IFERROR(INDEX(CAT_TIPO,MATCH($C2243,CAT_NOME,0)),"Sem categoria"))</f>
        <v/>
      </c>
      <c r="E2243" s="75">
        <f>IF($C2243="","",IFERROR(INDEX(CAT_GRUPO,MATCH($C2243,CAT_NOME,0)),"Sem categoria"))</f>
        <v/>
      </c>
      <c r="F2243" s="76" t="n"/>
      <c r="G2243" s="74" t="n"/>
      <c r="H2243" s="74" t="n"/>
      <c r="I2243" s="74" t="n"/>
      <c r="J2243" s="77" t="n"/>
      <c r="K2243" s="77" t="n"/>
      <c r="L2243" s="74" t="n"/>
      <c r="M2243" s="74" t="n"/>
      <c r="O2243" s="78">
        <f>IF($A2243="","",YEAR($A2243)*100+MONTH($A2243))</f>
        <v/>
      </c>
      <c r="P2243" s="79">
        <f>IF(OR($F2243="",$D2243=""),"",IF($D2243="Receita",$F2243,IF($D2243="Transferência",0,-$F2243)))</f>
        <v/>
      </c>
    </row>
    <row r="2244">
      <c r="A2244" s="73" t="n"/>
      <c r="B2244" s="74" t="n"/>
      <c r="C2244" s="74" t="n"/>
      <c r="D2244" s="75">
        <f>IF($C2244="","",IFERROR(INDEX(CAT_TIPO,MATCH($C2244,CAT_NOME,0)),"Sem categoria"))</f>
        <v/>
      </c>
      <c r="E2244" s="75">
        <f>IF($C2244="","",IFERROR(INDEX(CAT_GRUPO,MATCH($C2244,CAT_NOME,0)),"Sem categoria"))</f>
        <v/>
      </c>
      <c r="F2244" s="76" t="n"/>
      <c r="G2244" s="74" t="n"/>
      <c r="H2244" s="74" t="n"/>
      <c r="I2244" s="74" t="n"/>
      <c r="J2244" s="77" t="n"/>
      <c r="K2244" s="77" t="n"/>
      <c r="L2244" s="74" t="n"/>
      <c r="M2244" s="74" t="n"/>
      <c r="O2244" s="78">
        <f>IF($A2244="","",YEAR($A2244)*100+MONTH($A2244))</f>
        <v/>
      </c>
      <c r="P2244" s="79">
        <f>IF(OR($F2244="",$D2244=""),"",IF($D2244="Receita",$F2244,IF($D2244="Transferência",0,-$F2244)))</f>
        <v/>
      </c>
    </row>
    <row r="2245">
      <c r="A2245" s="73" t="n"/>
      <c r="B2245" s="74" t="n"/>
      <c r="C2245" s="74" t="n"/>
      <c r="D2245" s="75">
        <f>IF($C2245="","",IFERROR(INDEX(CAT_TIPO,MATCH($C2245,CAT_NOME,0)),"Sem categoria"))</f>
        <v/>
      </c>
      <c r="E2245" s="75">
        <f>IF($C2245="","",IFERROR(INDEX(CAT_GRUPO,MATCH($C2245,CAT_NOME,0)),"Sem categoria"))</f>
        <v/>
      </c>
      <c r="F2245" s="76" t="n"/>
      <c r="G2245" s="74" t="n"/>
      <c r="H2245" s="74" t="n"/>
      <c r="I2245" s="74" t="n"/>
      <c r="J2245" s="77" t="n"/>
      <c r="K2245" s="77" t="n"/>
      <c r="L2245" s="74" t="n"/>
      <c r="M2245" s="74" t="n"/>
      <c r="O2245" s="78">
        <f>IF($A2245="","",YEAR($A2245)*100+MONTH($A2245))</f>
        <v/>
      </c>
      <c r="P2245" s="79">
        <f>IF(OR($F2245="",$D2245=""),"",IF($D2245="Receita",$F2245,IF($D2245="Transferência",0,-$F2245)))</f>
        <v/>
      </c>
    </row>
    <row r="2246">
      <c r="A2246" s="73" t="n"/>
      <c r="B2246" s="74" t="n"/>
      <c r="C2246" s="74" t="n"/>
      <c r="D2246" s="75">
        <f>IF($C2246="","",IFERROR(INDEX(CAT_TIPO,MATCH($C2246,CAT_NOME,0)),"Sem categoria"))</f>
        <v/>
      </c>
      <c r="E2246" s="75">
        <f>IF($C2246="","",IFERROR(INDEX(CAT_GRUPO,MATCH($C2246,CAT_NOME,0)),"Sem categoria"))</f>
        <v/>
      </c>
      <c r="F2246" s="76" t="n"/>
      <c r="G2246" s="74" t="n"/>
      <c r="H2246" s="74" t="n"/>
      <c r="I2246" s="74" t="n"/>
      <c r="J2246" s="77" t="n"/>
      <c r="K2246" s="77" t="n"/>
      <c r="L2246" s="74" t="n"/>
      <c r="M2246" s="74" t="n"/>
      <c r="O2246" s="78">
        <f>IF($A2246="","",YEAR($A2246)*100+MONTH($A2246))</f>
        <v/>
      </c>
      <c r="P2246" s="79">
        <f>IF(OR($F2246="",$D2246=""),"",IF($D2246="Receita",$F2246,IF($D2246="Transferência",0,-$F2246)))</f>
        <v/>
      </c>
    </row>
    <row r="2247">
      <c r="A2247" s="73" t="n"/>
      <c r="B2247" s="74" t="n"/>
      <c r="C2247" s="74" t="n"/>
      <c r="D2247" s="75">
        <f>IF($C2247="","",IFERROR(INDEX(CAT_TIPO,MATCH($C2247,CAT_NOME,0)),"Sem categoria"))</f>
        <v/>
      </c>
      <c r="E2247" s="75">
        <f>IF($C2247="","",IFERROR(INDEX(CAT_GRUPO,MATCH($C2247,CAT_NOME,0)),"Sem categoria"))</f>
        <v/>
      </c>
      <c r="F2247" s="76" t="n"/>
      <c r="G2247" s="74" t="n"/>
      <c r="H2247" s="74" t="n"/>
      <c r="I2247" s="74" t="n"/>
      <c r="J2247" s="77" t="n"/>
      <c r="K2247" s="77" t="n"/>
      <c r="L2247" s="74" t="n"/>
      <c r="M2247" s="74" t="n"/>
      <c r="O2247" s="78">
        <f>IF($A2247="","",YEAR($A2247)*100+MONTH($A2247))</f>
        <v/>
      </c>
      <c r="P2247" s="79">
        <f>IF(OR($F2247="",$D2247=""),"",IF($D2247="Receita",$F2247,IF($D2247="Transferência",0,-$F2247)))</f>
        <v/>
      </c>
    </row>
    <row r="2248">
      <c r="A2248" s="73" t="n"/>
      <c r="B2248" s="74" t="n"/>
      <c r="C2248" s="74" t="n"/>
      <c r="D2248" s="75">
        <f>IF($C2248="","",IFERROR(INDEX(CAT_TIPO,MATCH($C2248,CAT_NOME,0)),"Sem categoria"))</f>
        <v/>
      </c>
      <c r="E2248" s="75">
        <f>IF($C2248="","",IFERROR(INDEX(CAT_GRUPO,MATCH($C2248,CAT_NOME,0)),"Sem categoria"))</f>
        <v/>
      </c>
      <c r="F2248" s="76" t="n"/>
      <c r="G2248" s="74" t="n"/>
      <c r="H2248" s="74" t="n"/>
      <c r="I2248" s="74" t="n"/>
      <c r="J2248" s="77" t="n"/>
      <c r="K2248" s="77" t="n"/>
      <c r="L2248" s="74" t="n"/>
      <c r="M2248" s="74" t="n"/>
      <c r="O2248" s="78">
        <f>IF($A2248="","",YEAR($A2248)*100+MONTH($A2248))</f>
        <v/>
      </c>
      <c r="P2248" s="79">
        <f>IF(OR($F2248="",$D2248=""),"",IF($D2248="Receita",$F2248,IF($D2248="Transferência",0,-$F2248)))</f>
        <v/>
      </c>
    </row>
    <row r="2249">
      <c r="A2249" s="73" t="n"/>
      <c r="B2249" s="74" t="n"/>
      <c r="C2249" s="74" t="n"/>
      <c r="D2249" s="75">
        <f>IF($C2249="","",IFERROR(INDEX(CAT_TIPO,MATCH($C2249,CAT_NOME,0)),"Sem categoria"))</f>
        <v/>
      </c>
      <c r="E2249" s="75">
        <f>IF($C2249="","",IFERROR(INDEX(CAT_GRUPO,MATCH($C2249,CAT_NOME,0)),"Sem categoria"))</f>
        <v/>
      </c>
      <c r="F2249" s="76" t="n"/>
      <c r="G2249" s="74" t="n"/>
      <c r="H2249" s="74" t="n"/>
      <c r="I2249" s="74" t="n"/>
      <c r="J2249" s="77" t="n"/>
      <c r="K2249" s="77" t="n"/>
      <c r="L2249" s="74" t="n"/>
      <c r="M2249" s="74" t="n"/>
      <c r="O2249" s="78">
        <f>IF($A2249="","",YEAR($A2249)*100+MONTH($A2249))</f>
        <v/>
      </c>
      <c r="P2249" s="79">
        <f>IF(OR($F2249="",$D2249=""),"",IF($D2249="Receita",$F2249,IF($D2249="Transferência",0,-$F2249)))</f>
        <v/>
      </c>
    </row>
    <row r="2250">
      <c r="A2250" s="73" t="n"/>
      <c r="B2250" s="74" t="n"/>
      <c r="C2250" s="74" t="n"/>
      <c r="D2250" s="75">
        <f>IF($C2250="","",IFERROR(INDEX(CAT_TIPO,MATCH($C2250,CAT_NOME,0)),"Sem categoria"))</f>
        <v/>
      </c>
      <c r="E2250" s="75">
        <f>IF($C2250="","",IFERROR(INDEX(CAT_GRUPO,MATCH($C2250,CAT_NOME,0)),"Sem categoria"))</f>
        <v/>
      </c>
      <c r="F2250" s="76" t="n"/>
      <c r="G2250" s="74" t="n"/>
      <c r="H2250" s="74" t="n"/>
      <c r="I2250" s="74" t="n"/>
      <c r="J2250" s="77" t="n"/>
      <c r="K2250" s="77" t="n"/>
      <c r="L2250" s="74" t="n"/>
      <c r="M2250" s="74" t="n"/>
      <c r="O2250" s="78">
        <f>IF($A2250="","",YEAR($A2250)*100+MONTH($A2250))</f>
        <v/>
      </c>
      <c r="P2250" s="79">
        <f>IF(OR($F2250="",$D2250=""),"",IF($D2250="Receita",$F2250,IF($D2250="Transferência",0,-$F2250)))</f>
        <v/>
      </c>
    </row>
    <row r="2251">
      <c r="A2251" s="73" t="n"/>
      <c r="B2251" s="74" t="n"/>
      <c r="C2251" s="74" t="n"/>
      <c r="D2251" s="75">
        <f>IF($C2251="","",IFERROR(INDEX(CAT_TIPO,MATCH($C2251,CAT_NOME,0)),"Sem categoria"))</f>
        <v/>
      </c>
      <c r="E2251" s="75">
        <f>IF($C2251="","",IFERROR(INDEX(CAT_GRUPO,MATCH($C2251,CAT_NOME,0)),"Sem categoria"))</f>
        <v/>
      </c>
      <c r="F2251" s="76" t="n"/>
      <c r="G2251" s="74" t="n"/>
      <c r="H2251" s="74" t="n"/>
      <c r="I2251" s="74" t="n"/>
      <c r="J2251" s="77" t="n"/>
      <c r="K2251" s="77" t="n"/>
      <c r="L2251" s="74" t="n"/>
      <c r="M2251" s="74" t="n"/>
      <c r="O2251" s="78">
        <f>IF($A2251="","",YEAR($A2251)*100+MONTH($A2251))</f>
        <v/>
      </c>
      <c r="P2251" s="79">
        <f>IF(OR($F2251="",$D2251=""),"",IF($D2251="Receita",$F2251,IF($D2251="Transferência",0,-$F2251)))</f>
        <v/>
      </c>
    </row>
    <row r="2252">
      <c r="A2252" s="73" t="n"/>
      <c r="B2252" s="74" t="n"/>
      <c r="C2252" s="74" t="n"/>
      <c r="D2252" s="75">
        <f>IF($C2252="","",IFERROR(INDEX(CAT_TIPO,MATCH($C2252,CAT_NOME,0)),"Sem categoria"))</f>
        <v/>
      </c>
      <c r="E2252" s="75">
        <f>IF($C2252="","",IFERROR(INDEX(CAT_GRUPO,MATCH($C2252,CAT_NOME,0)),"Sem categoria"))</f>
        <v/>
      </c>
      <c r="F2252" s="76" t="n"/>
      <c r="G2252" s="74" t="n"/>
      <c r="H2252" s="74" t="n"/>
      <c r="I2252" s="74" t="n"/>
      <c r="J2252" s="77" t="n"/>
      <c r="K2252" s="77" t="n"/>
      <c r="L2252" s="74" t="n"/>
      <c r="M2252" s="74" t="n"/>
      <c r="O2252" s="78">
        <f>IF($A2252="","",YEAR($A2252)*100+MONTH($A2252))</f>
        <v/>
      </c>
      <c r="P2252" s="79">
        <f>IF(OR($F2252="",$D2252=""),"",IF($D2252="Receita",$F2252,IF($D2252="Transferência",0,-$F2252)))</f>
        <v/>
      </c>
    </row>
    <row r="2253">
      <c r="A2253" s="73" t="n"/>
      <c r="B2253" s="74" t="n"/>
      <c r="C2253" s="74" t="n"/>
      <c r="D2253" s="75">
        <f>IF($C2253="","",IFERROR(INDEX(CAT_TIPO,MATCH($C2253,CAT_NOME,0)),"Sem categoria"))</f>
        <v/>
      </c>
      <c r="E2253" s="75">
        <f>IF($C2253="","",IFERROR(INDEX(CAT_GRUPO,MATCH($C2253,CAT_NOME,0)),"Sem categoria"))</f>
        <v/>
      </c>
      <c r="F2253" s="76" t="n"/>
      <c r="G2253" s="74" t="n"/>
      <c r="H2253" s="74" t="n"/>
      <c r="I2253" s="74" t="n"/>
      <c r="J2253" s="77" t="n"/>
      <c r="K2253" s="77" t="n"/>
      <c r="L2253" s="74" t="n"/>
      <c r="M2253" s="74" t="n"/>
      <c r="O2253" s="78">
        <f>IF($A2253="","",YEAR($A2253)*100+MONTH($A2253))</f>
        <v/>
      </c>
      <c r="P2253" s="79">
        <f>IF(OR($F2253="",$D2253=""),"",IF($D2253="Receita",$F2253,IF($D2253="Transferência",0,-$F2253)))</f>
        <v/>
      </c>
    </row>
    <row r="2254">
      <c r="A2254" s="73" t="n"/>
      <c r="B2254" s="74" t="n"/>
      <c r="C2254" s="74" t="n"/>
      <c r="D2254" s="75">
        <f>IF($C2254="","",IFERROR(INDEX(CAT_TIPO,MATCH($C2254,CAT_NOME,0)),"Sem categoria"))</f>
        <v/>
      </c>
      <c r="E2254" s="75">
        <f>IF($C2254="","",IFERROR(INDEX(CAT_GRUPO,MATCH($C2254,CAT_NOME,0)),"Sem categoria"))</f>
        <v/>
      </c>
      <c r="F2254" s="76" t="n"/>
      <c r="G2254" s="74" t="n"/>
      <c r="H2254" s="74" t="n"/>
      <c r="I2254" s="74" t="n"/>
      <c r="J2254" s="77" t="n"/>
      <c r="K2254" s="77" t="n"/>
      <c r="L2254" s="74" t="n"/>
      <c r="M2254" s="74" t="n"/>
      <c r="O2254" s="78">
        <f>IF($A2254="","",YEAR($A2254)*100+MONTH($A2254))</f>
        <v/>
      </c>
      <c r="P2254" s="79">
        <f>IF(OR($F2254="",$D2254=""),"",IF($D2254="Receita",$F2254,IF($D2254="Transferência",0,-$F2254)))</f>
        <v/>
      </c>
    </row>
    <row r="2255">
      <c r="A2255" s="73" t="n"/>
      <c r="B2255" s="74" t="n"/>
      <c r="C2255" s="74" t="n"/>
      <c r="D2255" s="75">
        <f>IF($C2255="","",IFERROR(INDEX(CAT_TIPO,MATCH($C2255,CAT_NOME,0)),"Sem categoria"))</f>
        <v/>
      </c>
      <c r="E2255" s="75">
        <f>IF($C2255="","",IFERROR(INDEX(CAT_GRUPO,MATCH($C2255,CAT_NOME,0)),"Sem categoria"))</f>
        <v/>
      </c>
      <c r="F2255" s="76" t="n"/>
      <c r="G2255" s="74" t="n"/>
      <c r="H2255" s="74" t="n"/>
      <c r="I2255" s="74" t="n"/>
      <c r="J2255" s="77" t="n"/>
      <c r="K2255" s="77" t="n"/>
      <c r="L2255" s="74" t="n"/>
      <c r="M2255" s="74" t="n"/>
      <c r="O2255" s="78">
        <f>IF($A2255="","",YEAR($A2255)*100+MONTH($A2255))</f>
        <v/>
      </c>
      <c r="P2255" s="79">
        <f>IF(OR($F2255="",$D2255=""),"",IF($D2255="Receita",$F2255,IF($D2255="Transferência",0,-$F2255)))</f>
        <v/>
      </c>
    </row>
    <row r="2256">
      <c r="A2256" s="73" t="n"/>
      <c r="B2256" s="74" t="n"/>
      <c r="C2256" s="74" t="n"/>
      <c r="D2256" s="75">
        <f>IF($C2256="","",IFERROR(INDEX(CAT_TIPO,MATCH($C2256,CAT_NOME,0)),"Sem categoria"))</f>
        <v/>
      </c>
      <c r="E2256" s="75">
        <f>IF($C2256="","",IFERROR(INDEX(CAT_GRUPO,MATCH($C2256,CAT_NOME,0)),"Sem categoria"))</f>
        <v/>
      </c>
      <c r="F2256" s="76" t="n"/>
      <c r="G2256" s="74" t="n"/>
      <c r="H2256" s="74" t="n"/>
      <c r="I2256" s="74" t="n"/>
      <c r="J2256" s="77" t="n"/>
      <c r="K2256" s="77" t="n"/>
      <c r="L2256" s="74" t="n"/>
      <c r="M2256" s="74" t="n"/>
      <c r="O2256" s="78">
        <f>IF($A2256="","",YEAR($A2256)*100+MONTH($A2256))</f>
        <v/>
      </c>
      <c r="P2256" s="79">
        <f>IF(OR($F2256="",$D2256=""),"",IF($D2256="Receita",$F2256,IF($D2256="Transferência",0,-$F2256)))</f>
        <v/>
      </c>
    </row>
    <row r="2257">
      <c r="A2257" s="73" t="n"/>
      <c r="B2257" s="74" t="n"/>
      <c r="C2257" s="74" t="n"/>
      <c r="D2257" s="75">
        <f>IF($C2257="","",IFERROR(INDEX(CAT_TIPO,MATCH($C2257,CAT_NOME,0)),"Sem categoria"))</f>
        <v/>
      </c>
      <c r="E2257" s="75">
        <f>IF($C2257="","",IFERROR(INDEX(CAT_GRUPO,MATCH($C2257,CAT_NOME,0)),"Sem categoria"))</f>
        <v/>
      </c>
      <c r="F2257" s="76" t="n"/>
      <c r="G2257" s="74" t="n"/>
      <c r="H2257" s="74" t="n"/>
      <c r="I2257" s="74" t="n"/>
      <c r="J2257" s="77" t="n"/>
      <c r="K2257" s="77" t="n"/>
      <c r="L2257" s="74" t="n"/>
      <c r="M2257" s="74" t="n"/>
      <c r="O2257" s="78">
        <f>IF($A2257="","",YEAR($A2257)*100+MONTH($A2257))</f>
        <v/>
      </c>
      <c r="P2257" s="79">
        <f>IF(OR($F2257="",$D2257=""),"",IF($D2257="Receita",$F2257,IF($D2257="Transferência",0,-$F2257)))</f>
        <v/>
      </c>
    </row>
    <row r="2258">
      <c r="A2258" s="73" t="n"/>
      <c r="B2258" s="74" t="n"/>
      <c r="C2258" s="74" t="n"/>
      <c r="D2258" s="75">
        <f>IF($C2258="","",IFERROR(INDEX(CAT_TIPO,MATCH($C2258,CAT_NOME,0)),"Sem categoria"))</f>
        <v/>
      </c>
      <c r="E2258" s="75">
        <f>IF($C2258="","",IFERROR(INDEX(CAT_GRUPO,MATCH($C2258,CAT_NOME,0)),"Sem categoria"))</f>
        <v/>
      </c>
      <c r="F2258" s="76" t="n"/>
      <c r="G2258" s="74" t="n"/>
      <c r="H2258" s="74" t="n"/>
      <c r="I2258" s="74" t="n"/>
      <c r="J2258" s="77" t="n"/>
      <c r="K2258" s="77" t="n"/>
      <c r="L2258" s="74" t="n"/>
      <c r="M2258" s="74" t="n"/>
      <c r="O2258" s="78">
        <f>IF($A2258="","",YEAR($A2258)*100+MONTH($A2258))</f>
        <v/>
      </c>
      <c r="P2258" s="79">
        <f>IF(OR($F2258="",$D2258=""),"",IF($D2258="Receita",$F2258,IF($D2258="Transferência",0,-$F2258)))</f>
        <v/>
      </c>
    </row>
    <row r="2259">
      <c r="A2259" s="73" t="n"/>
      <c r="B2259" s="74" t="n"/>
      <c r="C2259" s="74" t="n"/>
      <c r="D2259" s="75">
        <f>IF($C2259="","",IFERROR(INDEX(CAT_TIPO,MATCH($C2259,CAT_NOME,0)),"Sem categoria"))</f>
        <v/>
      </c>
      <c r="E2259" s="75">
        <f>IF($C2259="","",IFERROR(INDEX(CAT_GRUPO,MATCH($C2259,CAT_NOME,0)),"Sem categoria"))</f>
        <v/>
      </c>
      <c r="F2259" s="76" t="n"/>
      <c r="G2259" s="74" t="n"/>
      <c r="H2259" s="74" t="n"/>
      <c r="I2259" s="74" t="n"/>
      <c r="J2259" s="77" t="n"/>
      <c r="K2259" s="77" t="n"/>
      <c r="L2259" s="74" t="n"/>
      <c r="M2259" s="74" t="n"/>
      <c r="O2259" s="78">
        <f>IF($A2259="","",YEAR($A2259)*100+MONTH($A2259))</f>
        <v/>
      </c>
      <c r="P2259" s="79">
        <f>IF(OR($F2259="",$D2259=""),"",IF($D2259="Receita",$F2259,IF($D2259="Transferência",0,-$F2259)))</f>
        <v/>
      </c>
    </row>
    <row r="2260">
      <c r="A2260" s="73" t="n"/>
      <c r="B2260" s="74" t="n"/>
      <c r="C2260" s="74" t="n"/>
      <c r="D2260" s="75">
        <f>IF($C2260="","",IFERROR(INDEX(CAT_TIPO,MATCH($C2260,CAT_NOME,0)),"Sem categoria"))</f>
        <v/>
      </c>
      <c r="E2260" s="75">
        <f>IF($C2260="","",IFERROR(INDEX(CAT_GRUPO,MATCH($C2260,CAT_NOME,0)),"Sem categoria"))</f>
        <v/>
      </c>
      <c r="F2260" s="76" t="n"/>
      <c r="G2260" s="74" t="n"/>
      <c r="H2260" s="74" t="n"/>
      <c r="I2260" s="74" t="n"/>
      <c r="J2260" s="77" t="n"/>
      <c r="K2260" s="77" t="n"/>
      <c r="L2260" s="74" t="n"/>
      <c r="M2260" s="74" t="n"/>
      <c r="O2260" s="78">
        <f>IF($A2260="","",YEAR($A2260)*100+MONTH($A2260))</f>
        <v/>
      </c>
      <c r="P2260" s="79">
        <f>IF(OR($F2260="",$D2260=""),"",IF($D2260="Receita",$F2260,IF($D2260="Transferência",0,-$F2260)))</f>
        <v/>
      </c>
    </row>
    <row r="2261">
      <c r="A2261" s="73" t="n"/>
      <c r="B2261" s="74" t="n"/>
      <c r="C2261" s="74" t="n"/>
      <c r="D2261" s="75">
        <f>IF($C2261="","",IFERROR(INDEX(CAT_TIPO,MATCH($C2261,CAT_NOME,0)),"Sem categoria"))</f>
        <v/>
      </c>
      <c r="E2261" s="75">
        <f>IF($C2261="","",IFERROR(INDEX(CAT_GRUPO,MATCH($C2261,CAT_NOME,0)),"Sem categoria"))</f>
        <v/>
      </c>
      <c r="F2261" s="76" t="n"/>
      <c r="G2261" s="74" t="n"/>
      <c r="H2261" s="74" t="n"/>
      <c r="I2261" s="74" t="n"/>
      <c r="J2261" s="77" t="n"/>
      <c r="K2261" s="77" t="n"/>
      <c r="L2261" s="74" t="n"/>
      <c r="M2261" s="74" t="n"/>
      <c r="O2261" s="78">
        <f>IF($A2261="","",YEAR($A2261)*100+MONTH($A2261))</f>
        <v/>
      </c>
      <c r="P2261" s="79">
        <f>IF(OR($F2261="",$D2261=""),"",IF($D2261="Receita",$F2261,IF($D2261="Transferência",0,-$F2261)))</f>
        <v/>
      </c>
    </row>
    <row r="2262">
      <c r="A2262" s="73" t="n"/>
      <c r="B2262" s="74" t="n"/>
      <c r="C2262" s="74" t="n"/>
      <c r="D2262" s="75">
        <f>IF($C2262="","",IFERROR(INDEX(CAT_TIPO,MATCH($C2262,CAT_NOME,0)),"Sem categoria"))</f>
        <v/>
      </c>
      <c r="E2262" s="75">
        <f>IF($C2262="","",IFERROR(INDEX(CAT_GRUPO,MATCH($C2262,CAT_NOME,0)),"Sem categoria"))</f>
        <v/>
      </c>
      <c r="F2262" s="76" t="n"/>
      <c r="G2262" s="74" t="n"/>
      <c r="H2262" s="74" t="n"/>
      <c r="I2262" s="74" t="n"/>
      <c r="J2262" s="77" t="n"/>
      <c r="K2262" s="77" t="n"/>
      <c r="L2262" s="74" t="n"/>
      <c r="M2262" s="74" t="n"/>
      <c r="O2262" s="78">
        <f>IF($A2262="","",YEAR($A2262)*100+MONTH($A2262))</f>
        <v/>
      </c>
      <c r="P2262" s="79">
        <f>IF(OR($F2262="",$D2262=""),"",IF($D2262="Receita",$F2262,IF($D2262="Transferência",0,-$F2262)))</f>
        <v/>
      </c>
    </row>
    <row r="2263">
      <c r="A2263" s="73" t="n"/>
      <c r="B2263" s="74" t="n"/>
      <c r="C2263" s="74" t="n"/>
      <c r="D2263" s="75">
        <f>IF($C2263="","",IFERROR(INDEX(CAT_TIPO,MATCH($C2263,CAT_NOME,0)),"Sem categoria"))</f>
        <v/>
      </c>
      <c r="E2263" s="75">
        <f>IF($C2263="","",IFERROR(INDEX(CAT_GRUPO,MATCH($C2263,CAT_NOME,0)),"Sem categoria"))</f>
        <v/>
      </c>
      <c r="F2263" s="76" t="n"/>
      <c r="G2263" s="74" t="n"/>
      <c r="H2263" s="74" t="n"/>
      <c r="I2263" s="74" t="n"/>
      <c r="J2263" s="77" t="n"/>
      <c r="K2263" s="77" t="n"/>
      <c r="L2263" s="74" t="n"/>
      <c r="M2263" s="74" t="n"/>
      <c r="O2263" s="78">
        <f>IF($A2263="","",YEAR($A2263)*100+MONTH($A2263))</f>
        <v/>
      </c>
      <c r="P2263" s="79">
        <f>IF(OR($F2263="",$D2263=""),"",IF($D2263="Receita",$F2263,IF($D2263="Transferência",0,-$F2263)))</f>
        <v/>
      </c>
    </row>
    <row r="2264">
      <c r="A2264" s="73" t="n"/>
      <c r="B2264" s="74" t="n"/>
      <c r="C2264" s="74" t="n"/>
      <c r="D2264" s="75">
        <f>IF($C2264="","",IFERROR(INDEX(CAT_TIPO,MATCH($C2264,CAT_NOME,0)),"Sem categoria"))</f>
        <v/>
      </c>
      <c r="E2264" s="75">
        <f>IF($C2264="","",IFERROR(INDEX(CAT_GRUPO,MATCH($C2264,CAT_NOME,0)),"Sem categoria"))</f>
        <v/>
      </c>
      <c r="F2264" s="76" t="n"/>
      <c r="G2264" s="74" t="n"/>
      <c r="H2264" s="74" t="n"/>
      <c r="I2264" s="74" t="n"/>
      <c r="J2264" s="77" t="n"/>
      <c r="K2264" s="77" t="n"/>
      <c r="L2264" s="74" t="n"/>
      <c r="M2264" s="74" t="n"/>
      <c r="O2264" s="78">
        <f>IF($A2264="","",YEAR($A2264)*100+MONTH($A2264))</f>
        <v/>
      </c>
      <c r="P2264" s="79">
        <f>IF(OR($F2264="",$D2264=""),"",IF($D2264="Receita",$F2264,IF($D2264="Transferência",0,-$F2264)))</f>
        <v/>
      </c>
    </row>
    <row r="2265">
      <c r="A2265" s="73" t="n"/>
      <c r="B2265" s="74" t="n"/>
      <c r="C2265" s="74" t="n"/>
      <c r="D2265" s="75">
        <f>IF($C2265="","",IFERROR(INDEX(CAT_TIPO,MATCH($C2265,CAT_NOME,0)),"Sem categoria"))</f>
        <v/>
      </c>
      <c r="E2265" s="75">
        <f>IF($C2265="","",IFERROR(INDEX(CAT_GRUPO,MATCH($C2265,CAT_NOME,0)),"Sem categoria"))</f>
        <v/>
      </c>
      <c r="F2265" s="76" t="n"/>
      <c r="G2265" s="74" t="n"/>
      <c r="H2265" s="74" t="n"/>
      <c r="I2265" s="74" t="n"/>
      <c r="J2265" s="77" t="n"/>
      <c r="K2265" s="77" t="n"/>
      <c r="L2265" s="74" t="n"/>
      <c r="M2265" s="74" t="n"/>
      <c r="O2265" s="78">
        <f>IF($A2265="","",YEAR($A2265)*100+MONTH($A2265))</f>
        <v/>
      </c>
      <c r="P2265" s="79">
        <f>IF(OR($F2265="",$D2265=""),"",IF($D2265="Receita",$F2265,IF($D2265="Transferência",0,-$F2265)))</f>
        <v/>
      </c>
    </row>
    <row r="2266">
      <c r="A2266" s="73" t="n"/>
      <c r="B2266" s="74" t="n"/>
      <c r="C2266" s="74" t="n"/>
      <c r="D2266" s="75">
        <f>IF($C2266="","",IFERROR(INDEX(CAT_TIPO,MATCH($C2266,CAT_NOME,0)),"Sem categoria"))</f>
        <v/>
      </c>
      <c r="E2266" s="75">
        <f>IF($C2266="","",IFERROR(INDEX(CAT_GRUPO,MATCH($C2266,CAT_NOME,0)),"Sem categoria"))</f>
        <v/>
      </c>
      <c r="F2266" s="76" t="n"/>
      <c r="G2266" s="74" t="n"/>
      <c r="H2266" s="74" t="n"/>
      <c r="I2266" s="74" t="n"/>
      <c r="J2266" s="77" t="n"/>
      <c r="K2266" s="77" t="n"/>
      <c r="L2266" s="74" t="n"/>
      <c r="M2266" s="74" t="n"/>
      <c r="O2266" s="78">
        <f>IF($A2266="","",YEAR($A2266)*100+MONTH($A2266))</f>
        <v/>
      </c>
      <c r="P2266" s="79">
        <f>IF(OR($F2266="",$D2266=""),"",IF($D2266="Receita",$F2266,IF($D2266="Transferência",0,-$F2266)))</f>
        <v/>
      </c>
    </row>
    <row r="2267">
      <c r="A2267" s="73" t="n"/>
      <c r="B2267" s="74" t="n"/>
      <c r="C2267" s="74" t="n"/>
      <c r="D2267" s="75">
        <f>IF($C2267="","",IFERROR(INDEX(CAT_TIPO,MATCH($C2267,CAT_NOME,0)),"Sem categoria"))</f>
        <v/>
      </c>
      <c r="E2267" s="75">
        <f>IF($C2267="","",IFERROR(INDEX(CAT_GRUPO,MATCH($C2267,CAT_NOME,0)),"Sem categoria"))</f>
        <v/>
      </c>
      <c r="F2267" s="76" t="n"/>
      <c r="G2267" s="74" t="n"/>
      <c r="H2267" s="74" t="n"/>
      <c r="I2267" s="74" t="n"/>
      <c r="J2267" s="77" t="n"/>
      <c r="K2267" s="77" t="n"/>
      <c r="L2267" s="74" t="n"/>
      <c r="M2267" s="74" t="n"/>
      <c r="O2267" s="78">
        <f>IF($A2267="","",YEAR($A2267)*100+MONTH($A2267))</f>
        <v/>
      </c>
      <c r="P2267" s="79">
        <f>IF(OR($F2267="",$D2267=""),"",IF($D2267="Receita",$F2267,IF($D2267="Transferência",0,-$F2267)))</f>
        <v/>
      </c>
    </row>
    <row r="2268">
      <c r="A2268" s="73" t="n"/>
      <c r="B2268" s="74" t="n"/>
      <c r="C2268" s="74" t="n"/>
      <c r="D2268" s="75">
        <f>IF($C2268="","",IFERROR(INDEX(CAT_TIPO,MATCH($C2268,CAT_NOME,0)),"Sem categoria"))</f>
        <v/>
      </c>
      <c r="E2268" s="75">
        <f>IF($C2268="","",IFERROR(INDEX(CAT_GRUPO,MATCH($C2268,CAT_NOME,0)),"Sem categoria"))</f>
        <v/>
      </c>
      <c r="F2268" s="76" t="n"/>
      <c r="G2268" s="74" t="n"/>
      <c r="H2268" s="74" t="n"/>
      <c r="I2268" s="74" t="n"/>
      <c r="J2268" s="77" t="n"/>
      <c r="K2268" s="77" t="n"/>
      <c r="L2268" s="74" t="n"/>
      <c r="M2268" s="74" t="n"/>
      <c r="O2268" s="78">
        <f>IF($A2268="","",YEAR($A2268)*100+MONTH($A2268))</f>
        <v/>
      </c>
      <c r="P2268" s="79">
        <f>IF(OR($F2268="",$D2268=""),"",IF($D2268="Receita",$F2268,IF($D2268="Transferência",0,-$F2268)))</f>
        <v/>
      </c>
    </row>
    <row r="2269">
      <c r="A2269" s="73" t="n"/>
      <c r="B2269" s="74" t="n"/>
      <c r="C2269" s="74" t="n"/>
      <c r="D2269" s="75">
        <f>IF($C2269="","",IFERROR(INDEX(CAT_TIPO,MATCH($C2269,CAT_NOME,0)),"Sem categoria"))</f>
        <v/>
      </c>
      <c r="E2269" s="75">
        <f>IF($C2269="","",IFERROR(INDEX(CAT_GRUPO,MATCH($C2269,CAT_NOME,0)),"Sem categoria"))</f>
        <v/>
      </c>
      <c r="F2269" s="76" t="n"/>
      <c r="G2269" s="74" t="n"/>
      <c r="H2269" s="74" t="n"/>
      <c r="I2269" s="74" t="n"/>
      <c r="J2269" s="77" t="n"/>
      <c r="K2269" s="77" t="n"/>
      <c r="L2269" s="74" t="n"/>
      <c r="M2269" s="74" t="n"/>
      <c r="O2269" s="78">
        <f>IF($A2269="","",YEAR($A2269)*100+MONTH($A2269))</f>
        <v/>
      </c>
      <c r="P2269" s="79">
        <f>IF(OR($F2269="",$D2269=""),"",IF($D2269="Receita",$F2269,IF($D2269="Transferência",0,-$F2269)))</f>
        <v/>
      </c>
    </row>
    <row r="2270">
      <c r="A2270" s="73" t="n"/>
      <c r="B2270" s="74" t="n"/>
      <c r="C2270" s="74" t="n"/>
      <c r="D2270" s="75">
        <f>IF($C2270="","",IFERROR(INDEX(CAT_TIPO,MATCH($C2270,CAT_NOME,0)),"Sem categoria"))</f>
        <v/>
      </c>
      <c r="E2270" s="75">
        <f>IF($C2270="","",IFERROR(INDEX(CAT_GRUPO,MATCH($C2270,CAT_NOME,0)),"Sem categoria"))</f>
        <v/>
      </c>
      <c r="F2270" s="76" t="n"/>
      <c r="G2270" s="74" t="n"/>
      <c r="H2270" s="74" t="n"/>
      <c r="I2270" s="74" t="n"/>
      <c r="J2270" s="77" t="n"/>
      <c r="K2270" s="77" t="n"/>
      <c r="L2270" s="74" t="n"/>
      <c r="M2270" s="74" t="n"/>
      <c r="O2270" s="78">
        <f>IF($A2270="","",YEAR($A2270)*100+MONTH($A2270))</f>
        <v/>
      </c>
      <c r="P2270" s="79">
        <f>IF(OR($F2270="",$D2270=""),"",IF($D2270="Receita",$F2270,IF($D2270="Transferência",0,-$F2270)))</f>
        <v/>
      </c>
    </row>
    <row r="2271">
      <c r="A2271" s="73" t="n"/>
      <c r="B2271" s="74" t="n"/>
      <c r="C2271" s="74" t="n"/>
      <c r="D2271" s="75">
        <f>IF($C2271="","",IFERROR(INDEX(CAT_TIPO,MATCH($C2271,CAT_NOME,0)),"Sem categoria"))</f>
        <v/>
      </c>
      <c r="E2271" s="75">
        <f>IF($C2271="","",IFERROR(INDEX(CAT_GRUPO,MATCH($C2271,CAT_NOME,0)),"Sem categoria"))</f>
        <v/>
      </c>
      <c r="F2271" s="76" t="n"/>
      <c r="G2271" s="74" t="n"/>
      <c r="H2271" s="74" t="n"/>
      <c r="I2271" s="74" t="n"/>
      <c r="J2271" s="77" t="n"/>
      <c r="K2271" s="77" t="n"/>
      <c r="L2271" s="74" t="n"/>
      <c r="M2271" s="74" t="n"/>
      <c r="O2271" s="78">
        <f>IF($A2271="","",YEAR($A2271)*100+MONTH($A2271))</f>
        <v/>
      </c>
      <c r="P2271" s="79">
        <f>IF(OR($F2271="",$D2271=""),"",IF($D2271="Receita",$F2271,IF($D2271="Transferência",0,-$F2271)))</f>
        <v/>
      </c>
    </row>
    <row r="2272">
      <c r="A2272" s="73" t="n"/>
      <c r="B2272" s="74" t="n"/>
      <c r="C2272" s="74" t="n"/>
      <c r="D2272" s="75">
        <f>IF($C2272="","",IFERROR(INDEX(CAT_TIPO,MATCH($C2272,CAT_NOME,0)),"Sem categoria"))</f>
        <v/>
      </c>
      <c r="E2272" s="75">
        <f>IF($C2272="","",IFERROR(INDEX(CAT_GRUPO,MATCH($C2272,CAT_NOME,0)),"Sem categoria"))</f>
        <v/>
      </c>
      <c r="F2272" s="76" t="n"/>
      <c r="G2272" s="74" t="n"/>
      <c r="H2272" s="74" t="n"/>
      <c r="I2272" s="74" t="n"/>
      <c r="J2272" s="77" t="n"/>
      <c r="K2272" s="77" t="n"/>
      <c r="L2272" s="74" t="n"/>
      <c r="M2272" s="74" t="n"/>
      <c r="O2272" s="78">
        <f>IF($A2272="","",YEAR($A2272)*100+MONTH($A2272))</f>
        <v/>
      </c>
      <c r="P2272" s="79">
        <f>IF(OR($F2272="",$D2272=""),"",IF($D2272="Receita",$F2272,IF($D2272="Transferência",0,-$F2272)))</f>
        <v/>
      </c>
    </row>
    <row r="2273">
      <c r="A2273" s="73" t="n"/>
      <c r="B2273" s="74" t="n"/>
      <c r="C2273" s="74" t="n"/>
      <c r="D2273" s="75">
        <f>IF($C2273="","",IFERROR(INDEX(CAT_TIPO,MATCH($C2273,CAT_NOME,0)),"Sem categoria"))</f>
        <v/>
      </c>
      <c r="E2273" s="75">
        <f>IF($C2273="","",IFERROR(INDEX(CAT_GRUPO,MATCH($C2273,CAT_NOME,0)),"Sem categoria"))</f>
        <v/>
      </c>
      <c r="F2273" s="76" t="n"/>
      <c r="G2273" s="74" t="n"/>
      <c r="H2273" s="74" t="n"/>
      <c r="I2273" s="74" t="n"/>
      <c r="J2273" s="77" t="n"/>
      <c r="K2273" s="77" t="n"/>
      <c r="L2273" s="74" t="n"/>
      <c r="M2273" s="74" t="n"/>
      <c r="O2273" s="78">
        <f>IF($A2273="","",YEAR($A2273)*100+MONTH($A2273))</f>
        <v/>
      </c>
      <c r="P2273" s="79">
        <f>IF(OR($F2273="",$D2273=""),"",IF($D2273="Receita",$F2273,IF($D2273="Transferência",0,-$F2273)))</f>
        <v/>
      </c>
    </row>
    <row r="2274">
      <c r="A2274" s="73" t="n"/>
      <c r="B2274" s="74" t="n"/>
      <c r="C2274" s="74" t="n"/>
      <c r="D2274" s="75">
        <f>IF($C2274="","",IFERROR(INDEX(CAT_TIPO,MATCH($C2274,CAT_NOME,0)),"Sem categoria"))</f>
        <v/>
      </c>
      <c r="E2274" s="75">
        <f>IF($C2274="","",IFERROR(INDEX(CAT_GRUPO,MATCH($C2274,CAT_NOME,0)),"Sem categoria"))</f>
        <v/>
      </c>
      <c r="F2274" s="76" t="n"/>
      <c r="G2274" s="74" t="n"/>
      <c r="H2274" s="74" t="n"/>
      <c r="I2274" s="74" t="n"/>
      <c r="J2274" s="77" t="n"/>
      <c r="K2274" s="77" t="n"/>
      <c r="L2274" s="74" t="n"/>
      <c r="M2274" s="74" t="n"/>
      <c r="O2274" s="78">
        <f>IF($A2274="","",YEAR($A2274)*100+MONTH($A2274))</f>
        <v/>
      </c>
      <c r="P2274" s="79">
        <f>IF(OR($F2274="",$D2274=""),"",IF($D2274="Receita",$F2274,IF($D2274="Transferência",0,-$F2274)))</f>
        <v/>
      </c>
    </row>
    <row r="2275">
      <c r="A2275" s="73" t="n"/>
      <c r="B2275" s="74" t="n"/>
      <c r="C2275" s="74" t="n"/>
      <c r="D2275" s="75">
        <f>IF($C2275="","",IFERROR(INDEX(CAT_TIPO,MATCH($C2275,CAT_NOME,0)),"Sem categoria"))</f>
        <v/>
      </c>
      <c r="E2275" s="75">
        <f>IF($C2275="","",IFERROR(INDEX(CAT_GRUPO,MATCH($C2275,CAT_NOME,0)),"Sem categoria"))</f>
        <v/>
      </c>
      <c r="F2275" s="76" t="n"/>
      <c r="G2275" s="74" t="n"/>
      <c r="H2275" s="74" t="n"/>
      <c r="I2275" s="74" t="n"/>
      <c r="J2275" s="77" t="n"/>
      <c r="K2275" s="77" t="n"/>
      <c r="L2275" s="74" t="n"/>
      <c r="M2275" s="74" t="n"/>
      <c r="O2275" s="78">
        <f>IF($A2275="","",YEAR($A2275)*100+MONTH($A2275))</f>
        <v/>
      </c>
      <c r="P2275" s="79">
        <f>IF(OR($F2275="",$D2275=""),"",IF($D2275="Receita",$F2275,IF($D2275="Transferência",0,-$F2275)))</f>
        <v/>
      </c>
    </row>
    <row r="2276">
      <c r="A2276" s="73" t="n"/>
      <c r="B2276" s="74" t="n"/>
      <c r="C2276" s="74" t="n"/>
      <c r="D2276" s="75">
        <f>IF($C2276="","",IFERROR(INDEX(CAT_TIPO,MATCH($C2276,CAT_NOME,0)),"Sem categoria"))</f>
        <v/>
      </c>
      <c r="E2276" s="75">
        <f>IF($C2276="","",IFERROR(INDEX(CAT_GRUPO,MATCH($C2276,CAT_NOME,0)),"Sem categoria"))</f>
        <v/>
      </c>
      <c r="F2276" s="76" t="n"/>
      <c r="G2276" s="74" t="n"/>
      <c r="H2276" s="74" t="n"/>
      <c r="I2276" s="74" t="n"/>
      <c r="J2276" s="77" t="n"/>
      <c r="K2276" s="77" t="n"/>
      <c r="L2276" s="74" t="n"/>
      <c r="M2276" s="74" t="n"/>
      <c r="O2276" s="78">
        <f>IF($A2276="","",YEAR($A2276)*100+MONTH($A2276))</f>
        <v/>
      </c>
      <c r="P2276" s="79">
        <f>IF(OR($F2276="",$D2276=""),"",IF($D2276="Receita",$F2276,IF($D2276="Transferência",0,-$F2276)))</f>
        <v/>
      </c>
    </row>
    <row r="2277">
      <c r="A2277" s="73" t="n"/>
      <c r="B2277" s="74" t="n"/>
      <c r="C2277" s="74" t="n"/>
      <c r="D2277" s="75">
        <f>IF($C2277="","",IFERROR(INDEX(CAT_TIPO,MATCH($C2277,CAT_NOME,0)),"Sem categoria"))</f>
        <v/>
      </c>
      <c r="E2277" s="75">
        <f>IF($C2277="","",IFERROR(INDEX(CAT_GRUPO,MATCH($C2277,CAT_NOME,0)),"Sem categoria"))</f>
        <v/>
      </c>
      <c r="F2277" s="76" t="n"/>
      <c r="G2277" s="74" t="n"/>
      <c r="H2277" s="74" t="n"/>
      <c r="I2277" s="74" t="n"/>
      <c r="J2277" s="77" t="n"/>
      <c r="K2277" s="77" t="n"/>
      <c r="L2277" s="74" t="n"/>
      <c r="M2277" s="74" t="n"/>
      <c r="O2277" s="78">
        <f>IF($A2277="","",YEAR($A2277)*100+MONTH($A2277))</f>
        <v/>
      </c>
      <c r="P2277" s="79">
        <f>IF(OR($F2277="",$D2277=""),"",IF($D2277="Receita",$F2277,IF($D2277="Transferência",0,-$F2277)))</f>
        <v/>
      </c>
    </row>
    <row r="2278">
      <c r="A2278" s="73" t="n"/>
      <c r="B2278" s="74" t="n"/>
      <c r="C2278" s="74" t="n"/>
      <c r="D2278" s="75">
        <f>IF($C2278="","",IFERROR(INDEX(CAT_TIPO,MATCH($C2278,CAT_NOME,0)),"Sem categoria"))</f>
        <v/>
      </c>
      <c r="E2278" s="75">
        <f>IF($C2278="","",IFERROR(INDEX(CAT_GRUPO,MATCH($C2278,CAT_NOME,0)),"Sem categoria"))</f>
        <v/>
      </c>
      <c r="F2278" s="76" t="n"/>
      <c r="G2278" s="74" t="n"/>
      <c r="H2278" s="74" t="n"/>
      <c r="I2278" s="74" t="n"/>
      <c r="J2278" s="77" t="n"/>
      <c r="K2278" s="77" t="n"/>
      <c r="L2278" s="74" t="n"/>
      <c r="M2278" s="74" t="n"/>
      <c r="O2278" s="78">
        <f>IF($A2278="","",YEAR($A2278)*100+MONTH($A2278))</f>
        <v/>
      </c>
      <c r="P2278" s="79">
        <f>IF(OR($F2278="",$D2278=""),"",IF($D2278="Receita",$F2278,IF($D2278="Transferência",0,-$F2278)))</f>
        <v/>
      </c>
    </row>
    <row r="2279">
      <c r="A2279" s="73" t="n"/>
      <c r="B2279" s="74" t="n"/>
      <c r="C2279" s="74" t="n"/>
      <c r="D2279" s="75">
        <f>IF($C2279="","",IFERROR(INDEX(CAT_TIPO,MATCH($C2279,CAT_NOME,0)),"Sem categoria"))</f>
        <v/>
      </c>
      <c r="E2279" s="75">
        <f>IF($C2279="","",IFERROR(INDEX(CAT_GRUPO,MATCH($C2279,CAT_NOME,0)),"Sem categoria"))</f>
        <v/>
      </c>
      <c r="F2279" s="76" t="n"/>
      <c r="G2279" s="74" t="n"/>
      <c r="H2279" s="74" t="n"/>
      <c r="I2279" s="74" t="n"/>
      <c r="J2279" s="77" t="n"/>
      <c r="K2279" s="77" t="n"/>
      <c r="L2279" s="74" t="n"/>
      <c r="M2279" s="74" t="n"/>
      <c r="O2279" s="78">
        <f>IF($A2279="","",YEAR($A2279)*100+MONTH($A2279))</f>
        <v/>
      </c>
      <c r="P2279" s="79">
        <f>IF(OR($F2279="",$D2279=""),"",IF($D2279="Receita",$F2279,IF($D2279="Transferência",0,-$F2279)))</f>
        <v/>
      </c>
    </row>
    <row r="2280">
      <c r="A2280" s="73" t="n"/>
      <c r="B2280" s="74" t="n"/>
      <c r="C2280" s="74" t="n"/>
      <c r="D2280" s="75">
        <f>IF($C2280="","",IFERROR(INDEX(CAT_TIPO,MATCH($C2280,CAT_NOME,0)),"Sem categoria"))</f>
        <v/>
      </c>
      <c r="E2280" s="75">
        <f>IF($C2280="","",IFERROR(INDEX(CAT_GRUPO,MATCH($C2280,CAT_NOME,0)),"Sem categoria"))</f>
        <v/>
      </c>
      <c r="F2280" s="76" t="n"/>
      <c r="G2280" s="74" t="n"/>
      <c r="H2280" s="74" t="n"/>
      <c r="I2280" s="74" t="n"/>
      <c r="J2280" s="77" t="n"/>
      <c r="K2280" s="77" t="n"/>
      <c r="L2280" s="74" t="n"/>
      <c r="M2280" s="74" t="n"/>
      <c r="O2280" s="78">
        <f>IF($A2280="","",YEAR($A2280)*100+MONTH($A2280))</f>
        <v/>
      </c>
      <c r="P2280" s="79">
        <f>IF(OR($F2280="",$D2280=""),"",IF($D2280="Receita",$F2280,IF($D2280="Transferência",0,-$F2280)))</f>
        <v/>
      </c>
    </row>
    <row r="2281">
      <c r="A2281" s="73" t="n"/>
      <c r="B2281" s="74" t="n"/>
      <c r="C2281" s="74" t="n"/>
      <c r="D2281" s="75">
        <f>IF($C2281="","",IFERROR(INDEX(CAT_TIPO,MATCH($C2281,CAT_NOME,0)),"Sem categoria"))</f>
        <v/>
      </c>
      <c r="E2281" s="75">
        <f>IF($C2281="","",IFERROR(INDEX(CAT_GRUPO,MATCH($C2281,CAT_NOME,0)),"Sem categoria"))</f>
        <v/>
      </c>
      <c r="F2281" s="76" t="n"/>
      <c r="G2281" s="74" t="n"/>
      <c r="H2281" s="74" t="n"/>
      <c r="I2281" s="74" t="n"/>
      <c r="J2281" s="77" t="n"/>
      <c r="K2281" s="77" t="n"/>
      <c r="L2281" s="74" t="n"/>
      <c r="M2281" s="74" t="n"/>
      <c r="O2281" s="78">
        <f>IF($A2281="","",YEAR($A2281)*100+MONTH($A2281))</f>
        <v/>
      </c>
      <c r="P2281" s="79">
        <f>IF(OR($F2281="",$D2281=""),"",IF($D2281="Receita",$F2281,IF($D2281="Transferência",0,-$F2281)))</f>
        <v/>
      </c>
    </row>
    <row r="2282">
      <c r="A2282" s="73" t="n"/>
      <c r="B2282" s="74" t="n"/>
      <c r="C2282" s="74" t="n"/>
      <c r="D2282" s="75">
        <f>IF($C2282="","",IFERROR(INDEX(CAT_TIPO,MATCH($C2282,CAT_NOME,0)),"Sem categoria"))</f>
        <v/>
      </c>
      <c r="E2282" s="75">
        <f>IF($C2282="","",IFERROR(INDEX(CAT_GRUPO,MATCH($C2282,CAT_NOME,0)),"Sem categoria"))</f>
        <v/>
      </c>
      <c r="F2282" s="76" t="n"/>
      <c r="G2282" s="74" t="n"/>
      <c r="H2282" s="74" t="n"/>
      <c r="I2282" s="74" t="n"/>
      <c r="J2282" s="77" t="n"/>
      <c r="K2282" s="77" t="n"/>
      <c r="L2282" s="74" t="n"/>
      <c r="M2282" s="74" t="n"/>
      <c r="O2282" s="78">
        <f>IF($A2282="","",YEAR($A2282)*100+MONTH($A2282))</f>
        <v/>
      </c>
      <c r="P2282" s="79">
        <f>IF(OR($F2282="",$D2282=""),"",IF($D2282="Receita",$F2282,IF($D2282="Transferência",0,-$F2282)))</f>
        <v/>
      </c>
    </row>
    <row r="2283">
      <c r="A2283" s="73" t="n"/>
      <c r="B2283" s="74" t="n"/>
      <c r="C2283" s="74" t="n"/>
      <c r="D2283" s="75">
        <f>IF($C2283="","",IFERROR(INDEX(CAT_TIPO,MATCH($C2283,CAT_NOME,0)),"Sem categoria"))</f>
        <v/>
      </c>
      <c r="E2283" s="75">
        <f>IF($C2283="","",IFERROR(INDEX(CAT_GRUPO,MATCH($C2283,CAT_NOME,0)),"Sem categoria"))</f>
        <v/>
      </c>
      <c r="F2283" s="76" t="n"/>
      <c r="G2283" s="74" t="n"/>
      <c r="H2283" s="74" t="n"/>
      <c r="I2283" s="74" t="n"/>
      <c r="J2283" s="77" t="n"/>
      <c r="K2283" s="77" t="n"/>
      <c r="L2283" s="74" t="n"/>
      <c r="M2283" s="74" t="n"/>
      <c r="O2283" s="78">
        <f>IF($A2283="","",YEAR($A2283)*100+MONTH($A2283))</f>
        <v/>
      </c>
      <c r="P2283" s="79">
        <f>IF(OR($F2283="",$D2283=""),"",IF($D2283="Receita",$F2283,IF($D2283="Transferência",0,-$F2283)))</f>
        <v/>
      </c>
    </row>
    <row r="2284">
      <c r="A2284" s="73" t="n"/>
      <c r="B2284" s="74" t="n"/>
      <c r="C2284" s="74" t="n"/>
      <c r="D2284" s="75">
        <f>IF($C2284="","",IFERROR(INDEX(CAT_TIPO,MATCH($C2284,CAT_NOME,0)),"Sem categoria"))</f>
        <v/>
      </c>
      <c r="E2284" s="75">
        <f>IF($C2284="","",IFERROR(INDEX(CAT_GRUPO,MATCH($C2284,CAT_NOME,0)),"Sem categoria"))</f>
        <v/>
      </c>
      <c r="F2284" s="76" t="n"/>
      <c r="G2284" s="74" t="n"/>
      <c r="H2284" s="74" t="n"/>
      <c r="I2284" s="74" t="n"/>
      <c r="J2284" s="77" t="n"/>
      <c r="K2284" s="77" t="n"/>
      <c r="L2284" s="74" t="n"/>
      <c r="M2284" s="74" t="n"/>
      <c r="O2284" s="78">
        <f>IF($A2284="","",YEAR($A2284)*100+MONTH($A2284))</f>
        <v/>
      </c>
      <c r="P2284" s="79">
        <f>IF(OR($F2284="",$D2284=""),"",IF($D2284="Receita",$F2284,IF($D2284="Transferência",0,-$F2284)))</f>
        <v/>
      </c>
    </row>
    <row r="2285">
      <c r="A2285" s="73" t="n"/>
      <c r="B2285" s="74" t="n"/>
      <c r="C2285" s="74" t="n"/>
      <c r="D2285" s="75">
        <f>IF($C2285="","",IFERROR(INDEX(CAT_TIPO,MATCH($C2285,CAT_NOME,0)),"Sem categoria"))</f>
        <v/>
      </c>
      <c r="E2285" s="75">
        <f>IF($C2285="","",IFERROR(INDEX(CAT_GRUPO,MATCH($C2285,CAT_NOME,0)),"Sem categoria"))</f>
        <v/>
      </c>
      <c r="F2285" s="76" t="n"/>
      <c r="G2285" s="74" t="n"/>
      <c r="H2285" s="74" t="n"/>
      <c r="I2285" s="74" t="n"/>
      <c r="J2285" s="77" t="n"/>
      <c r="K2285" s="77" t="n"/>
      <c r="L2285" s="74" t="n"/>
      <c r="M2285" s="74" t="n"/>
      <c r="O2285" s="78">
        <f>IF($A2285="","",YEAR($A2285)*100+MONTH($A2285))</f>
        <v/>
      </c>
      <c r="P2285" s="79">
        <f>IF(OR($F2285="",$D2285=""),"",IF($D2285="Receita",$F2285,IF($D2285="Transferência",0,-$F2285)))</f>
        <v/>
      </c>
    </row>
    <row r="2286">
      <c r="A2286" s="73" t="n"/>
      <c r="B2286" s="74" t="n"/>
      <c r="C2286" s="74" t="n"/>
      <c r="D2286" s="75">
        <f>IF($C2286="","",IFERROR(INDEX(CAT_TIPO,MATCH($C2286,CAT_NOME,0)),"Sem categoria"))</f>
        <v/>
      </c>
      <c r="E2286" s="75">
        <f>IF($C2286="","",IFERROR(INDEX(CAT_GRUPO,MATCH($C2286,CAT_NOME,0)),"Sem categoria"))</f>
        <v/>
      </c>
      <c r="F2286" s="76" t="n"/>
      <c r="G2286" s="74" t="n"/>
      <c r="H2286" s="74" t="n"/>
      <c r="I2286" s="74" t="n"/>
      <c r="J2286" s="77" t="n"/>
      <c r="K2286" s="77" t="n"/>
      <c r="L2286" s="74" t="n"/>
      <c r="M2286" s="74" t="n"/>
      <c r="O2286" s="78">
        <f>IF($A2286="","",YEAR($A2286)*100+MONTH($A2286))</f>
        <v/>
      </c>
      <c r="P2286" s="79">
        <f>IF(OR($F2286="",$D2286=""),"",IF($D2286="Receita",$F2286,IF($D2286="Transferência",0,-$F2286)))</f>
        <v/>
      </c>
    </row>
    <row r="2287">
      <c r="A2287" s="73" t="n"/>
      <c r="B2287" s="74" t="n"/>
      <c r="C2287" s="74" t="n"/>
      <c r="D2287" s="75">
        <f>IF($C2287="","",IFERROR(INDEX(CAT_TIPO,MATCH($C2287,CAT_NOME,0)),"Sem categoria"))</f>
        <v/>
      </c>
      <c r="E2287" s="75">
        <f>IF($C2287="","",IFERROR(INDEX(CAT_GRUPO,MATCH($C2287,CAT_NOME,0)),"Sem categoria"))</f>
        <v/>
      </c>
      <c r="F2287" s="76" t="n"/>
      <c r="G2287" s="74" t="n"/>
      <c r="H2287" s="74" t="n"/>
      <c r="I2287" s="74" t="n"/>
      <c r="J2287" s="77" t="n"/>
      <c r="K2287" s="77" t="n"/>
      <c r="L2287" s="74" t="n"/>
      <c r="M2287" s="74" t="n"/>
      <c r="O2287" s="78">
        <f>IF($A2287="","",YEAR($A2287)*100+MONTH($A2287))</f>
        <v/>
      </c>
      <c r="P2287" s="79">
        <f>IF(OR($F2287="",$D2287=""),"",IF($D2287="Receita",$F2287,IF($D2287="Transferência",0,-$F2287)))</f>
        <v/>
      </c>
    </row>
    <row r="2288">
      <c r="A2288" s="73" t="n"/>
      <c r="B2288" s="74" t="n"/>
      <c r="C2288" s="74" t="n"/>
      <c r="D2288" s="75">
        <f>IF($C2288="","",IFERROR(INDEX(CAT_TIPO,MATCH($C2288,CAT_NOME,0)),"Sem categoria"))</f>
        <v/>
      </c>
      <c r="E2288" s="75">
        <f>IF($C2288="","",IFERROR(INDEX(CAT_GRUPO,MATCH($C2288,CAT_NOME,0)),"Sem categoria"))</f>
        <v/>
      </c>
      <c r="F2288" s="76" t="n"/>
      <c r="G2288" s="74" t="n"/>
      <c r="H2288" s="74" t="n"/>
      <c r="I2288" s="74" t="n"/>
      <c r="J2288" s="77" t="n"/>
      <c r="K2288" s="77" t="n"/>
      <c r="L2288" s="74" t="n"/>
      <c r="M2288" s="74" t="n"/>
      <c r="O2288" s="78">
        <f>IF($A2288="","",YEAR($A2288)*100+MONTH($A2288))</f>
        <v/>
      </c>
      <c r="P2288" s="79">
        <f>IF(OR($F2288="",$D2288=""),"",IF($D2288="Receita",$F2288,IF($D2288="Transferência",0,-$F2288)))</f>
        <v/>
      </c>
    </row>
    <row r="2289">
      <c r="A2289" s="73" t="n"/>
      <c r="B2289" s="74" t="n"/>
      <c r="C2289" s="74" t="n"/>
      <c r="D2289" s="75">
        <f>IF($C2289="","",IFERROR(INDEX(CAT_TIPO,MATCH($C2289,CAT_NOME,0)),"Sem categoria"))</f>
        <v/>
      </c>
      <c r="E2289" s="75">
        <f>IF($C2289="","",IFERROR(INDEX(CAT_GRUPO,MATCH($C2289,CAT_NOME,0)),"Sem categoria"))</f>
        <v/>
      </c>
      <c r="F2289" s="76" t="n"/>
      <c r="G2289" s="74" t="n"/>
      <c r="H2289" s="74" t="n"/>
      <c r="I2289" s="74" t="n"/>
      <c r="J2289" s="77" t="n"/>
      <c r="K2289" s="77" t="n"/>
      <c r="L2289" s="74" t="n"/>
      <c r="M2289" s="74" t="n"/>
      <c r="O2289" s="78">
        <f>IF($A2289="","",YEAR($A2289)*100+MONTH($A2289))</f>
        <v/>
      </c>
      <c r="P2289" s="79">
        <f>IF(OR($F2289="",$D2289=""),"",IF($D2289="Receita",$F2289,IF($D2289="Transferência",0,-$F2289)))</f>
        <v/>
      </c>
    </row>
    <row r="2290">
      <c r="A2290" s="73" t="n"/>
      <c r="B2290" s="74" t="n"/>
      <c r="C2290" s="74" t="n"/>
      <c r="D2290" s="75">
        <f>IF($C2290="","",IFERROR(INDEX(CAT_TIPO,MATCH($C2290,CAT_NOME,0)),"Sem categoria"))</f>
        <v/>
      </c>
      <c r="E2290" s="75">
        <f>IF($C2290="","",IFERROR(INDEX(CAT_GRUPO,MATCH($C2290,CAT_NOME,0)),"Sem categoria"))</f>
        <v/>
      </c>
      <c r="F2290" s="76" t="n"/>
      <c r="G2290" s="74" t="n"/>
      <c r="H2290" s="74" t="n"/>
      <c r="I2290" s="74" t="n"/>
      <c r="J2290" s="77" t="n"/>
      <c r="K2290" s="77" t="n"/>
      <c r="L2290" s="74" t="n"/>
      <c r="M2290" s="74" t="n"/>
      <c r="O2290" s="78">
        <f>IF($A2290="","",YEAR($A2290)*100+MONTH($A2290))</f>
        <v/>
      </c>
      <c r="P2290" s="79">
        <f>IF(OR($F2290="",$D2290=""),"",IF($D2290="Receita",$F2290,IF($D2290="Transferência",0,-$F2290)))</f>
        <v/>
      </c>
    </row>
    <row r="2291">
      <c r="A2291" s="73" t="n"/>
      <c r="B2291" s="74" t="n"/>
      <c r="C2291" s="74" t="n"/>
      <c r="D2291" s="75">
        <f>IF($C2291="","",IFERROR(INDEX(CAT_TIPO,MATCH($C2291,CAT_NOME,0)),"Sem categoria"))</f>
        <v/>
      </c>
      <c r="E2291" s="75">
        <f>IF($C2291="","",IFERROR(INDEX(CAT_GRUPO,MATCH($C2291,CAT_NOME,0)),"Sem categoria"))</f>
        <v/>
      </c>
      <c r="F2291" s="76" t="n"/>
      <c r="G2291" s="74" t="n"/>
      <c r="H2291" s="74" t="n"/>
      <c r="I2291" s="74" t="n"/>
      <c r="J2291" s="77" t="n"/>
      <c r="K2291" s="77" t="n"/>
      <c r="L2291" s="74" t="n"/>
      <c r="M2291" s="74" t="n"/>
      <c r="O2291" s="78">
        <f>IF($A2291="","",YEAR($A2291)*100+MONTH($A2291))</f>
        <v/>
      </c>
      <c r="P2291" s="79">
        <f>IF(OR($F2291="",$D2291=""),"",IF($D2291="Receita",$F2291,IF($D2291="Transferência",0,-$F2291)))</f>
        <v/>
      </c>
    </row>
    <row r="2292">
      <c r="A2292" s="73" t="n"/>
      <c r="B2292" s="74" t="n"/>
      <c r="C2292" s="74" t="n"/>
      <c r="D2292" s="75">
        <f>IF($C2292="","",IFERROR(INDEX(CAT_TIPO,MATCH($C2292,CAT_NOME,0)),"Sem categoria"))</f>
        <v/>
      </c>
      <c r="E2292" s="75">
        <f>IF($C2292="","",IFERROR(INDEX(CAT_GRUPO,MATCH($C2292,CAT_NOME,0)),"Sem categoria"))</f>
        <v/>
      </c>
      <c r="F2292" s="76" t="n"/>
      <c r="G2292" s="74" t="n"/>
      <c r="H2292" s="74" t="n"/>
      <c r="I2292" s="74" t="n"/>
      <c r="J2292" s="77" t="n"/>
      <c r="K2292" s="77" t="n"/>
      <c r="L2292" s="74" t="n"/>
      <c r="M2292" s="74" t="n"/>
      <c r="O2292" s="78">
        <f>IF($A2292="","",YEAR($A2292)*100+MONTH($A2292))</f>
        <v/>
      </c>
      <c r="P2292" s="79">
        <f>IF(OR($F2292="",$D2292=""),"",IF($D2292="Receita",$F2292,IF($D2292="Transferência",0,-$F2292)))</f>
        <v/>
      </c>
    </row>
    <row r="2293">
      <c r="A2293" s="73" t="n"/>
      <c r="B2293" s="74" t="n"/>
      <c r="C2293" s="74" t="n"/>
      <c r="D2293" s="75">
        <f>IF($C2293="","",IFERROR(INDEX(CAT_TIPO,MATCH($C2293,CAT_NOME,0)),"Sem categoria"))</f>
        <v/>
      </c>
      <c r="E2293" s="75">
        <f>IF($C2293="","",IFERROR(INDEX(CAT_GRUPO,MATCH($C2293,CAT_NOME,0)),"Sem categoria"))</f>
        <v/>
      </c>
      <c r="F2293" s="76" t="n"/>
      <c r="G2293" s="74" t="n"/>
      <c r="H2293" s="74" t="n"/>
      <c r="I2293" s="74" t="n"/>
      <c r="J2293" s="77" t="n"/>
      <c r="K2293" s="77" t="n"/>
      <c r="L2293" s="74" t="n"/>
      <c r="M2293" s="74" t="n"/>
      <c r="O2293" s="78">
        <f>IF($A2293="","",YEAR($A2293)*100+MONTH($A2293))</f>
        <v/>
      </c>
      <c r="P2293" s="79">
        <f>IF(OR($F2293="",$D2293=""),"",IF($D2293="Receita",$F2293,IF($D2293="Transferência",0,-$F2293)))</f>
        <v/>
      </c>
    </row>
    <row r="2294">
      <c r="A2294" s="73" t="n"/>
      <c r="B2294" s="74" t="n"/>
      <c r="C2294" s="74" t="n"/>
      <c r="D2294" s="75">
        <f>IF($C2294="","",IFERROR(INDEX(CAT_TIPO,MATCH($C2294,CAT_NOME,0)),"Sem categoria"))</f>
        <v/>
      </c>
      <c r="E2294" s="75">
        <f>IF($C2294="","",IFERROR(INDEX(CAT_GRUPO,MATCH($C2294,CAT_NOME,0)),"Sem categoria"))</f>
        <v/>
      </c>
      <c r="F2294" s="76" t="n"/>
      <c r="G2294" s="74" t="n"/>
      <c r="H2294" s="74" t="n"/>
      <c r="I2294" s="74" t="n"/>
      <c r="J2294" s="77" t="n"/>
      <c r="K2294" s="77" t="n"/>
      <c r="L2294" s="74" t="n"/>
      <c r="M2294" s="74" t="n"/>
      <c r="O2294" s="78">
        <f>IF($A2294="","",YEAR($A2294)*100+MONTH($A2294))</f>
        <v/>
      </c>
      <c r="P2294" s="79">
        <f>IF(OR($F2294="",$D2294=""),"",IF($D2294="Receita",$F2294,IF($D2294="Transferência",0,-$F2294)))</f>
        <v/>
      </c>
    </row>
    <row r="2295">
      <c r="A2295" s="73" t="n"/>
      <c r="B2295" s="74" t="n"/>
      <c r="C2295" s="74" t="n"/>
      <c r="D2295" s="75">
        <f>IF($C2295="","",IFERROR(INDEX(CAT_TIPO,MATCH($C2295,CAT_NOME,0)),"Sem categoria"))</f>
        <v/>
      </c>
      <c r="E2295" s="75">
        <f>IF($C2295="","",IFERROR(INDEX(CAT_GRUPO,MATCH($C2295,CAT_NOME,0)),"Sem categoria"))</f>
        <v/>
      </c>
      <c r="F2295" s="76" t="n"/>
      <c r="G2295" s="74" t="n"/>
      <c r="H2295" s="74" t="n"/>
      <c r="I2295" s="74" t="n"/>
      <c r="J2295" s="77" t="n"/>
      <c r="K2295" s="77" t="n"/>
      <c r="L2295" s="74" t="n"/>
      <c r="M2295" s="74" t="n"/>
      <c r="O2295" s="78">
        <f>IF($A2295="","",YEAR($A2295)*100+MONTH($A2295))</f>
        <v/>
      </c>
      <c r="P2295" s="79">
        <f>IF(OR($F2295="",$D2295=""),"",IF($D2295="Receita",$F2295,IF($D2295="Transferência",0,-$F2295)))</f>
        <v/>
      </c>
    </row>
    <row r="2296">
      <c r="A2296" s="73" t="n"/>
      <c r="B2296" s="74" t="n"/>
      <c r="C2296" s="74" t="n"/>
      <c r="D2296" s="75">
        <f>IF($C2296="","",IFERROR(INDEX(CAT_TIPO,MATCH($C2296,CAT_NOME,0)),"Sem categoria"))</f>
        <v/>
      </c>
      <c r="E2296" s="75">
        <f>IF($C2296="","",IFERROR(INDEX(CAT_GRUPO,MATCH($C2296,CAT_NOME,0)),"Sem categoria"))</f>
        <v/>
      </c>
      <c r="F2296" s="76" t="n"/>
      <c r="G2296" s="74" t="n"/>
      <c r="H2296" s="74" t="n"/>
      <c r="I2296" s="74" t="n"/>
      <c r="J2296" s="77" t="n"/>
      <c r="K2296" s="77" t="n"/>
      <c r="L2296" s="74" t="n"/>
      <c r="M2296" s="74" t="n"/>
      <c r="O2296" s="78">
        <f>IF($A2296="","",YEAR($A2296)*100+MONTH($A2296))</f>
        <v/>
      </c>
      <c r="P2296" s="79">
        <f>IF(OR($F2296="",$D2296=""),"",IF($D2296="Receita",$F2296,IF($D2296="Transferência",0,-$F2296)))</f>
        <v/>
      </c>
    </row>
    <row r="2297">
      <c r="A2297" s="73" t="n"/>
      <c r="B2297" s="74" t="n"/>
      <c r="C2297" s="74" t="n"/>
      <c r="D2297" s="75">
        <f>IF($C2297="","",IFERROR(INDEX(CAT_TIPO,MATCH($C2297,CAT_NOME,0)),"Sem categoria"))</f>
        <v/>
      </c>
      <c r="E2297" s="75">
        <f>IF($C2297="","",IFERROR(INDEX(CAT_GRUPO,MATCH($C2297,CAT_NOME,0)),"Sem categoria"))</f>
        <v/>
      </c>
      <c r="F2297" s="76" t="n"/>
      <c r="G2297" s="74" t="n"/>
      <c r="H2297" s="74" t="n"/>
      <c r="I2297" s="74" t="n"/>
      <c r="J2297" s="77" t="n"/>
      <c r="K2297" s="77" t="n"/>
      <c r="L2297" s="74" t="n"/>
      <c r="M2297" s="74" t="n"/>
      <c r="O2297" s="78">
        <f>IF($A2297="","",YEAR($A2297)*100+MONTH($A2297))</f>
        <v/>
      </c>
      <c r="P2297" s="79">
        <f>IF(OR($F2297="",$D2297=""),"",IF($D2297="Receita",$F2297,IF($D2297="Transferência",0,-$F2297)))</f>
        <v/>
      </c>
    </row>
    <row r="2298">
      <c r="A2298" s="73" t="n"/>
      <c r="B2298" s="74" t="n"/>
      <c r="C2298" s="74" t="n"/>
      <c r="D2298" s="75">
        <f>IF($C2298="","",IFERROR(INDEX(CAT_TIPO,MATCH($C2298,CAT_NOME,0)),"Sem categoria"))</f>
        <v/>
      </c>
      <c r="E2298" s="75">
        <f>IF($C2298="","",IFERROR(INDEX(CAT_GRUPO,MATCH($C2298,CAT_NOME,0)),"Sem categoria"))</f>
        <v/>
      </c>
      <c r="F2298" s="76" t="n"/>
      <c r="G2298" s="74" t="n"/>
      <c r="H2298" s="74" t="n"/>
      <c r="I2298" s="74" t="n"/>
      <c r="J2298" s="77" t="n"/>
      <c r="K2298" s="77" t="n"/>
      <c r="L2298" s="74" t="n"/>
      <c r="M2298" s="74" t="n"/>
      <c r="O2298" s="78">
        <f>IF($A2298="","",YEAR($A2298)*100+MONTH($A2298))</f>
        <v/>
      </c>
      <c r="P2298" s="79">
        <f>IF(OR($F2298="",$D2298=""),"",IF($D2298="Receita",$F2298,IF($D2298="Transferência",0,-$F2298)))</f>
        <v/>
      </c>
    </row>
    <row r="2299">
      <c r="A2299" s="73" t="n"/>
      <c r="B2299" s="74" t="n"/>
      <c r="C2299" s="74" t="n"/>
      <c r="D2299" s="75">
        <f>IF($C2299="","",IFERROR(INDEX(CAT_TIPO,MATCH($C2299,CAT_NOME,0)),"Sem categoria"))</f>
        <v/>
      </c>
      <c r="E2299" s="75">
        <f>IF($C2299="","",IFERROR(INDEX(CAT_GRUPO,MATCH($C2299,CAT_NOME,0)),"Sem categoria"))</f>
        <v/>
      </c>
      <c r="F2299" s="76" t="n"/>
      <c r="G2299" s="74" t="n"/>
      <c r="H2299" s="74" t="n"/>
      <c r="I2299" s="74" t="n"/>
      <c r="J2299" s="77" t="n"/>
      <c r="K2299" s="77" t="n"/>
      <c r="L2299" s="74" t="n"/>
      <c r="M2299" s="74" t="n"/>
      <c r="O2299" s="78">
        <f>IF($A2299="","",YEAR($A2299)*100+MONTH($A2299))</f>
        <v/>
      </c>
      <c r="P2299" s="79">
        <f>IF(OR($F2299="",$D2299=""),"",IF($D2299="Receita",$F2299,IF($D2299="Transferência",0,-$F2299)))</f>
        <v/>
      </c>
    </row>
    <row r="2300">
      <c r="A2300" s="73" t="n"/>
      <c r="B2300" s="74" t="n"/>
      <c r="C2300" s="74" t="n"/>
      <c r="D2300" s="75">
        <f>IF($C2300="","",IFERROR(INDEX(CAT_TIPO,MATCH($C2300,CAT_NOME,0)),"Sem categoria"))</f>
        <v/>
      </c>
      <c r="E2300" s="75">
        <f>IF($C2300="","",IFERROR(INDEX(CAT_GRUPO,MATCH($C2300,CAT_NOME,0)),"Sem categoria"))</f>
        <v/>
      </c>
      <c r="F2300" s="76" t="n"/>
      <c r="G2300" s="74" t="n"/>
      <c r="H2300" s="74" t="n"/>
      <c r="I2300" s="74" t="n"/>
      <c r="J2300" s="77" t="n"/>
      <c r="K2300" s="77" t="n"/>
      <c r="L2300" s="74" t="n"/>
      <c r="M2300" s="74" t="n"/>
      <c r="O2300" s="78">
        <f>IF($A2300="","",YEAR($A2300)*100+MONTH($A2300))</f>
        <v/>
      </c>
      <c r="P2300" s="79">
        <f>IF(OR($F2300="",$D2300=""),"",IF($D2300="Receita",$F2300,IF($D2300="Transferência",0,-$F2300)))</f>
        <v/>
      </c>
    </row>
    <row r="2301">
      <c r="A2301" s="73" t="n"/>
      <c r="B2301" s="74" t="n"/>
      <c r="C2301" s="74" t="n"/>
      <c r="D2301" s="75">
        <f>IF($C2301="","",IFERROR(INDEX(CAT_TIPO,MATCH($C2301,CAT_NOME,0)),"Sem categoria"))</f>
        <v/>
      </c>
      <c r="E2301" s="75">
        <f>IF($C2301="","",IFERROR(INDEX(CAT_GRUPO,MATCH($C2301,CAT_NOME,0)),"Sem categoria"))</f>
        <v/>
      </c>
      <c r="F2301" s="76" t="n"/>
      <c r="G2301" s="74" t="n"/>
      <c r="H2301" s="74" t="n"/>
      <c r="I2301" s="74" t="n"/>
      <c r="J2301" s="77" t="n"/>
      <c r="K2301" s="77" t="n"/>
      <c r="L2301" s="74" t="n"/>
      <c r="M2301" s="74" t="n"/>
      <c r="O2301" s="78">
        <f>IF($A2301="","",YEAR($A2301)*100+MONTH($A2301))</f>
        <v/>
      </c>
      <c r="P2301" s="79">
        <f>IF(OR($F2301="",$D2301=""),"",IF($D2301="Receita",$F2301,IF($D2301="Transferência",0,-$F2301)))</f>
        <v/>
      </c>
    </row>
    <row r="2302">
      <c r="A2302" s="73" t="n"/>
      <c r="B2302" s="74" t="n"/>
      <c r="C2302" s="74" t="n"/>
      <c r="D2302" s="75">
        <f>IF($C2302="","",IFERROR(INDEX(CAT_TIPO,MATCH($C2302,CAT_NOME,0)),"Sem categoria"))</f>
        <v/>
      </c>
      <c r="E2302" s="75">
        <f>IF($C2302="","",IFERROR(INDEX(CAT_GRUPO,MATCH($C2302,CAT_NOME,0)),"Sem categoria"))</f>
        <v/>
      </c>
      <c r="F2302" s="76" t="n"/>
      <c r="G2302" s="74" t="n"/>
      <c r="H2302" s="74" t="n"/>
      <c r="I2302" s="74" t="n"/>
      <c r="J2302" s="77" t="n"/>
      <c r="K2302" s="77" t="n"/>
      <c r="L2302" s="74" t="n"/>
      <c r="M2302" s="74" t="n"/>
      <c r="O2302" s="78">
        <f>IF($A2302="","",YEAR($A2302)*100+MONTH($A2302))</f>
        <v/>
      </c>
      <c r="P2302" s="79">
        <f>IF(OR($F2302="",$D2302=""),"",IF($D2302="Receita",$F2302,IF($D2302="Transferência",0,-$F2302)))</f>
        <v/>
      </c>
    </row>
    <row r="2303">
      <c r="A2303" s="73" t="n"/>
      <c r="B2303" s="74" t="n"/>
      <c r="C2303" s="74" t="n"/>
      <c r="D2303" s="75">
        <f>IF($C2303="","",IFERROR(INDEX(CAT_TIPO,MATCH($C2303,CAT_NOME,0)),"Sem categoria"))</f>
        <v/>
      </c>
      <c r="E2303" s="75">
        <f>IF($C2303="","",IFERROR(INDEX(CAT_GRUPO,MATCH($C2303,CAT_NOME,0)),"Sem categoria"))</f>
        <v/>
      </c>
      <c r="F2303" s="76" t="n"/>
      <c r="G2303" s="74" t="n"/>
      <c r="H2303" s="74" t="n"/>
      <c r="I2303" s="74" t="n"/>
      <c r="J2303" s="77" t="n"/>
      <c r="K2303" s="77" t="n"/>
      <c r="L2303" s="74" t="n"/>
      <c r="M2303" s="74" t="n"/>
      <c r="O2303" s="78">
        <f>IF($A2303="","",YEAR($A2303)*100+MONTH($A2303))</f>
        <v/>
      </c>
      <c r="P2303" s="79">
        <f>IF(OR($F2303="",$D2303=""),"",IF($D2303="Receita",$F2303,IF($D2303="Transferência",0,-$F2303)))</f>
        <v/>
      </c>
    </row>
    <row r="2304">
      <c r="A2304" s="73" t="n"/>
      <c r="B2304" s="74" t="n"/>
      <c r="C2304" s="74" t="n"/>
      <c r="D2304" s="75">
        <f>IF($C2304="","",IFERROR(INDEX(CAT_TIPO,MATCH($C2304,CAT_NOME,0)),"Sem categoria"))</f>
        <v/>
      </c>
      <c r="E2304" s="75">
        <f>IF($C2304="","",IFERROR(INDEX(CAT_GRUPO,MATCH($C2304,CAT_NOME,0)),"Sem categoria"))</f>
        <v/>
      </c>
      <c r="F2304" s="76" t="n"/>
      <c r="G2304" s="74" t="n"/>
      <c r="H2304" s="74" t="n"/>
      <c r="I2304" s="74" t="n"/>
      <c r="J2304" s="77" t="n"/>
      <c r="K2304" s="77" t="n"/>
      <c r="L2304" s="74" t="n"/>
      <c r="M2304" s="74" t="n"/>
      <c r="O2304" s="78">
        <f>IF($A2304="","",YEAR($A2304)*100+MONTH($A2304))</f>
        <v/>
      </c>
      <c r="P2304" s="79">
        <f>IF(OR($F2304="",$D2304=""),"",IF($D2304="Receita",$F2304,IF($D2304="Transferência",0,-$F2304)))</f>
        <v/>
      </c>
    </row>
    <row r="2305">
      <c r="A2305" s="73" t="n"/>
      <c r="B2305" s="74" t="n"/>
      <c r="C2305" s="74" t="n"/>
      <c r="D2305" s="75">
        <f>IF($C2305="","",IFERROR(INDEX(CAT_TIPO,MATCH($C2305,CAT_NOME,0)),"Sem categoria"))</f>
        <v/>
      </c>
      <c r="E2305" s="75">
        <f>IF($C2305="","",IFERROR(INDEX(CAT_GRUPO,MATCH($C2305,CAT_NOME,0)),"Sem categoria"))</f>
        <v/>
      </c>
      <c r="F2305" s="76" t="n"/>
      <c r="G2305" s="74" t="n"/>
      <c r="H2305" s="74" t="n"/>
      <c r="I2305" s="74" t="n"/>
      <c r="J2305" s="77" t="n"/>
      <c r="K2305" s="77" t="n"/>
      <c r="L2305" s="74" t="n"/>
      <c r="M2305" s="74" t="n"/>
      <c r="O2305" s="78">
        <f>IF($A2305="","",YEAR($A2305)*100+MONTH($A2305))</f>
        <v/>
      </c>
      <c r="P2305" s="79">
        <f>IF(OR($F2305="",$D2305=""),"",IF($D2305="Receita",$F2305,IF($D2305="Transferência",0,-$F2305)))</f>
        <v/>
      </c>
    </row>
    <row r="2306">
      <c r="A2306" s="73" t="n"/>
      <c r="B2306" s="74" t="n"/>
      <c r="C2306" s="74" t="n"/>
      <c r="D2306" s="75">
        <f>IF($C2306="","",IFERROR(INDEX(CAT_TIPO,MATCH($C2306,CAT_NOME,0)),"Sem categoria"))</f>
        <v/>
      </c>
      <c r="E2306" s="75">
        <f>IF($C2306="","",IFERROR(INDEX(CAT_GRUPO,MATCH($C2306,CAT_NOME,0)),"Sem categoria"))</f>
        <v/>
      </c>
      <c r="F2306" s="76" t="n"/>
      <c r="G2306" s="74" t="n"/>
      <c r="H2306" s="74" t="n"/>
      <c r="I2306" s="74" t="n"/>
      <c r="J2306" s="77" t="n"/>
      <c r="K2306" s="77" t="n"/>
      <c r="L2306" s="74" t="n"/>
      <c r="M2306" s="74" t="n"/>
      <c r="O2306" s="78">
        <f>IF($A2306="","",YEAR($A2306)*100+MONTH($A2306))</f>
        <v/>
      </c>
      <c r="P2306" s="79">
        <f>IF(OR($F2306="",$D2306=""),"",IF($D2306="Receita",$F2306,IF($D2306="Transferência",0,-$F2306)))</f>
        <v/>
      </c>
    </row>
    <row r="2307">
      <c r="A2307" s="73" t="n"/>
      <c r="B2307" s="74" t="n"/>
      <c r="C2307" s="74" t="n"/>
      <c r="D2307" s="75">
        <f>IF($C2307="","",IFERROR(INDEX(CAT_TIPO,MATCH($C2307,CAT_NOME,0)),"Sem categoria"))</f>
        <v/>
      </c>
      <c r="E2307" s="75">
        <f>IF($C2307="","",IFERROR(INDEX(CAT_GRUPO,MATCH($C2307,CAT_NOME,0)),"Sem categoria"))</f>
        <v/>
      </c>
      <c r="F2307" s="76" t="n"/>
      <c r="G2307" s="74" t="n"/>
      <c r="H2307" s="74" t="n"/>
      <c r="I2307" s="74" t="n"/>
      <c r="J2307" s="77" t="n"/>
      <c r="K2307" s="77" t="n"/>
      <c r="L2307" s="74" t="n"/>
      <c r="M2307" s="74" t="n"/>
      <c r="O2307" s="78">
        <f>IF($A2307="","",YEAR($A2307)*100+MONTH($A2307))</f>
        <v/>
      </c>
      <c r="P2307" s="79">
        <f>IF(OR($F2307="",$D2307=""),"",IF($D2307="Receita",$F2307,IF($D2307="Transferência",0,-$F2307)))</f>
        <v/>
      </c>
    </row>
    <row r="2308">
      <c r="A2308" s="73" t="n"/>
      <c r="B2308" s="74" t="n"/>
      <c r="C2308" s="74" t="n"/>
      <c r="D2308" s="75">
        <f>IF($C2308="","",IFERROR(INDEX(CAT_TIPO,MATCH($C2308,CAT_NOME,0)),"Sem categoria"))</f>
        <v/>
      </c>
      <c r="E2308" s="75">
        <f>IF($C2308="","",IFERROR(INDEX(CAT_GRUPO,MATCH($C2308,CAT_NOME,0)),"Sem categoria"))</f>
        <v/>
      </c>
      <c r="F2308" s="76" t="n"/>
      <c r="G2308" s="74" t="n"/>
      <c r="H2308" s="74" t="n"/>
      <c r="I2308" s="74" t="n"/>
      <c r="J2308" s="77" t="n"/>
      <c r="K2308" s="77" t="n"/>
      <c r="L2308" s="74" t="n"/>
      <c r="M2308" s="74" t="n"/>
      <c r="O2308" s="78">
        <f>IF($A2308="","",YEAR($A2308)*100+MONTH($A2308))</f>
        <v/>
      </c>
      <c r="P2308" s="79">
        <f>IF(OR($F2308="",$D2308=""),"",IF($D2308="Receita",$F2308,IF($D2308="Transferência",0,-$F2308)))</f>
        <v/>
      </c>
    </row>
    <row r="2309">
      <c r="A2309" s="73" t="n"/>
      <c r="B2309" s="74" t="n"/>
      <c r="C2309" s="74" t="n"/>
      <c r="D2309" s="75">
        <f>IF($C2309="","",IFERROR(INDEX(CAT_TIPO,MATCH($C2309,CAT_NOME,0)),"Sem categoria"))</f>
        <v/>
      </c>
      <c r="E2309" s="75">
        <f>IF($C2309="","",IFERROR(INDEX(CAT_GRUPO,MATCH($C2309,CAT_NOME,0)),"Sem categoria"))</f>
        <v/>
      </c>
      <c r="F2309" s="76" t="n"/>
      <c r="G2309" s="74" t="n"/>
      <c r="H2309" s="74" t="n"/>
      <c r="I2309" s="74" t="n"/>
      <c r="J2309" s="77" t="n"/>
      <c r="K2309" s="77" t="n"/>
      <c r="L2309" s="74" t="n"/>
      <c r="M2309" s="74" t="n"/>
      <c r="O2309" s="78">
        <f>IF($A2309="","",YEAR($A2309)*100+MONTH($A2309))</f>
        <v/>
      </c>
      <c r="P2309" s="79">
        <f>IF(OR($F2309="",$D2309=""),"",IF($D2309="Receita",$F2309,IF($D2309="Transferência",0,-$F2309)))</f>
        <v/>
      </c>
    </row>
    <row r="2310">
      <c r="A2310" s="73" t="n"/>
      <c r="B2310" s="74" t="n"/>
      <c r="C2310" s="74" t="n"/>
      <c r="D2310" s="75">
        <f>IF($C2310="","",IFERROR(INDEX(CAT_TIPO,MATCH($C2310,CAT_NOME,0)),"Sem categoria"))</f>
        <v/>
      </c>
      <c r="E2310" s="75">
        <f>IF($C2310="","",IFERROR(INDEX(CAT_GRUPO,MATCH($C2310,CAT_NOME,0)),"Sem categoria"))</f>
        <v/>
      </c>
      <c r="F2310" s="76" t="n"/>
      <c r="G2310" s="74" t="n"/>
      <c r="H2310" s="74" t="n"/>
      <c r="I2310" s="74" t="n"/>
      <c r="J2310" s="77" t="n"/>
      <c r="K2310" s="77" t="n"/>
      <c r="L2310" s="74" t="n"/>
      <c r="M2310" s="74" t="n"/>
      <c r="O2310" s="78">
        <f>IF($A2310="","",YEAR($A2310)*100+MONTH($A2310))</f>
        <v/>
      </c>
      <c r="P2310" s="79">
        <f>IF(OR($F2310="",$D2310=""),"",IF($D2310="Receita",$F2310,IF($D2310="Transferência",0,-$F2310)))</f>
        <v/>
      </c>
    </row>
    <row r="2311">
      <c r="A2311" s="73" t="n"/>
      <c r="B2311" s="74" t="n"/>
      <c r="C2311" s="74" t="n"/>
      <c r="D2311" s="75">
        <f>IF($C2311="","",IFERROR(INDEX(CAT_TIPO,MATCH($C2311,CAT_NOME,0)),"Sem categoria"))</f>
        <v/>
      </c>
      <c r="E2311" s="75">
        <f>IF($C2311="","",IFERROR(INDEX(CAT_GRUPO,MATCH($C2311,CAT_NOME,0)),"Sem categoria"))</f>
        <v/>
      </c>
      <c r="F2311" s="76" t="n"/>
      <c r="G2311" s="74" t="n"/>
      <c r="H2311" s="74" t="n"/>
      <c r="I2311" s="74" t="n"/>
      <c r="J2311" s="77" t="n"/>
      <c r="K2311" s="77" t="n"/>
      <c r="L2311" s="74" t="n"/>
      <c r="M2311" s="74" t="n"/>
      <c r="O2311" s="78">
        <f>IF($A2311="","",YEAR($A2311)*100+MONTH($A2311))</f>
        <v/>
      </c>
      <c r="P2311" s="79">
        <f>IF(OR($F2311="",$D2311=""),"",IF($D2311="Receita",$F2311,IF($D2311="Transferência",0,-$F2311)))</f>
        <v/>
      </c>
    </row>
    <row r="2312">
      <c r="A2312" s="73" t="n"/>
      <c r="B2312" s="74" t="n"/>
      <c r="C2312" s="74" t="n"/>
      <c r="D2312" s="75">
        <f>IF($C2312="","",IFERROR(INDEX(CAT_TIPO,MATCH($C2312,CAT_NOME,0)),"Sem categoria"))</f>
        <v/>
      </c>
      <c r="E2312" s="75">
        <f>IF($C2312="","",IFERROR(INDEX(CAT_GRUPO,MATCH($C2312,CAT_NOME,0)),"Sem categoria"))</f>
        <v/>
      </c>
      <c r="F2312" s="76" t="n"/>
      <c r="G2312" s="74" t="n"/>
      <c r="H2312" s="74" t="n"/>
      <c r="I2312" s="74" t="n"/>
      <c r="J2312" s="77" t="n"/>
      <c r="K2312" s="77" t="n"/>
      <c r="L2312" s="74" t="n"/>
      <c r="M2312" s="74" t="n"/>
      <c r="O2312" s="78">
        <f>IF($A2312="","",YEAR($A2312)*100+MONTH($A2312))</f>
        <v/>
      </c>
      <c r="P2312" s="79">
        <f>IF(OR($F2312="",$D2312=""),"",IF($D2312="Receita",$F2312,IF($D2312="Transferência",0,-$F2312)))</f>
        <v/>
      </c>
    </row>
    <row r="2313">
      <c r="A2313" s="73" t="n"/>
      <c r="B2313" s="74" t="n"/>
      <c r="C2313" s="74" t="n"/>
      <c r="D2313" s="75">
        <f>IF($C2313="","",IFERROR(INDEX(CAT_TIPO,MATCH($C2313,CAT_NOME,0)),"Sem categoria"))</f>
        <v/>
      </c>
      <c r="E2313" s="75">
        <f>IF($C2313="","",IFERROR(INDEX(CAT_GRUPO,MATCH($C2313,CAT_NOME,0)),"Sem categoria"))</f>
        <v/>
      </c>
      <c r="F2313" s="76" t="n"/>
      <c r="G2313" s="74" t="n"/>
      <c r="H2313" s="74" t="n"/>
      <c r="I2313" s="74" t="n"/>
      <c r="J2313" s="77" t="n"/>
      <c r="K2313" s="77" t="n"/>
      <c r="L2313" s="74" t="n"/>
      <c r="M2313" s="74" t="n"/>
      <c r="O2313" s="78">
        <f>IF($A2313="","",YEAR($A2313)*100+MONTH($A2313))</f>
        <v/>
      </c>
      <c r="P2313" s="79">
        <f>IF(OR($F2313="",$D2313=""),"",IF($D2313="Receita",$F2313,IF($D2313="Transferência",0,-$F2313)))</f>
        <v/>
      </c>
    </row>
    <row r="2314">
      <c r="A2314" s="73" t="n"/>
      <c r="B2314" s="74" t="n"/>
      <c r="C2314" s="74" t="n"/>
      <c r="D2314" s="75">
        <f>IF($C2314="","",IFERROR(INDEX(CAT_TIPO,MATCH($C2314,CAT_NOME,0)),"Sem categoria"))</f>
        <v/>
      </c>
      <c r="E2314" s="75">
        <f>IF($C2314="","",IFERROR(INDEX(CAT_GRUPO,MATCH($C2314,CAT_NOME,0)),"Sem categoria"))</f>
        <v/>
      </c>
      <c r="F2314" s="76" t="n"/>
      <c r="G2314" s="74" t="n"/>
      <c r="H2314" s="74" t="n"/>
      <c r="I2314" s="74" t="n"/>
      <c r="J2314" s="77" t="n"/>
      <c r="K2314" s="77" t="n"/>
      <c r="L2314" s="74" t="n"/>
      <c r="M2314" s="74" t="n"/>
      <c r="O2314" s="78">
        <f>IF($A2314="","",YEAR($A2314)*100+MONTH($A2314))</f>
        <v/>
      </c>
      <c r="P2314" s="79">
        <f>IF(OR($F2314="",$D2314=""),"",IF($D2314="Receita",$F2314,IF($D2314="Transferência",0,-$F2314)))</f>
        <v/>
      </c>
    </row>
    <row r="2315">
      <c r="A2315" s="73" t="n"/>
      <c r="B2315" s="74" t="n"/>
      <c r="C2315" s="74" t="n"/>
      <c r="D2315" s="75">
        <f>IF($C2315="","",IFERROR(INDEX(CAT_TIPO,MATCH($C2315,CAT_NOME,0)),"Sem categoria"))</f>
        <v/>
      </c>
      <c r="E2315" s="75">
        <f>IF($C2315="","",IFERROR(INDEX(CAT_GRUPO,MATCH($C2315,CAT_NOME,0)),"Sem categoria"))</f>
        <v/>
      </c>
      <c r="F2315" s="76" t="n"/>
      <c r="G2315" s="74" t="n"/>
      <c r="H2315" s="74" t="n"/>
      <c r="I2315" s="74" t="n"/>
      <c r="J2315" s="77" t="n"/>
      <c r="K2315" s="77" t="n"/>
      <c r="L2315" s="74" t="n"/>
      <c r="M2315" s="74" t="n"/>
      <c r="O2315" s="78">
        <f>IF($A2315="","",YEAR($A2315)*100+MONTH($A2315))</f>
        <v/>
      </c>
      <c r="P2315" s="79">
        <f>IF(OR($F2315="",$D2315=""),"",IF($D2315="Receita",$F2315,IF($D2315="Transferência",0,-$F2315)))</f>
        <v/>
      </c>
    </row>
    <row r="2316">
      <c r="A2316" s="73" t="n"/>
      <c r="B2316" s="74" t="n"/>
      <c r="C2316" s="74" t="n"/>
      <c r="D2316" s="75">
        <f>IF($C2316="","",IFERROR(INDEX(CAT_TIPO,MATCH($C2316,CAT_NOME,0)),"Sem categoria"))</f>
        <v/>
      </c>
      <c r="E2316" s="75">
        <f>IF($C2316="","",IFERROR(INDEX(CAT_GRUPO,MATCH($C2316,CAT_NOME,0)),"Sem categoria"))</f>
        <v/>
      </c>
      <c r="F2316" s="76" t="n"/>
      <c r="G2316" s="74" t="n"/>
      <c r="H2316" s="74" t="n"/>
      <c r="I2316" s="74" t="n"/>
      <c r="J2316" s="77" t="n"/>
      <c r="K2316" s="77" t="n"/>
      <c r="L2316" s="74" t="n"/>
      <c r="M2316" s="74" t="n"/>
      <c r="O2316" s="78">
        <f>IF($A2316="","",YEAR($A2316)*100+MONTH($A2316))</f>
        <v/>
      </c>
      <c r="P2316" s="79">
        <f>IF(OR($F2316="",$D2316=""),"",IF($D2316="Receita",$F2316,IF($D2316="Transferência",0,-$F2316)))</f>
        <v/>
      </c>
    </row>
    <row r="2317">
      <c r="A2317" s="73" t="n"/>
      <c r="B2317" s="74" t="n"/>
      <c r="C2317" s="74" t="n"/>
      <c r="D2317" s="75">
        <f>IF($C2317="","",IFERROR(INDEX(CAT_TIPO,MATCH($C2317,CAT_NOME,0)),"Sem categoria"))</f>
        <v/>
      </c>
      <c r="E2317" s="75">
        <f>IF($C2317="","",IFERROR(INDEX(CAT_GRUPO,MATCH($C2317,CAT_NOME,0)),"Sem categoria"))</f>
        <v/>
      </c>
      <c r="F2317" s="76" t="n"/>
      <c r="G2317" s="74" t="n"/>
      <c r="H2317" s="74" t="n"/>
      <c r="I2317" s="74" t="n"/>
      <c r="J2317" s="77" t="n"/>
      <c r="K2317" s="77" t="n"/>
      <c r="L2317" s="74" t="n"/>
      <c r="M2317" s="74" t="n"/>
      <c r="O2317" s="78">
        <f>IF($A2317="","",YEAR($A2317)*100+MONTH($A2317))</f>
        <v/>
      </c>
      <c r="P2317" s="79">
        <f>IF(OR($F2317="",$D2317=""),"",IF($D2317="Receita",$F2317,IF($D2317="Transferência",0,-$F2317)))</f>
        <v/>
      </c>
    </row>
    <row r="2318">
      <c r="A2318" s="73" t="n"/>
      <c r="B2318" s="74" t="n"/>
      <c r="C2318" s="74" t="n"/>
      <c r="D2318" s="75">
        <f>IF($C2318="","",IFERROR(INDEX(CAT_TIPO,MATCH($C2318,CAT_NOME,0)),"Sem categoria"))</f>
        <v/>
      </c>
      <c r="E2318" s="75">
        <f>IF($C2318="","",IFERROR(INDEX(CAT_GRUPO,MATCH($C2318,CAT_NOME,0)),"Sem categoria"))</f>
        <v/>
      </c>
      <c r="F2318" s="76" t="n"/>
      <c r="G2318" s="74" t="n"/>
      <c r="H2318" s="74" t="n"/>
      <c r="I2318" s="74" t="n"/>
      <c r="J2318" s="77" t="n"/>
      <c r="K2318" s="77" t="n"/>
      <c r="L2318" s="74" t="n"/>
      <c r="M2318" s="74" t="n"/>
      <c r="O2318" s="78">
        <f>IF($A2318="","",YEAR($A2318)*100+MONTH($A2318))</f>
        <v/>
      </c>
      <c r="P2318" s="79">
        <f>IF(OR($F2318="",$D2318=""),"",IF($D2318="Receita",$F2318,IF($D2318="Transferência",0,-$F2318)))</f>
        <v/>
      </c>
    </row>
    <row r="2319">
      <c r="A2319" s="73" t="n"/>
      <c r="B2319" s="74" t="n"/>
      <c r="C2319" s="74" t="n"/>
      <c r="D2319" s="75">
        <f>IF($C2319="","",IFERROR(INDEX(CAT_TIPO,MATCH($C2319,CAT_NOME,0)),"Sem categoria"))</f>
        <v/>
      </c>
      <c r="E2319" s="75">
        <f>IF($C2319="","",IFERROR(INDEX(CAT_GRUPO,MATCH($C2319,CAT_NOME,0)),"Sem categoria"))</f>
        <v/>
      </c>
      <c r="F2319" s="76" t="n"/>
      <c r="G2319" s="74" t="n"/>
      <c r="H2319" s="74" t="n"/>
      <c r="I2319" s="74" t="n"/>
      <c r="J2319" s="77" t="n"/>
      <c r="K2319" s="77" t="n"/>
      <c r="L2319" s="74" t="n"/>
      <c r="M2319" s="74" t="n"/>
      <c r="O2319" s="78">
        <f>IF($A2319="","",YEAR($A2319)*100+MONTH($A2319))</f>
        <v/>
      </c>
      <c r="P2319" s="79">
        <f>IF(OR($F2319="",$D2319=""),"",IF($D2319="Receita",$F2319,IF($D2319="Transferência",0,-$F2319)))</f>
        <v/>
      </c>
    </row>
    <row r="2320">
      <c r="A2320" s="73" t="n"/>
      <c r="B2320" s="74" t="n"/>
      <c r="C2320" s="74" t="n"/>
      <c r="D2320" s="75">
        <f>IF($C2320="","",IFERROR(INDEX(CAT_TIPO,MATCH($C2320,CAT_NOME,0)),"Sem categoria"))</f>
        <v/>
      </c>
      <c r="E2320" s="75">
        <f>IF($C2320="","",IFERROR(INDEX(CAT_GRUPO,MATCH($C2320,CAT_NOME,0)),"Sem categoria"))</f>
        <v/>
      </c>
      <c r="F2320" s="76" t="n"/>
      <c r="G2320" s="74" t="n"/>
      <c r="H2320" s="74" t="n"/>
      <c r="I2320" s="74" t="n"/>
      <c r="J2320" s="77" t="n"/>
      <c r="K2320" s="77" t="n"/>
      <c r="L2320" s="74" t="n"/>
      <c r="M2320" s="74" t="n"/>
      <c r="O2320" s="78">
        <f>IF($A2320="","",YEAR($A2320)*100+MONTH($A2320))</f>
        <v/>
      </c>
      <c r="P2320" s="79">
        <f>IF(OR($F2320="",$D2320=""),"",IF($D2320="Receita",$F2320,IF($D2320="Transferência",0,-$F2320)))</f>
        <v/>
      </c>
    </row>
    <row r="2321">
      <c r="A2321" s="73" t="n"/>
      <c r="B2321" s="74" t="n"/>
      <c r="C2321" s="74" t="n"/>
      <c r="D2321" s="75">
        <f>IF($C2321="","",IFERROR(INDEX(CAT_TIPO,MATCH($C2321,CAT_NOME,0)),"Sem categoria"))</f>
        <v/>
      </c>
      <c r="E2321" s="75">
        <f>IF($C2321="","",IFERROR(INDEX(CAT_GRUPO,MATCH($C2321,CAT_NOME,0)),"Sem categoria"))</f>
        <v/>
      </c>
      <c r="F2321" s="76" t="n"/>
      <c r="G2321" s="74" t="n"/>
      <c r="H2321" s="74" t="n"/>
      <c r="I2321" s="74" t="n"/>
      <c r="J2321" s="77" t="n"/>
      <c r="K2321" s="77" t="n"/>
      <c r="L2321" s="74" t="n"/>
      <c r="M2321" s="74" t="n"/>
      <c r="O2321" s="78">
        <f>IF($A2321="","",YEAR($A2321)*100+MONTH($A2321))</f>
        <v/>
      </c>
      <c r="P2321" s="79">
        <f>IF(OR($F2321="",$D2321=""),"",IF($D2321="Receita",$F2321,IF($D2321="Transferência",0,-$F2321)))</f>
        <v/>
      </c>
    </row>
    <row r="2322">
      <c r="A2322" s="73" t="n"/>
      <c r="B2322" s="74" t="n"/>
      <c r="C2322" s="74" t="n"/>
      <c r="D2322" s="75">
        <f>IF($C2322="","",IFERROR(INDEX(CAT_TIPO,MATCH($C2322,CAT_NOME,0)),"Sem categoria"))</f>
        <v/>
      </c>
      <c r="E2322" s="75">
        <f>IF($C2322="","",IFERROR(INDEX(CAT_GRUPO,MATCH($C2322,CAT_NOME,0)),"Sem categoria"))</f>
        <v/>
      </c>
      <c r="F2322" s="76" t="n"/>
      <c r="G2322" s="74" t="n"/>
      <c r="H2322" s="74" t="n"/>
      <c r="I2322" s="74" t="n"/>
      <c r="J2322" s="77" t="n"/>
      <c r="K2322" s="77" t="n"/>
      <c r="L2322" s="74" t="n"/>
      <c r="M2322" s="74" t="n"/>
      <c r="O2322" s="78">
        <f>IF($A2322="","",YEAR($A2322)*100+MONTH($A2322))</f>
        <v/>
      </c>
      <c r="P2322" s="79">
        <f>IF(OR($F2322="",$D2322=""),"",IF($D2322="Receita",$F2322,IF($D2322="Transferência",0,-$F2322)))</f>
        <v/>
      </c>
    </row>
    <row r="2323">
      <c r="A2323" s="73" t="n"/>
      <c r="B2323" s="74" t="n"/>
      <c r="C2323" s="74" t="n"/>
      <c r="D2323" s="75">
        <f>IF($C2323="","",IFERROR(INDEX(CAT_TIPO,MATCH($C2323,CAT_NOME,0)),"Sem categoria"))</f>
        <v/>
      </c>
      <c r="E2323" s="75">
        <f>IF($C2323="","",IFERROR(INDEX(CAT_GRUPO,MATCH($C2323,CAT_NOME,0)),"Sem categoria"))</f>
        <v/>
      </c>
      <c r="F2323" s="76" t="n"/>
      <c r="G2323" s="74" t="n"/>
      <c r="H2323" s="74" t="n"/>
      <c r="I2323" s="74" t="n"/>
      <c r="J2323" s="77" t="n"/>
      <c r="K2323" s="77" t="n"/>
      <c r="L2323" s="74" t="n"/>
      <c r="M2323" s="74" t="n"/>
      <c r="O2323" s="78">
        <f>IF($A2323="","",YEAR($A2323)*100+MONTH($A2323))</f>
        <v/>
      </c>
      <c r="P2323" s="79">
        <f>IF(OR($F2323="",$D2323=""),"",IF($D2323="Receita",$F2323,IF($D2323="Transferência",0,-$F2323)))</f>
        <v/>
      </c>
    </row>
    <row r="2324">
      <c r="A2324" s="73" t="n"/>
      <c r="B2324" s="74" t="n"/>
      <c r="C2324" s="74" t="n"/>
      <c r="D2324" s="75">
        <f>IF($C2324="","",IFERROR(INDEX(CAT_TIPO,MATCH($C2324,CAT_NOME,0)),"Sem categoria"))</f>
        <v/>
      </c>
      <c r="E2324" s="75">
        <f>IF($C2324="","",IFERROR(INDEX(CAT_GRUPO,MATCH($C2324,CAT_NOME,0)),"Sem categoria"))</f>
        <v/>
      </c>
      <c r="F2324" s="76" t="n"/>
      <c r="G2324" s="74" t="n"/>
      <c r="H2324" s="74" t="n"/>
      <c r="I2324" s="74" t="n"/>
      <c r="J2324" s="77" t="n"/>
      <c r="K2324" s="77" t="n"/>
      <c r="L2324" s="74" t="n"/>
      <c r="M2324" s="74" t="n"/>
      <c r="O2324" s="78">
        <f>IF($A2324="","",YEAR($A2324)*100+MONTH($A2324))</f>
        <v/>
      </c>
      <c r="P2324" s="79">
        <f>IF(OR($F2324="",$D2324=""),"",IF($D2324="Receita",$F2324,IF($D2324="Transferência",0,-$F2324)))</f>
        <v/>
      </c>
    </row>
    <row r="2325">
      <c r="A2325" s="73" t="n"/>
      <c r="B2325" s="74" t="n"/>
      <c r="C2325" s="74" t="n"/>
      <c r="D2325" s="75">
        <f>IF($C2325="","",IFERROR(INDEX(CAT_TIPO,MATCH($C2325,CAT_NOME,0)),"Sem categoria"))</f>
        <v/>
      </c>
      <c r="E2325" s="75">
        <f>IF($C2325="","",IFERROR(INDEX(CAT_GRUPO,MATCH($C2325,CAT_NOME,0)),"Sem categoria"))</f>
        <v/>
      </c>
      <c r="F2325" s="76" t="n"/>
      <c r="G2325" s="74" t="n"/>
      <c r="H2325" s="74" t="n"/>
      <c r="I2325" s="74" t="n"/>
      <c r="J2325" s="77" t="n"/>
      <c r="K2325" s="77" t="n"/>
      <c r="L2325" s="74" t="n"/>
      <c r="M2325" s="74" t="n"/>
      <c r="O2325" s="78">
        <f>IF($A2325="","",YEAR($A2325)*100+MONTH($A2325))</f>
        <v/>
      </c>
      <c r="P2325" s="79">
        <f>IF(OR($F2325="",$D2325=""),"",IF($D2325="Receita",$F2325,IF($D2325="Transferência",0,-$F2325)))</f>
        <v/>
      </c>
    </row>
    <row r="2326">
      <c r="A2326" s="73" t="n"/>
      <c r="B2326" s="74" t="n"/>
      <c r="C2326" s="74" t="n"/>
      <c r="D2326" s="75">
        <f>IF($C2326="","",IFERROR(INDEX(CAT_TIPO,MATCH($C2326,CAT_NOME,0)),"Sem categoria"))</f>
        <v/>
      </c>
      <c r="E2326" s="75">
        <f>IF($C2326="","",IFERROR(INDEX(CAT_GRUPO,MATCH($C2326,CAT_NOME,0)),"Sem categoria"))</f>
        <v/>
      </c>
      <c r="F2326" s="76" t="n"/>
      <c r="G2326" s="74" t="n"/>
      <c r="H2326" s="74" t="n"/>
      <c r="I2326" s="74" t="n"/>
      <c r="J2326" s="77" t="n"/>
      <c r="K2326" s="77" t="n"/>
      <c r="L2326" s="74" t="n"/>
      <c r="M2326" s="74" t="n"/>
      <c r="O2326" s="78">
        <f>IF($A2326="","",YEAR($A2326)*100+MONTH($A2326))</f>
        <v/>
      </c>
      <c r="P2326" s="79">
        <f>IF(OR($F2326="",$D2326=""),"",IF($D2326="Receita",$F2326,IF($D2326="Transferência",0,-$F2326)))</f>
        <v/>
      </c>
    </row>
    <row r="2327">
      <c r="A2327" s="73" t="n"/>
      <c r="B2327" s="74" t="n"/>
      <c r="C2327" s="74" t="n"/>
      <c r="D2327" s="75">
        <f>IF($C2327="","",IFERROR(INDEX(CAT_TIPO,MATCH($C2327,CAT_NOME,0)),"Sem categoria"))</f>
        <v/>
      </c>
      <c r="E2327" s="75">
        <f>IF($C2327="","",IFERROR(INDEX(CAT_GRUPO,MATCH($C2327,CAT_NOME,0)),"Sem categoria"))</f>
        <v/>
      </c>
      <c r="F2327" s="76" t="n"/>
      <c r="G2327" s="74" t="n"/>
      <c r="H2327" s="74" t="n"/>
      <c r="I2327" s="74" t="n"/>
      <c r="J2327" s="77" t="n"/>
      <c r="K2327" s="77" t="n"/>
      <c r="L2327" s="74" t="n"/>
      <c r="M2327" s="74" t="n"/>
      <c r="O2327" s="78">
        <f>IF($A2327="","",YEAR($A2327)*100+MONTH($A2327))</f>
        <v/>
      </c>
      <c r="P2327" s="79">
        <f>IF(OR($F2327="",$D2327=""),"",IF($D2327="Receita",$F2327,IF($D2327="Transferência",0,-$F2327)))</f>
        <v/>
      </c>
    </row>
    <row r="2328">
      <c r="A2328" s="73" t="n"/>
      <c r="B2328" s="74" t="n"/>
      <c r="C2328" s="74" t="n"/>
      <c r="D2328" s="75">
        <f>IF($C2328="","",IFERROR(INDEX(CAT_TIPO,MATCH($C2328,CAT_NOME,0)),"Sem categoria"))</f>
        <v/>
      </c>
      <c r="E2328" s="75">
        <f>IF($C2328="","",IFERROR(INDEX(CAT_GRUPO,MATCH($C2328,CAT_NOME,0)),"Sem categoria"))</f>
        <v/>
      </c>
      <c r="F2328" s="76" t="n"/>
      <c r="G2328" s="74" t="n"/>
      <c r="H2328" s="74" t="n"/>
      <c r="I2328" s="74" t="n"/>
      <c r="J2328" s="77" t="n"/>
      <c r="K2328" s="77" t="n"/>
      <c r="L2328" s="74" t="n"/>
      <c r="M2328" s="74" t="n"/>
      <c r="O2328" s="78">
        <f>IF($A2328="","",YEAR($A2328)*100+MONTH($A2328))</f>
        <v/>
      </c>
      <c r="P2328" s="79">
        <f>IF(OR($F2328="",$D2328=""),"",IF($D2328="Receita",$F2328,IF($D2328="Transferência",0,-$F2328)))</f>
        <v/>
      </c>
    </row>
    <row r="2329">
      <c r="A2329" s="73" t="n"/>
      <c r="B2329" s="74" t="n"/>
      <c r="C2329" s="74" t="n"/>
      <c r="D2329" s="75">
        <f>IF($C2329="","",IFERROR(INDEX(CAT_TIPO,MATCH($C2329,CAT_NOME,0)),"Sem categoria"))</f>
        <v/>
      </c>
      <c r="E2329" s="75">
        <f>IF($C2329="","",IFERROR(INDEX(CAT_GRUPO,MATCH($C2329,CAT_NOME,0)),"Sem categoria"))</f>
        <v/>
      </c>
      <c r="F2329" s="76" t="n"/>
      <c r="G2329" s="74" t="n"/>
      <c r="H2329" s="74" t="n"/>
      <c r="I2329" s="74" t="n"/>
      <c r="J2329" s="77" t="n"/>
      <c r="K2329" s="77" t="n"/>
      <c r="L2329" s="74" t="n"/>
      <c r="M2329" s="74" t="n"/>
      <c r="O2329" s="78">
        <f>IF($A2329="","",YEAR($A2329)*100+MONTH($A2329))</f>
        <v/>
      </c>
      <c r="P2329" s="79">
        <f>IF(OR($F2329="",$D2329=""),"",IF($D2329="Receita",$F2329,IF($D2329="Transferência",0,-$F2329)))</f>
        <v/>
      </c>
    </row>
    <row r="2330">
      <c r="A2330" s="73" t="n"/>
      <c r="B2330" s="74" t="n"/>
      <c r="C2330" s="74" t="n"/>
      <c r="D2330" s="75">
        <f>IF($C2330="","",IFERROR(INDEX(CAT_TIPO,MATCH($C2330,CAT_NOME,0)),"Sem categoria"))</f>
        <v/>
      </c>
      <c r="E2330" s="75">
        <f>IF($C2330="","",IFERROR(INDEX(CAT_GRUPO,MATCH($C2330,CAT_NOME,0)),"Sem categoria"))</f>
        <v/>
      </c>
      <c r="F2330" s="76" t="n"/>
      <c r="G2330" s="74" t="n"/>
      <c r="H2330" s="74" t="n"/>
      <c r="I2330" s="74" t="n"/>
      <c r="J2330" s="77" t="n"/>
      <c r="K2330" s="77" t="n"/>
      <c r="L2330" s="74" t="n"/>
      <c r="M2330" s="74" t="n"/>
      <c r="O2330" s="78">
        <f>IF($A2330="","",YEAR($A2330)*100+MONTH($A2330))</f>
        <v/>
      </c>
      <c r="P2330" s="79">
        <f>IF(OR($F2330="",$D2330=""),"",IF($D2330="Receita",$F2330,IF($D2330="Transferência",0,-$F2330)))</f>
        <v/>
      </c>
    </row>
    <row r="2331">
      <c r="A2331" s="73" t="n"/>
      <c r="B2331" s="74" t="n"/>
      <c r="C2331" s="74" t="n"/>
      <c r="D2331" s="75">
        <f>IF($C2331="","",IFERROR(INDEX(CAT_TIPO,MATCH($C2331,CAT_NOME,0)),"Sem categoria"))</f>
        <v/>
      </c>
      <c r="E2331" s="75">
        <f>IF($C2331="","",IFERROR(INDEX(CAT_GRUPO,MATCH($C2331,CAT_NOME,0)),"Sem categoria"))</f>
        <v/>
      </c>
      <c r="F2331" s="76" t="n"/>
      <c r="G2331" s="74" t="n"/>
      <c r="H2331" s="74" t="n"/>
      <c r="I2331" s="74" t="n"/>
      <c r="J2331" s="77" t="n"/>
      <c r="K2331" s="77" t="n"/>
      <c r="L2331" s="74" t="n"/>
      <c r="M2331" s="74" t="n"/>
      <c r="O2331" s="78">
        <f>IF($A2331="","",YEAR($A2331)*100+MONTH($A2331))</f>
        <v/>
      </c>
      <c r="P2331" s="79">
        <f>IF(OR($F2331="",$D2331=""),"",IF($D2331="Receita",$F2331,IF($D2331="Transferência",0,-$F2331)))</f>
        <v/>
      </c>
    </row>
    <row r="2332">
      <c r="A2332" s="73" t="n"/>
      <c r="B2332" s="74" t="n"/>
      <c r="C2332" s="74" t="n"/>
      <c r="D2332" s="75">
        <f>IF($C2332="","",IFERROR(INDEX(CAT_TIPO,MATCH($C2332,CAT_NOME,0)),"Sem categoria"))</f>
        <v/>
      </c>
      <c r="E2332" s="75">
        <f>IF($C2332="","",IFERROR(INDEX(CAT_GRUPO,MATCH($C2332,CAT_NOME,0)),"Sem categoria"))</f>
        <v/>
      </c>
      <c r="F2332" s="76" t="n"/>
      <c r="G2332" s="74" t="n"/>
      <c r="H2332" s="74" t="n"/>
      <c r="I2332" s="74" t="n"/>
      <c r="J2332" s="77" t="n"/>
      <c r="K2332" s="77" t="n"/>
      <c r="L2332" s="74" t="n"/>
      <c r="M2332" s="74" t="n"/>
      <c r="O2332" s="78">
        <f>IF($A2332="","",YEAR($A2332)*100+MONTH($A2332))</f>
        <v/>
      </c>
      <c r="P2332" s="79">
        <f>IF(OR($F2332="",$D2332=""),"",IF($D2332="Receita",$F2332,IF($D2332="Transferência",0,-$F2332)))</f>
        <v/>
      </c>
    </row>
    <row r="2333">
      <c r="A2333" s="73" t="n"/>
      <c r="B2333" s="74" t="n"/>
      <c r="C2333" s="74" t="n"/>
      <c r="D2333" s="75">
        <f>IF($C2333="","",IFERROR(INDEX(CAT_TIPO,MATCH($C2333,CAT_NOME,0)),"Sem categoria"))</f>
        <v/>
      </c>
      <c r="E2333" s="75">
        <f>IF($C2333="","",IFERROR(INDEX(CAT_GRUPO,MATCH($C2333,CAT_NOME,0)),"Sem categoria"))</f>
        <v/>
      </c>
      <c r="F2333" s="76" t="n"/>
      <c r="G2333" s="74" t="n"/>
      <c r="H2333" s="74" t="n"/>
      <c r="I2333" s="74" t="n"/>
      <c r="J2333" s="77" t="n"/>
      <c r="K2333" s="77" t="n"/>
      <c r="L2333" s="74" t="n"/>
      <c r="M2333" s="74" t="n"/>
      <c r="O2333" s="78">
        <f>IF($A2333="","",YEAR($A2333)*100+MONTH($A2333))</f>
        <v/>
      </c>
      <c r="P2333" s="79">
        <f>IF(OR($F2333="",$D2333=""),"",IF($D2333="Receita",$F2333,IF($D2333="Transferência",0,-$F2333)))</f>
        <v/>
      </c>
    </row>
    <row r="2334">
      <c r="A2334" s="73" t="n"/>
      <c r="B2334" s="74" t="n"/>
      <c r="C2334" s="74" t="n"/>
      <c r="D2334" s="75">
        <f>IF($C2334="","",IFERROR(INDEX(CAT_TIPO,MATCH($C2334,CAT_NOME,0)),"Sem categoria"))</f>
        <v/>
      </c>
      <c r="E2334" s="75">
        <f>IF($C2334="","",IFERROR(INDEX(CAT_GRUPO,MATCH($C2334,CAT_NOME,0)),"Sem categoria"))</f>
        <v/>
      </c>
      <c r="F2334" s="76" t="n"/>
      <c r="G2334" s="74" t="n"/>
      <c r="H2334" s="74" t="n"/>
      <c r="I2334" s="74" t="n"/>
      <c r="J2334" s="77" t="n"/>
      <c r="K2334" s="77" t="n"/>
      <c r="L2334" s="74" t="n"/>
      <c r="M2334" s="74" t="n"/>
      <c r="O2334" s="78">
        <f>IF($A2334="","",YEAR($A2334)*100+MONTH($A2334))</f>
        <v/>
      </c>
      <c r="P2334" s="79">
        <f>IF(OR($F2334="",$D2334=""),"",IF($D2334="Receita",$F2334,IF($D2334="Transferência",0,-$F2334)))</f>
        <v/>
      </c>
    </row>
    <row r="2335">
      <c r="A2335" s="73" t="n"/>
      <c r="B2335" s="74" t="n"/>
      <c r="C2335" s="74" t="n"/>
      <c r="D2335" s="75">
        <f>IF($C2335="","",IFERROR(INDEX(CAT_TIPO,MATCH($C2335,CAT_NOME,0)),"Sem categoria"))</f>
        <v/>
      </c>
      <c r="E2335" s="75">
        <f>IF($C2335="","",IFERROR(INDEX(CAT_GRUPO,MATCH($C2335,CAT_NOME,0)),"Sem categoria"))</f>
        <v/>
      </c>
      <c r="F2335" s="76" t="n"/>
      <c r="G2335" s="74" t="n"/>
      <c r="H2335" s="74" t="n"/>
      <c r="I2335" s="74" t="n"/>
      <c r="J2335" s="77" t="n"/>
      <c r="K2335" s="77" t="n"/>
      <c r="L2335" s="74" t="n"/>
      <c r="M2335" s="74" t="n"/>
      <c r="O2335" s="78">
        <f>IF($A2335="","",YEAR($A2335)*100+MONTH($A2335))</f>
        <v/>
      </c>
      <c r="P2335" s="79">
        <f>IF(OR($F2335="",$D2335=""),"",IF($D2335="Receita",$F2335,IF($D2335="Transferência",0,-$F2335)))</f>
        <v/>
      </c>
    </row>
    <row r="2336">
      <c r="A2336" s="73" t="n"/>
      <c r="B2336" s="74" t="n"/>
      <c r="C2336" s="74" t="n"/>
      <c r="D2336" s="75">
        <f>IF($C2336="","",IFERROR(INDEX(CAT_TIPO,MATCH($C2336,CAT_NOME,0)),"Sem categoria"))</f>
        <v/>
      </c>
      <c r="E2336" s="75">
        <f>IF($C2336="","",IFERROR(INDEX(CAT_GRUPO,MATCH($C2336,CAT_NOME,0)),"Sem categoria"))</f>
        <v/>
      </c>
      <c r="F2336" s="76" t="n"/>
      <c r="G2336" s="74" t="n"/>
      <c r="H2336" s="74" t="n"/>
      <c r="I2336" s="74" t="n"/>
      <c r="J2336" s="77" t="n"/>
      <c r="K2336" s="77" t="n"/>
      <c r="L2336" s="74" t="n"/>
      <c r="M2336" s="74" t="n"/>
      <c r="O2336" s="78">
        <f>IF($A2336="","",YEAR($A2336)*100+MONTH($A2336))</f>
        <v/>
      </c>
      <c r="P2336" s="79">
        <f>IF(OR($F2336="",$D2336=""),"",IF($D2336="Receita",$F2336,IF($D2336="Transferência",0,-$F2336)))</f>
        <v/>
      </c>
    </row>
    <row r="2337">
      <c r="A2337" s="73" t="n"/>
      <c r="B2337" s="74" t="n"/>
      <c r="C2337" s="74" t="n"/>
      <c r="D2337" s="75">
        <f>IF($C2337="","",IFERROR(INDEX(CAT_TIPO,MATCH($C2337,CAT_NOME,0)),"Sem categoria"))</f>
        <v/>
      </c>
      <c r="E2337" s="75">
        <f>IF($C2337="","",IFERROR(INDEX(CAT_GRUPO,MATCH($C2337,CAT_NOME,0)),"Sem categoria"))</f>
        <v/>
      </c>
      <c r="F2337" s="76" t="n"/>
      <c r="G2337" s="74" t="n"/>
      <c r="H2337" s="74" t="n"/>
      <c r="I2337" s="74" t="n"/>
      <c r="J2337" s="77" t="n"/>
      <c r="K2337" s="77" t="n"/>
      <c r="L2337" s="74" t="n"/>
      <c r="M2337" s="74" t="n"/>
      <c r="O2337" s="78">
        <f>IF($A2337="","",YEAR($A2337)*100+MONTH($A2337))</f>
        <v/>
      </c>
      <c r="P2337" s="79">
        <f>IF(OR($F2337="",$D2337=""),"",IF($D2337="Receita",$F2337,IF($D2337="Transferência",0,-$F2337)))</f>
        <v/>
      </c>
    </row>
    <row r="2338">
      <c r="A2338" s="73" t="n"/>
      <c r="B2338" s="74" t="n"/>
      <c r="C2338" s="74" t="n"/>
      <c r="D2338" s="75">
        <f>IF($C2338="","",IFERROR(INDEX(CAT_TIPO,MATCH($C2338,CAT_NOME,0)),"Sem categoria"))</f>
        <v/>
      </c>
      <c r="E2338" s="75">
        <f>IF($C2338="","",IFERROR(INDEX(CAT_GRUPO,MATCH($C2338,CAT_NOME,0)),"Sem categoria"))</f>
        <v/>
      </c>
      <c r="F2338" s="76" t="n"/>
      <c r="G2338" s="74" t="n"/>
      <c r="H2338" s="74" t="n"/>
      <c r="I2338" s="74" t="n"/>
      <c r="J2338" s="77" t="n"/>
      <c r="K2338" s="77" t="n"/>
      <c r="L2338" s="74" t="n"/>
      <c r="M2338" s="74" t="n"/>
      <c r="O2338" s="78">
        <f>IF($A2338="","",YEAR($A2338)*100+MONTH($A2338))</f>
        <v/>
      </c>
      <c r="P2338" s="79">
        <f>IF(OR($F2338="",$D2338=""),"",IF($D2338="Receita",$F2338,IF($D2338="Transferência",0,-$F2338)))</f>
        <v/>
      </c>
    </row>
    <row r="2339">
      <c r="A2339" s="73" t="n"/>
      <c r="B2339" s="74" t="n"/>
      <c r="C2339" s="74" t="n"/>
      <c r="D2339" s="75">
        <f>IF($C2339="","",IFERROR(INDEX(CAT_TIPO,MATCH($C2339,CAT_NOME,0)),"Sem categoria"))</f>
        <v/>
      </c>
      <c r="E2339" s="75">
        <f>IF($C2339="","",IFERROR(INDEX(CAT_GRUPO,MATCH($C2339,CAT_NOME,0)),"Sem categoria"))</f>
        <v/>
      </c>
      <c r="F2339" s="76" t="n"/>
      <c r="G2339" s="74" t="n"/>
      <c r="H2339" s="74" t="n"/>
      <c r="I2339" s="74" t="n"/>
      <c r="J2339" s="77" t="n"/>
      <c r="K2339" s="77" t="n"/>
      <c r="L2339" s="74" t="n"/>
      <c r="M2339" s="74" t="n"/>
      <c r="O2339" s="78">
        <f>IF($A2339="","",YEAR($A2339)*100+MONTH($A2339))</f>
        <v/>
      </c>
      <c r="P2339" s="79">
        <f>IF(OR($F2339="",$D2339=""),"",IF($D2339="Receita",$F2339,IF($D2339="Transferência",0,-$F2339)))</f>
        <v/>
      </c>
    </row>
    <row r="2340">
      <c r="A2340" s="73" t="n"/>
      <c r="B2340" s="74" t="n"/>
      <c r="C2340" s="74" t="n"/>
      <c r="D2340" s="75">
        <f>IF($C2340="","",IFERROR(INDEX(CAT_TIPO,MATCH($C2340,CAT_NOME,0)),"Sem categoria"))</f>
        <v/>
      </c>
      <c r="E2340" s="75">
        <f>IF($C2340="","",IFERROR(INDEX(CAT_GRUPO,MATCH($C2340,CAT_NOME,0)),"Sem categoria"))</f>
        <v/>
      </c>
      <c r="F2340" s="76" t="n"/>
      <c r="G2340" s="74" t="n"/>
      <c r="H2340" s="74" t="n"/>
      <c r="I2340" s="74" t="n"/>
      <c r="J2340" s="77" t="n"/>
      <c r="K2340" s="77" t="n"/>
      <c r="L2340" s="74" t="n"/>
      <c r="M2340" s="74" t="n"/>
      <c r="O2340" s="78">
        <f>IF($A2340="","",YEAR($A2340)*100+MONTH($A2340))</f>
        <v/>
      </c>
      <c r="P2340" s="79">
        <f>IF(OR($F2340="",$D2340=""),"",IF($D2340="Receita",$F2340,IF($D2340="Transferência",0,-$F2340)))</f>
        <v/>
      </c>
    </row>
    <row r="2341">
      <c r="A2341" s="73" t="n"/>
      <c r="B2341" s="74" t="n"/>
      <c r="C2341" s="74" t="n"/>
      <c r="D2341" s="75">
        <f>IF($C2341="","",IFERROR(INDEX(CAT_TIPO,MATCH($C2341,CAT_NOME,0)),"Sem categoria"))</f>
        <v/>
      </c>
      <c r="E2341" s="75">
        <f>IF($C2341="","",IFERROR(INDEX(CAT_GRUPO,MATCH($C2341,CAT_NOME,0)),"Sem categoria"))</f>
        <v/>
      </c>
      <c r="F2341" s="76" t="n"/>
      <c r="G2341" s="74" t="n"/>
      <c r="H2341" s="74" t="n"/>
      <c r="I2341" s="74" t="n"/>
      <c r="J2341" s="77" t="n"/>
      <c r="K2341" s="77" t="n"/>
      <c r="L2341" s="74" t="n"/>
      <c r="M2341" s="74" t="n"/>
      <c r="O2341" s="78">
        <f>IF($A2341="","",YEAR($A2341)*100+MONTH($A2341))</f>
        <v/>
      </c>
      <c r="P2341" s="79">
        <f>IF(OR($F2341="",$D2341=""),"",IF($D2341="Receita",$F2341,IF($D2341="Transferência",0,-$F2341)))</f>
        <v/>
      </c>
    </row>
    <row r="2342">
      <c r="A2342" s="73" t="n"/>
      <c r="B2342" s="74" t="n"/>
      <c r="C2342" s="74" t="n"/>
      <c r="D2342" s="75">
        <f>IF($C2342="","",IFERROR(INDEX(CAT_TIPO,MATCH($C2342,CAT_NOME,0)),"Sem categoria"))</f>
        <v/>
      </c>
      <c r="E2342" s="75">
        <f>IF($C2342="","",IFERROR(INDEX(CAT_GRUPO,MATCH($C2342,CAT_NOME,0)),"Sem categoria"))</f>
        <v/>
      </c>
      <c r="F2342" s="76" t="n"/>
      <c r="G2342" s="74" t="n"/>
      <c r="H2342" s="74" t="n"/>
      <c r="I2342" s="74" t="n"/>
      <c r="J2342" s="77" t="n"/>
      <c r="K2342" s="77" t="n"/>
      <c r="L2342" s="74" t="n"/>
      <c r="M2342" s="74" t="n"/>
      <c r="O2342" s="78">
        <f>IF($A2342="","",YEAR($A2342)*100+MONTH($A2342))</f>
        <v/>
      </c>
      <c r="P2342" s="79">
        <f>IF(OR($F2342="",$D2342=""),"",IF($D2342="Receita",$F2342,IF($D2342="Transferência",0,-$F2342)))</f>
        <v/>
      </c>
    </row>
    <row r="2343">
      <c r="A2343" s="73" t="n"/>
      <c r="B2343" s="74" t="n"/>
      <c r="C2343" s="74" t="n"/>
      <c r="D2343" s="75">
        <f>IF($C2343="","",IFERROR(INDEX(CAT_TIPO,MATCH($C2343,CAT_NOME,0)),"Sem categoria"))</f>
        <v/>
      </c>
      <c r="E2343" s="75">
        <f>IF($C2343="","",IFERROR(INDEX(CAT_GRUPO,MATCH($C2343,CAT_NOME,0)),"Sem categoria"))</f>
        <v/>
      </c>
      <c r="F2343" s="76" t="n"/>
      <c r="G2343" s="74" t="n"/>
      <c r="H2343" s="74" t="n"/>
      <c r="I2343" s="74" t="n"/>
      <c r="J2343" s="77" t="n"/>
      <c r="K2343" s="77" t="n"/>
      <c r="L2343" s="74" t="n"/>
      <c r="M2343" s="74" t="n"/>
      <c r="O2343" s="78">
        <f>IF($A2343="","",YEAR($A2343)*100+MONTH($A2343))</f>
        <v/>
      </c>
      <c r="P2343" s="79">
        <f>IF(OR($F2343="",$D2343=""),"",IF($D2343="Receita",$F2343,IF($D2343="Transferência",0,-$F2343)))</f>
        <v/>
      </c>
    </row>
    <row r="2344">
      <c r="A2344" s="73" t="n"/>
      <c r="B2344" s="74" t="n"/>
      <c r="C2344" s="74" t="n"/>
      <c r="D2344" s="75">
        <f>IF($C2344="","",IFERROR(INDEX(CAT_TIPO,MATCH($C2344,CAT_NOME,0)),"Sem categoria"))</f>
        <v/>
      </c>
      <c r="E2344" s="75">
        <f>IF($C2344="","",IFERROR(INDEX(CAT_GRUPO,MATCH($C2344,CAT_NOME,0)),"Sem categoria"))</f>
        <v/>
      </c>
      <c r="F2344" s="76" t="n"/>
      <c r="G2344" s="74" t="n"/>
      <c r="H2344" s="74" t="n"/>
      <c r="I2344" s="74" t="n"/>
      <c r="J2344" s="77" t="n"/>
      <c r="K2344" s="77" t="n"/>
      <c r="L2344" s="74" t="n"/>
      <c r="M2344" s="74" t="n"/>
      <c r="O2344" s="78">
        <f>IF($A2344="","",YEAR($A2344)*100+MONTH($A2344))</f>
        <v/>
      </c>
      <c r="P2344" s="79">
        <f>IF(OR($F2344="",$D2344=""),"",IF($D2344="Receita",$F2344,IF($D2344="Transferência",0,-$F2344)))</f>
        <v/>
      </c>
    </row>
    <row r="2345">
      <c r="A2345" s="73" t="n"/>
      <c r="B2345" s="74" t="n"/>
      <c r="C2345" s="74" t="n"/>
      <c r="D2345" s="75">
        <f>IF($C2345="","",IFERROR(INDEX(CAT_TIPO,MATCH($C2345,CAT_NOME,0)),"Sem categoria"))</f>
        <v/>
      </c>
      <c r="E2345" s="75">
        <f>IF($C2345="","",IFERROR(INDEX(CAT_GRUPO,MATCH($C2345,CAT_NOME,0)),"Sem categoria"))</f>
        <v/>
      </c>
      <c r="F2345" s="76" t="n"/>
      <c r="G2345" s="74" t="n"/>
      <c r="H2345" s="74" t="n"/>
      <c r="I2345" s="74" t="n"/>
      <c r="J2345" s="77" t="n"/>
      <c r="K2345" s="77" t="n"/>
      <c r="L2345" s="74" t="n"/>
      <c r="M2345" s="74" t="n"/>
      <c r="O2345" s="78">
        <f>IF($A2345="","",YEAR($A2345)*100+MONTH($A2345))</f>
        <v/>
      </c>
      <c r="P2345" s="79">
        <f>IF(OR($F2345="",$D2345=""),"",IF($D2345="Receita",$F2345,IF($D2345="Transferência",0,-$F2345)))</f>
        <v/>
      </c>
    </row>
    <row r="2346">
      <c r="A2346" s="73" t="n"/>
      <c r="B2346" s="74" t="n"/>
      <c r="C2346" s="74" t="n"/>
      <c r="D2346" s="75">
        <f>IF($C2346="","",IFERROR(INDEX(CAT_TIPO,MATCH($C2346,CAT_NOME,0)),"Sem categoria"))</f>
        <v/>
      </c>
      <c r="E2346" s="75">
        <f>IF($C2346="","",IFERROR(INDEX(CAT_GRUPO,MATCH($C2346,CAT_NOME,0)),"Sem categoria"))</f>
        <v/>
      </c>
      <c r="F2346" s="76" t="n"/>
      <c r="G2346" s="74" t="n"/>
      <c r="H2346" s="74" t="n"/>
      <c r="I2346" s="74" t="n"/>
      <c r="J2346" s="77" t="n"/>
      <c r="K2346" s="77" t="n"/>
      <c r="L2346" s="74" t="n"/>
      <c r="M2346" s="74" t="n"/>
      <c r="O2346" s="78">
        <f>IF($A2346="","",YEAR($A2346)*100+MONTH($A2346))</f>
        <v/>
      </c>
      <c r="P2346" s="79">
        <f>IF(OR($F2346="",$D2346=""),"",IF($D2346="Receita",$F2346,IF($D2346="Transferência",0,-$F2346)))</f>
        <v/>
      </c>
    </row>
    <row r="2347">
      <c r="A2347" s="73" t="n"/>
      <c r="B2347" s="74" t="n"/>
      <c r="C2347" s="74" t="n"/>
      <c r="D2347" s="75">
        <f>IF($C2347="","",IFERROR(INDEX(CAT_TIPO,MATCH($C2347,CAT_NOME,0)),"Sem categoria"))</f>
        <v/>
      </c>
      <c r="E2347" s="75">
        <f>IF($C2347="","",IFERROR(INDEX(CAT_GRUPO,MATCH($C2347,CAT_NOME,0)),"Sem categoria"))</f>
        <v/>
      </c>
      <c r="F2347" s="76" t="n"/>
      <c r="G2347" s="74" t="n"/>
      <c r="H2347" s="74" t="n"/>
      <c r="I2347" s="74" t="n"/>
      <c r="J2347" s="77" t="n"/>
      <c r="K2347" s="77" t="n"/>
      <c r="L2347" s="74" t="n"/>
      <c r="M2347" s="74" t="n"/>
      <c r="O2347" s="78">
        <f>IF($A2347="","",YEAR($A2347)*100+MONTH($A2347))</f>
        <v/>
      </c>
      <c r="P2347" s="79">
        <f>IF(OR($F2347="",$D2347=""),"",IF($D2347="Receita",$F2347,IF($D2347="Transferência",0,-$F2347)))</f>
        <v/>
      </c>
    </row>
    <row r="2348">
      <c r="A2348" s="73" t="n"/>
      <c r="B2348" s="74" t="n"/>
      <c r="C2348" s="74" t="n"/>
      <c r="D2348" s="75">
        <f>IF($C2348="","",IFERROR(INDEX(CAT_TIPO,MATCH($C2348,CAT_NOME,0)),"Sem categoria"))</f>
        <v/>
      </c>
      <c r="E2348" s="75">
        <f>IF($C2348="","",IFERROR(INDEX(CAT_GRUPO,MATCH($C2348,CAT_NOME,0)),"Sem categoria"))</f>
        <v/>
      </c>
      <c r="F2348" s="76" t="n"/>
      <c r="G2348" s="74" t="n"/>
      <c r="H2348" s="74" t="n"/>
      <c r="I2348" s="74" t="n"/>
      <c r="J2348" s="77" t="n"/>
      <c r="K2348" s="77" t="n"/>
      <c r="L2348" s="74" t="n"/>
      <c r="M2348" s="74" t="n"/>
      <c r="O2348" s="78">
        <f>IF($A2348="","",YEAR($A2348)*100+MONTH($A2348))</f>
        <v/>
      </c>
      <c r="P2348" s="79">
        <f>IF(OR($F2348="",$D2348=""),"",IF($D2348="Receita",$F2348,IF($D2348="Transferência",0,-$F2348)))</f>
        <v/>
      </c>
    </row>
    <row r="2349">
      <c r="A2349" s="73" t="n"/>
      <c r="B2349" s="74" t="n"/>
      <c r="C2349" s="74" t="n"/>
      <c r="D2349" s="75">
        <f>IF($C2349="","",IFERROR(INDEX(CAT_TIPO,MATCH($C2349,CAT_NOME,0)),"Sem categoria"))</f>
        <v/>
      </c>
      <c r="E2349" s="75">
        <f>IF($C2349="","",IFERROR(INDEX(CAT_GRUPO,MATCH($C2349,CAT_NOME,0)),"Sem categoria"))</f>
        <v/>
      </c>
      <c r="F2349" s="76" t="n"/>
      <c r="G2349" s="74" t="n"/>
      <c r="H2349" s="74" t="n"/>
      <c r="I2349" s="74" t="n"/>
      <c r="J2349" s="77" t="n"/>
      <c r="K2349" s="77" t="n"/>
      <c r="L2349" s="74" t="n"/>
      <c r="M2349" s="74" t="n"/>
      <c r="O2349" s="78">
        <f>IF($A2349="","",YEAR($A2349)*100+MONTH($A2349))</f>
        <v/>
      </c>
      <c r="P2349" s="79">
        <f>IF(OR($F2349="",$D2349=""),"",IF($D2349="Receita",$F2349,IF($D2349="Transferência",0,-$F2349)))</f>
        <v/>
      </c>
    </row>
    <row r="2350">
      <c r="A2350" s="73" t="n"/>
      <c r="B2350" s="74" t="n"/>
      <c r="C2350" s="74" t="n"/>
      <c r="D2350" s="75">
        <f>IF($C2350="","",IFERROR(INDEX(CAT_TIPO,MATCH($C2350,CAT_NOME,0)),"Sem categoria"))</f>
        <v/>
      </c>
      <c r="E2350" s="75">
        <f>IF($C2350="","",IFERROR(INDEX(CAT_GRUPO,MATCH($C2350,CAT_NOME,0)),"Sem categoria"))</f>
        <v/>
      </c>
      <c r="F2350" s="76" t="n"/>
      <c r="G2350" s="74" t="n"/>
      <c r="H2350" s="74" t="n"/>
      <c r="I2350" s="74" t="n"/>
      <c r="J2350" s="77" t="n"/>
      <c r="K2350" s="77" t="n"/>
      <c r="L2350" s="74" t="n"/>
      <c r="M2350" s="74" t="n"/>
      <c r="O2350" s="78">
        <f>IF($A2350="","",YEAR($A2350)*100+MONTH($A2350))</f>
        <v/>
      </c>
      <c r="P2350" s="79">
        <f>IF(OR($F2350="",$D2350=""),"",IF($D2350="Receita",$F2350,IF($D2350="Transferência",0,-$F2350)))</f>
        <v/>
      </c>
    </row>
    <row r="2351">
      <c r="A2351" s="73" t="n"/>
      <c r="B2351" s="74" t="n"/>
      <c r="C2351" s="74" t="n"/>
      <c r="D2351" s="75">
        <f>IF($C2351="","",IFERROR(INDEX(CAT_TIPO,MATCH($C2351,CAT_NOME,0)),"Sem categoria"))</f>
        <v/>
      </c>
      <c r="E2351" s="75">
        <f>IF($C2351="","",IFERROR(INDEX(CAT_GRUPO,MATCH($C2351,CAT_NOME,0)),"Sem categoria"))</f>
        <v/>
      </c>
      <c r="F2351" s="76" t="n"/>
      <c r="G2351" s="74" t="n"/>
      <c r="H2351" s="74" t="n"/>
      <c r="I2351" s="74" t="n"/>
      <c r="J2351" s="77" t="n"/>
      <c r="K2351" s="77" t="n"/>
      <c r="L2351" s="74" t="n"/>
      <c r="M2351" s="74" t="n"/>
      <c r="O2351" s="78">
        <f>IF($A2351="","",YEAR($A2351)*100+MONTH($A2351))</f>
        <v/>
      </c>
      <c r="P2351" s="79">
        <f>IF(OR($F2351="",$D2351=""),"",IF($D2351="Receita",$F2351,IF($D2351="Transferência",0,-$F2351)))</f>
        <v/>
      </c>
    </row>
    <row r="2352">
      <c r="A2352" s="73" t="n"/>
      <c r="B2352" s="74" t="n"/>
      <c r="C2352" s="74" t="n"/>
      <c r="D2352" s="75">
        <f>IF($C2352="","",IFERROR(INDEX(CAT_TIPO,MATCH($C2352,CAT_NOME,0)),"Sem categoria"))</f>
        <v/>
      </c>
      <c r="E2352" s="75">
        <f>IF($C2352="","",IFERROR(INDEX(CAT_GRUPO,MATCH($C2352,CAT_NOME,0)),"Sem categoria"))</f>
        <v/>
      </c>
      <c r="F2352" s="76" t="n"/>
      <c r="G2352" s="74" t="n"/>
      <c r="H2352" s="74" t="n"/>
      <c r="I2352" s="74" t="n"/>
      <c r="J2352" s="77" t="n"/>
      <c r="K2352" s="77" t="n"/>
      <c r="L2352" s="74" t="n"/>
      <c r="M2352" s="74" t="n"/>
      <c r="O2352" s="78">
        <f>IF($A2352="","",YEAR($A2352)*100+MONTH($A2352))</f>
        <v/>
      </c>
      <c r="P2352" s="79">
        <f>IF(OR($F2352="",$D2352=""),"",IF($D2352="Receita",$F2352,IF($D2352="Transferência",0,-$F2352)))</f>
        <v/>
      </c>
    </row>
    <row r="2353">
      <c r="A2353" s="73" t="n"/>
      <c r="B2353" s="74" t="n"/>
      <c r="C2353" s="74" t="n"/>
      <c r="D2353" s="75">
        <f>IF($C2353="","",IFERROR(INDEX(CAT_TIPO,MATCH($C2353,CAT_NOME,0)),"Sem categoria"))</f>
        <v/>
      </c>
      <c r="E2353" s="75">
        <f>IF($C2353="","",IFERROR(INDEX(CAT_GRUPO,MATCH($C2353,CAT_NOME,0)),"Sem categoria"))</f>
        <v/>
      </c>
      <c r="F2353" s="76" t="n"/>
      <c r="G2353" s="74" t="n"/>
      <c r="H2353" s="74" t="n"/>
      <c r="I2353" s="74" t="n"/>
      <c r="J2353" s="77" t="n"/>
      <c r="K2353" s="77" t="n"/>
      <c r="L2353" s="74" t="n"/>
      <c r="M2353" s="74" t="n"/>
      <c r="O2353" s="78">
        <f>IF($A2353="","",YEAR($A2353)*100+MONTH($A2353))</f>
        <v/>
      </c>
      <c r="P2353" s="79">
        <f>IF(OR($F2353="",$D2353=""),"",IF($D2353="Receita",$F2353,IF($D2353="Transferência",0,-$F2353)))</f>
        <v/>
      </c>
    </row>
    <row r="2354">
      <c r="A2354" s="73" t="n"/>
      <c r="B2354" s="74" t="n"/>
      <c r="C2354" s="74" t="n"/>
      <c r="D2354" s="75">
        <f>IF($C2354="","",IFERROR(INDEX(CAT_TIPO,MATCH($C2354,CAT_NOME,0)),"Sem categoria"))</f>
        <v/>
      </c>
      <c r="E2354" s="75">
        <f>IF($C2354="","",IFERROR(INDEX(CAT_GRUPO,MATCH($C2354,CAT_NOME,0)),"Sem categoria"))</f>
        <v/>
      </c>
      <c r="F2354" s="76" t="n"/>
      <c r="G2354" s="74" t="n"/>
      <c r="H2354" s="74" t="n"/>
      <c r="I2354" s="74" t="n"/>
      <c r="J2354" s="77" t="n"/>
      <c r="K2354" s="77" t="n"/>
      <c r="L2354" s="74" t="n"/>
      <c r="M2354" s="74" t="n"/>
      <c r="O2354" s="78">
        <f>IF($A2354="","",YEAR($A2354)*100+MONTH($A2354))</f>
        <v/>
      </c>
      <c r="P2354" s="79">
        <f>IF(OR($F2354="",$D2354=""),"",IF($D2354="Receita",$F2354,IF($D2354="Transferência",0,-$F2354)))</f>
        <v/>
      </c>
    </row>
    <row r="2355">
      <c r="A2355" s="73" t="n"/>
      <c r="B2355" s="74" t="n"/>
      <c r="C2355" s="74" t="n"/>
      <c r="D2355" s="75">
        <f>IF($C2355="","",IFERROR(INDEX(CAT_TIPO,MATCH($C2355,CAT_NOME,0)),"Sem categoria"))</f>
        <v/>
      </c>
      <c r="E2355" s="75">
        <f>IF($C2355="","",IFERROR(INDEX(CAT_GRUPO,MATCH($C2355,CAT_NOME,0)),"Sem categoria"))</f>
        <v/>
      </c>
      <c r="F2355" s="76" t="n"/>
      <c r="G2355" s="74" t="n"/>
      <c r="H2355" s="74" t="n"/>
      <c r="I2355" s="74" t="n"/>
      <c r="J2355" s="77" t="n"/>
      <c r="K2355" s="77" t="n"/>
      <c r="L2355" s="74" t="n"/>
      <c r="M2355" s="74" t="n"/>
      <c r="O2355" s="78">
        <f>IF($A2355="","",YEAR($A2355)*100+MONTH($A2355))</f>
        <v/>
      </c>
      <c r="P2355" s="79">
        <f>IF(OR($F2355="",$D2355=""),"",IF($D2355="Receita",$F2355,IF($D2355="Transferência",0,-$F2355)))</f>
        <v/>
      </c>
    </row>
    <row r="2356">
      <c r="A2356" s="73" t="n"/>
      <c r="B2356" s="74" t="n"/>
      <c r="C2356" s="74" t="n"/>
      <c r="D2356" s="75">
        <f>IF($C2356="","",IFERROR(INDEX(CAT_TIPO,MATCH($C2356,CAT_NOME,0)),"Sem categoria"))</f>
        <v/>
      </c>
      <c r="E2356" s="75">
        <f>IF($C2356="","",IFERROR(INDEX(CAT_GRUPO,MATCH($C2356,CAT_NOME,0)),"Sem categoria"))</f>
        <v/>
      </c>
      <c r="F2356" s="76" t="n"/>
      <c r="G2356" s="74" t="n"/>
      <c r="H2356" s="74" t="n"/>
      <c r="I2356" s="74" t="n"/>
      <c r="J2356" s="77" t="n"/>
      <c r="K2356" s="77" t="n"/>
      <c r="L2356" s="74" t="n"/>
      <c r="M2356" s="74" t="n"/>
      <c r="O2356" s="78">
        <f>IF($A2356="","",YEAR($A2356)*100+MONTH($A2356))</f>
        <v/>
      </c>
      <c r="P2356" s="79">
        <f>IF(OR($F2356="",$D2356=""),"",IF($D2356="Receita",$F2356,IF($D2356="Transferência",0,-$F2356)))</f>
        <v/>
      </c>
    </row>
    <row r="2357">
      <c r="A2357" s="73" t="n"/>
      <c r="B2357" s="74" t="n"/>
      <c r="C2357" s="74" t="n"/>
      <c r="D2357" s="75">
        <f>IF($C2357="","",IFERROR(INDEX(CAT_TIPO,MATCH($C2357,CAT_NOME,0)),"Sem categoria"))</f>
        <v/>
      </c>
      <c r="E2357" s="75">
        <f>IF($C2357="","",IFERROR(INDEX(CAT_GRUPO,MATCH($C2357,CAT_NOME,0)),"Sem categoria"))</f>
        <v/>
      </c>
      <c r="F2357" s="76" t="n"/>
      <c r="G2357" s="74" t="n"/>
      <c r="H2357" s="74" t="n"/>
      <c r="I2357" s="74" t="n"/>
      <c r="J2357" s="77" t="n"/>
      <c r="K2357" s="77" t="n"/>
      <c r="L2357" s="74" t="n"/>
      <c r="M2357" s="74" t="n"/>
      <c r="O2357" s="78">
        <f>IF($A2357="","",YEAR($A2357)*100+MONTH($A2357))</f>
        <v/>
      </c>
      <c r="P2357" s="79">
        <f>IF(OR($F2357="",$D2357=""),"",IF($D2357="Receita",$F2357,IF($D2357="Transferência",0,-$F2357)))</f>
        <v/>
      </c>
    </row>
    <row r="2358">
      <c r="A2358" s="73" t="n"/>
      <c r="B2358" s="74" t="n"/>
      <c r="C2358" s="74" t="n"/>
      <c r="D2358" s="75">
        <f>IF($C2358="","",IFERROR(INDEX(CAT_TIPO,MATCH($C2358,CAT_NOME,0)),"Sem categoria"))</f>
        <v/>
      </c>
      <c r="E2358" s="75">
        <f>IF($C2358="","",IFERROR(INDEX(CAT_GRUPO,MATCH($C2358,CAT_NOME,0)),"Sem categoria"))</f>
        <v/>
      </c>
      <c r="F2358" s="76" t="n"/>
      <c r="G2358" s="74" t="n"/>
      <c r="H2358" s="74" t="n"/>
      <c r="I2358" s="74" t="n"/>
      <c r="J2358" s="77" t="n"/>
      <c r="K2358" s="77" t="n"/>
      <c r="L2358" s="74" t="n"/>
      <c r="M2358" s="74" t="n"/>
      <c r="O2358" s="78">
        <f>IF($A2358="","",YEAR($A2358)*100+MONTH($A2358))</f>
        <v/>
      </c>
      <c r="P2358" s="79">
        <f>IF(OR($F2358="",$D2358=""),"",IF($D2358="Receita",$F2358,IF($D2358="Transferência",0,-$F2358)))</f>
        <v/>
      </c>
    </row>
    <row r="2359">
      <c r="A2359" s="73" t="n"/>
      <c r="B2359" s="74" t="n"/>
      <c r="C2359" s="74" t="n"/>
      <c r="D2359" s="75">
        <f>IF($C2359="","",IFERROR(INDEX(CAT_TIPO,MATCH($C2359,CAT_NOME,0)),"Sem categoria"))</f>
        <v/>
      </c>
      <c r="E2359" s="75">
        <f>IF($C2359="","",IFERROR(INDEX(CAT_GRUPO,MATCH($C2359,CAT_NOME,0)),"Sem categoria"))</f>
        <v/>
      </c>
      <c r="F2359" s="76" t="n"/>
      <c r="G2359" s="74" t="n"/>
      <c r="H2359" s="74" t="n"/>
      <c r="I2359" s="74" t="n"/>
      <c r="J2359" s="77" t="n"/>
      <c r="K2359" s="77" t="n"/>
      <c r="L2359" s="74" t="n"/>
      <c r="M2359" s="74" t="n"/>
      <c r="O2359" s="78">
        <f>IF($A2359="","",YEAR($A2359)*100+MONTH($A2359))</f>
        <v/>
      </c>
      <c r="P2359" s="79">
        <f>IF(OR($F2359="",$D2359=""),"",IF($D2359="Receita",$F2359,IF($D2359="Transferência",0,-$F2359)))</f>
        <v/>
      </c>
    </row>
    <row r="2360">
      <c r="A2360" s="73" t="n"/>
      <c r="B2360" s="74" t="n"/>
      <c r="C2360" s="74" t="n"/>
      <c r="D2360" s="75">
        <f>IF($C2360="","",IFERROR(INDEX(CAT_TIPO,MATCH($C2360,CAT_NOME,0)),"Sem categoria"))</f>
        <v/>
      </c>
      <c r="E2360" s="75">
        <f>IF($C2360="","",IFERROR(INDEX(CAT_GRUPO,MATCH($C2360,CAT_NOME,0)),"Sem categoria"))</f>
        <v/>
      </c>
      <c r="F2360" s="76" t="n"/>
      <c r="G2360" s="74" t="n"/>
      <c r="H2360" s="74" t="n"/>
      <c r="I2360" s="74" t="n"/>
      <c r="J2360" s="77" t="n"/>
      <c r="K2360" s="77" t="n"/>
      <c r="L2360" s="74" t="n"/>
      <c r="M2360" s="74" t="n"/>
      <c r="O2360" s="78">
        <f>IF($A2360="","",YEAR($A2360)*100+MONTH($A2360))</f>
        <v/>
      </c>
      <c r="P2360" s="79">
        <f>IF(OR($F2360="",$D2360=""),"",IF($D2360="Receita",$F2360,IF($D2360="Transferência",0,-$F2360)))</f>
        <v/>
      </c>
    </row>
    <row r="2361">
      <c r="A2361" s="73" t="n"/>
      <c r="B2361" s="74" t="n"/>
      <c r="C2361" s="74" t="n"/>
      <c r="D2361" s="75">
        <f>IF($C2361="","",IFERROR(INDEX(CAT_TIPO,MATCH($C2361,CAT_NOME,0)),"Sem categoria"))</f>
        <v/>
      </c>
      <c r="E2361" s="75">
        <f>IF($C2361="","",IFERROR(INDEX(CAT_GRUPO,MATCH($C2361,CAT_NOME,0)),"Sem categoria"))</f>
        <v/>
      </c>
      <c r="F2361" s="76" t="n"/>
      <c r="G2361" s="74" t="n"/>
      <c r="H2361" s="74" t="n"/>
      <c r="I2361" s="74" t="n"/>
      <c r="J2361" s="77" t="n"/>
      <c r="K2361" s="77" t="n"/>
      <c r="L2361" s="74" t="n"/>
      <c r="M2361" s="74" t="n"/>
      <c r="O2361" s="78">
        <f>IF($A2361="","",YEAR($A2361)*100+MONTH($A2361))</f>
        <v/>
      </c>
      <c r="P2361" s="79">
        <f>IF(OR($F2361="",$D2361=""),"",IF($D2361="Receita",$F2361,IF($D2361="Transferência",0,-$F2361)))</f>
        <v/>
      </c>
    </row>
    <row r="2362">
      <c r="A2362" s="73" t="n"/>
      <c r="B2362" s="74" t="n"/>
      <c r="C2362" s="74" t="n"/>
      <c r="D2362" s="75">
        <f>IF($C2362="","",IFERROR(INDEX(CAT_TIPO,MATCH($C2362,CAT_NOME,0)),"Sem categoria"))</f>
        <v/>
      </c>
      <c r="E2362" s="75">
        <f>IF($C2362="","",IFERROR(INDEX(CAT_GRUPO,MATCH($C2362,CAT_NOME,0)),"Sem categoria"))</f>
        <v/>
      </c>
      <c r="F2362" s="76" t="n"/>
      <c r="G2362" s="74" t="n"/>
      <c r="H2362" s="74" t="n"/>
      <c r="I2362" s="74" t="n"/>
      <c r="J2362" s="77" t="n"/>
      <c r="K2362" s="77" t="n"/>
      <c r="L2362" s="74" t="n"/>
      <c r="M2362" s="74" t="n"/>
      <c r="O2362" s="78">
        <f>IF($A2362="","",YEAR($A2362)*100+MONTH($A2362))</f>
        <v/>
      </c>
      <c r="P2362" s="79">
        <f>IF(OR($F2362="",$D2362=""),"",IF($D2362="Receita",$F2362,IF($D2362="Transferência",0,-$F2362)))</f>
        <v/>
      </c>
    </row>
    <row r="2363">
      <c r="A2363" s="73" t="n"/>
      <c r="B2363" s="74" t="n"/>
      <c r="C2363" s="74" t="n"/>
      <c r="D2363" s="75">
        <f>IF($C2363="","",IFERROR(INDEX(CAT_TIPO,MATCH($C2363,CAT_NOME,0)),"Sem categoria"))</f>
        <v/>
      </c>
      <c r="E2363" s="75">
        <f>IF($C2363="","",IFERROR(INDEX(CAT_GRUPO,MATCH($C2363,CAT_NOME,0)),"Sem categoria"))</f>
        <v/>
      </c>
      <c r="F2363" s="76" t="n"/>
      <c r="G2363" s="74" t="n"/>
      <c r="H2363" s="74" t="n"/>
      <c r="I2363" s="74" t="n"/>
      <c r="J2363" s="77" t="n"/>
      <c r="K2363" s="77" t="n"/>
      <c r="L2363" s="74" t="n"/>
      <c r="M2363" s="74" t="n"/>
      <c r="O2363" s="78">
        <f>IF($A2363="","",YEAR($A2363)*100+MONTH($A2363))</f>
        <v/>
      </c>
      <c r="P2363" s="79">
        <f>IF(OR($F2363="",$D2363=""),"",IF($D2363="Receita",$F2363,IF($D2363="Transferência",0,-$F2363)))</f>
        <v/>
      </c>
    </row>
    <row r="2364">
      <c r="A2364" s="73" t="n"/>
      <c r="B2364" s="74" t="n"/>
      <c r="C2364" s="74" t="n"/>
      <c r="D2364" s="75">
        <f>IF($C2364="","",IFERROR(INDEX(CAT_TIPO,MATCH($C2364,CAT_NOME,0)),"Sem categoria"))</f>
        <v/>
      </c>
      <c r="E2364" s="75">
        <f>IF($C2364="","",IFERROR(INDEX(CAT_GRUPO,MATCH($C2364,CAT_NOME,0)),"Sem categoria"))</f>
        <v/>
      </c>
      <c r="F2364" s="76" t="n"/>
      <c r="G2364" s="74" t="n"/>
      <c r="H2364" s="74" t="n"/>
      <c r="I2364" s="74" t="n"/>
      <c r="J2364" s="77" t="n"/>
      <c r="K2364" s="77" t="n"/>
      <c r="L2364" s="74" t="n"/>
      <c r="M2364" s="74" t="n"/>
      <c r="O2364" s="78">
        <f>IF($A2364="","",YEAR($A2364)*100+MONTH($A2364))</f>
        <v/>
      </c>
      <c r="P2364" s="79">
        <f>IF(OR($F2364="",$D2364=""),"",IF($D2364="Receita",$F2364,IF($D2364="Transferência",0,-$F2364)))</f>
        <v/>
      </c>
    </row>
    <row r="2365">
      <c r="A2365" s="73" t="n"/>
      <c r="B2365" s="74" t="n"/>
      <c r="C2365" s="74" t="n"/>
      <c r="D2365" s="75">
        <f>IF($C2365="","",IFERROR(INDEX(CAT_TIPO,MATCH($C2365,CAT_NOME,0)),"Sem categoria"))</f>
        <v/>
      </c>
      <c r="E2365" s="75">
        <f>IF($C2365="","",IFERROR(INDEX(CAT_GRUPO,MATCH($C2365,CAT_NOME,0)),"Sem categoria"))</f>
        <v/>
      </c>
      <c r="F2365" s="76" t="n"/>
      <c r="G2365" s="74" t="n"/>
      <c r="H2365" s="74" t="n"/>
      <c r="I2365" s="74" t="n"/>
      <c r="J2365" s="77" t="n"/>
      <c r="K2365" s="77" t="n"/>
      <c r="L2365" s="74" t="n"/>
      <c r="M2365" s="74" t="n"/>
      <c r="O2365" s="78">
        <f>IF($A2365="","",YEAR($A2365)*100+MONTH($A2365))</f>
        <v/>
      </c>
      <c r="P2365" s="79">
        <f>IF(OR($F2365="",$D2365=""),"",IF($D2365="Receita",$F2365,IF($D2365="Transferência",0,-$F2365)))</f>
        <v/>
      </c>
    </row>
    <row r="2366">
      <c r="A2366" s="73" t="n"/>
      <c r="B2366" s="74" t="n"/>
      <c r="C2366" s="74" t="n"/>
      <c r="D2366" s="75">
        <f>IF($C2366="","",IFERROR(INDEX(CAT_TIPO,MATCH($C2366,CAT_NOME,0)),"Sem categoria"))</f>
        <v/>
      </c>
      <c r="E2366" s="75">
        <f>IF($C2366="","",IFERROR(INDEX(CAT_GRUPO,MATCH($C2366,CAT_NOME,0)),"Sem categoria"))</f>
        <v/>
      </c>
      <c r="F2366" s="76" t="n"/>
      <c r="G2366" s="74" t="n"/>
      <c r="H2366" s="74" t="n"/>
      <c r="I2366" s="74" t="n"/>
      <c r="J2366" s="77" t="n"/>
      <c r="K2366" s="77" t="n"/>
      <c r="L2366" s="74" t="n"/>
      <c r="M2366" s="74" t="n"/>
      <c r="O2366" s="78">
        <f>IF($A2366="","",YEAR($A2366)*100+MONTH($A2366))</f>
        <v/>
      </c>
      <c r="P2366" s="79">
        <f>IF(OR($F2366="",$D2366=""),"",IF($D2366="Receita",$F2366,IF($D2366="Transferência",0,-$F2366)))</f>
        <v/>
      </c>
    </row>
    <row r="2367">
      <c r="A2367" s="73" t="n"/>
      <c r="B2367" s="74" t="n"/>
      <c r="C2367" s="74" t="n"/>
      <c r="D2367" s="75">
        <f>IF($C2367="","",IFERROR(INDEX(CAT_TIPO,MATCH($C2367,CAT_NOME,0)),"Sem categoria"))</f>
        <v/>
      </c>
      <c r="E2367" s="75">
        <f>IF($C2367="","",IFERROR(INDEX(CAT_GRUPO,MATCH($C2367,CAT_NOME,0)),"Sem categoria"))</f>
        <v/>
      </c>
      <c r="F2367" s="76" t="n"/>
      <c r="G2367" s="74" t="n"/>
      <c r="H2367" s="74" t="n"/>
      <c r="I2367" s="74" t="n"/>
      <c r="J2367" s="77" t="n"/>
      <c r="K2367" s="77" t="n"/>
      <c r="L2367" s="74" t="n"/>
      <c r="M2367" s="74" t="n"/>
      <c r="O2367" s="78">
        <f>IF($A2367="","",YEAR($A2367)*100+MONTH($A2367))</f>
        <v/>
      </c>
      <c r="P2367" s="79">
        <f>IF(OR($F2367="",$D2367=""),"",IF($D2367="Receita",$F2367,IF($D2367="Transferência",0,-$F2367)))</f>
        <v/>
      </c>
    </row>
    <row r="2368">
      <c r="A2368" s="73" t="n"/>
      <c r="B2368" s="74" t="n"/>
      <c r="C2368" s="74" t="n"/>
      <c r="D2368" s="75">
        <f>IF($C2368="","",IFERROR(INDEX(CAT_TIPO,MATCH($C2368,CAT_NOME,0)),"Sem categoria"))</f>
        <v/>
      </c>
      <c r="E2368" s="75">
        <f>IF($C2368="","",IFERROR(INDEX(CAT_GRUPO,MATCH($C2368,CAT_NOME,0)),"Sem categoria"))</f>
        <v/>
      </c>
      <c r="F2368" s="76" t="n"/>
      <c r="G2368" s="74" t="n"/>
      <c r="H2368" s="74" t="n"/>
      <c r="I2368" s="74" t="n"/>
      <c r="J2368" s="77" t="n"/>
      <c r="K2368" s="77" t="n"/>
      <c r="L2368" s="74" t="n"/>
      <c r="M2368" s="74" t="n"/>
      <c r="O2368" s="78">
        <f>IF($A2368="","",YEAR($A2368)*100+MONTH($A2368))</f>
        <v/>
      </c>
      <c r="P2368" s="79">
        <f>IF(OR($F2368="",$D2368=""),"",IF($D2368="Receita",$F2368,IF($D2368="Transferência",0,-$F2368)))</f>
        <v/>
      </c>
    </row>
    <row r="2369">
      <c r="A2369" s="73" t="n"/>
      <c r="B2369" s="74" t="n"/>
      <c r="C2369" s="74" t="n"/>
      <c r="D2369" s="75">
        <f>IF($C2369="","",IFERROR(INDEX(CAT_TIPO,MATCH($C2369,CAT_NOME,0)),"Sem categoria"))</f>
        <v/>
      </c>
      <c r="E2369" s="75">
        <f>IF($C2369="","",IFERROR(INDEX(CAT_GRUPO,MATCH($C2369,CAT_NOME,0)),"Sem categoria"))</f>
        <v/>
      </c>
      <c r="F2369" s="76" t="n"/>
      <c r="G2369" s="74" t="n"/>
      <c r="H2369" s="74" t="n"/>
      <c r="I2369" s="74" t="n"/>
      <c r="J2369" s="77" t="n"/>
      <c r="K2369" s="77" t="n"/>
      <c r="L2369" s="74" t="n"/>
      <c r="M2369" s="74" t="n"/>
      <c r="O2369" s="78">
        <f>IF($A2369="","",YEAR($A2369)*100+MONTH($A2369))</f>
        <v/>
      </c>
      <c r="P2369" s="79">
        <f>IF(OR($F2369="",$D2369=""),"",IF($D2369="Receita",$F2369,IF($D2369="Transferência",0,-$F2369)))</f>
        <v/>
      </c>
    </row>
    <row r="2370">
      <c r="A2370" s="73" t="n"/>
      <c r="B2370" s="74" t="n"/>
      <c r="C2370" s="74" t="n"/>
      <c r="D2370" s="75">
        <f>IF($C2370="","",IFERROR(INDEX(CAT_TIPO,MATCH($C2370,CAT_NOME,0)),"Sem categoria"))</f>
        <v/>
      </c>
      <c r="E2370" s="75">
        <f>IF($C2370="","",IFERROR(INDEX(CAT_GRUPO,MATCH($C2370,CAT_NOME,0)),"Sem categoria"))</f>
        <v/>
      </c>
      <c r="F2370" s="76" t="n"/>
      <c r="G2370" s="74" t="n"/>
      <c r="H2370" s="74" t="n"/>
      <c r="I2370" s="74" t="n"/>
      <c r="J2370" s="77" t="n"/>
      <c r="K2370" s="77" t="n"/>
      <c r="L2370" s="74" t="n"/>
      <c r="M2370" s="74" t="n"/>
      <c r="O2370" s="78">
        <f>IF($A2370="","",YEAR($A2370)*100+MONTH($A2370))</f>
        <v/>
      </c>
      <c r="P2370" s="79">
        <f>IF(OR($F2370="",$D2370=""),"",IF($D2370="Receita",$F2370,IF($D2370="Transferência",0,-$F2370)))</f>
        <v/>
      </c>
    </row>
    <row r="2371">
      <c r="A2371" s="73" t="n"/>
      <c r="B2371" s="74" t="n"/>
      <c r="C2371" s="74" t="n"/>
      <c r="D2371" s="75">
        <f>IF($C2371="","",IFERROR(INDEX(CAT_TIPO,MATCH($C2371,CAT_NOME,0)),"Sem categoria"))</f>
        <v/>
      </c>
      <c r="E2371" s="75">
        <f>IF($C2371="","",IFERROR(INDEX(CAT_GRUPO,MATCH($C2371,CAT_NOME,0)),"Sem categoria"))</f>
        <v/>
      </c>
      <c r="F2371" s="76" t="n"/>
      <c r="G2371" s="74" t="n"/>
      <c r="H2371" s="74" t="n"/>
      <c r="I2371" s="74" t="n"/>
      <c r="J2371" s="77" t="n"/>
      <c r="K2371" s="77" t="n"/>
      <c r="L2371" s="74" t="n"/>
      <c r="M2371" s="74" t="n"/>
      <c r="O2371" s="78">
        <f>IF($A2371="","",YEAR($A2371)*100+MONTH($A2371))</f>
        <v/>
      </c>
      <c r="P2371" s="79">
        <f>IF(OR($F2371="",$D2371=""),"",IF($D2371="Receita",$F2371,IF($D2371="Transferência",0,-$F2371)))</f>
        <v/>
      </c>
    </row>
    <row r="2372">
      <c r="A2372" s="73" t="n"/>
      <c r="B2372" s="74" t="n"/>
      <c r="C2372" s="74" t="n"/>
      <c r="D2372" s="75">
        <f>IF($C2372="","",IFERROR(INDEX(CAT_TIPO,MATCH($C2372,CAT_NOME,0)),"Sem categoria"))</f>
        <v/>
      </c>
      <c r="E2372" s="75">
        <f>IF($C2372="","",IFERROR(INDEX(CAT_GRUPO,MATCH($C2372,CAT_NOME,0)),"Sem categoria"))</f>
        <v/>
      </c>
      <c r="F2372" s="76" t="n"/>
      <c r="G2372" s="74" t="n"/>
      <c r="H2372" s="74" t="n"/>
      <c r="I2372" s="74" t="n"/>
      <c r="J2372" s="77" t="n"/>
      <c r="K2372" s="77" t="n"/>
      <c r="L2372" s="74" t="n"/>
      <c r="M2372" s="74" t="n"/>
      <c r="O2372" s="78">
        <f>IF($A2372="","",YEAR($A2372)*100+MONTH($A2372))</f>
        <v/>
      </c>
      <c r="P2372" s="79">
        <f>IF(OR($F2372="",$D2372=""),"",IF($D2372="Receita",$F2372,IF($D2372="Transferência",0,-$F2372)))</f>
        <v/>
      </c>
    </row>
    <row r="2373">
      <c r="A2373" s="73" t="n"/>
      <c r="B2373" s="74" t="n"/>
      <c r="C2373" s="74" t="n"/>
      <c r="D2373" s="75">
        <f>IF($C2373="","",IFERROR(INDEX(CAT_TIPO,MATCH($C2373,CAT_NOME,0)),"Sem categoria"))</f>
        <v/>
      </c>
      <c r="E2373" s="75">
        <f>IF($C2373="","",IFERROR(INDEX(CAT_GRUPO,MATCH($C2373,CAT_NOME,0)),"Sem categoria"))</f>
        <v/>
      </c>
      <c r="F2373" s="76" t="n"/>
      <c r="G2373" s="74" t="n"/>
      <c r="H2373" s="74" t="n"/>
      <c r="I2373" s="74" t="n"/>
      <c r="J2373" s="77" t="n"/>
      <c r="K2373" s="77" t="n"/>
      <c r="L2373" s="74" t="n"/>
      <c r="M2373" s="74" t="n"/>
      <c r="O2373" s="78">
        <f>IF($A2373="","",YEAR($A2373)*100+MONTH($A2373))</f>
        <v/>
      </c>
      <c r="P2373" s="79">
        <f>IF(OR($F2373="",$D2373=""),"",IF($D2373="Receita",$F2373,IF($D2373="Transferência",0,-$F2373)))</f>
        <v/>
      </c>
    </row>
    <row r="2374">
      <c r="A2374" s="73" t="n"/>
      <c r="B2374" s="74" t="n"/>
      <c r="C2374" s="74" t="n"/>
      <c r="D2374" s="75">
        <f>IF($C2374="","",IFERROR(INDEX(CAT_TIPO,MATCH($C2374,CAT_NOME,0)),"Sem categoria"))</f>
        <v/>
      </c>
      <c r="E2374" s="75">
        <f>IF($C2374="","",IFERROR(INDEX(CAT_GRUPO,MATCH($C2374,CAT_NOME,0)),"Sem categoria"))</f>
        <v/>
      </c>
      <c r="F2374" s="76" t="n"/>
      <c r="G2374" s="74" t="n"/>
      <c r="H2374" s="74" t="n"/>
      <c r="I2374" s="74" t="n"/>
      <c r="J2374" s="77" t="n"/>
      <c r="K2374" s="77" t="n"/>
      <c r="L2374" s="74" t="n"/>
      <c r="M2374" s="74" t="n"/>
      <c r="O2374" s="78">
        <f>IF($A2374="","",YEAR($A2374)*100+MONTH($A2374))</f>
        <v/>
      </c>
      <c r="P2374" s="79">
        <f>IF(OR($F2374="",$D2374=""),"",IF($D2374="Receita",$F2374,IF($D2374="Transferência",0,-$F2374)))</f>
        <v/>
      </c>
    </row>
    <row r="2375">
      <c r="A2375" s="73" t="n"/>
      <c r="B2375" s="74" t="n"/>
      <c r="C2375" s="74" t="n"/>
      <c r="D2375" s="75">
        <f>IF($C2375="","",IFERROR(INDEX(CAT_TIPO,MATCH($C2375,CAT_NOME,0)),"Sem categoria"))</f>
        <v/>
      </c>
      <c r="E2375" s="75">
        <f>IF($C2375="","",IFERROR(INDEX(CAT_GRUPO,MATCH($C2375,CAT_NOME,0)),"Sem categoria"))</f>
        <v/>
      </c>
      <c r="F2375" s="76" t="n"/>
      <c r="G2375" s="74" t="n"/>
      <c r="H2375" s="74" t="n"/>
      <c r="I2375" s="74" t="n"/>
      <c r="J2375" s="77" t="n"/>
      <c r="K2375" s="77" t="n"/>
      <c r="L2375" s="74" t="n"/>
      <c r="M2375" s="74" t="n"/>
      <c r="O2375" s="78">
        <f>IF($A2375="","",YEAR($A2375)*100+MONTH($A2375))</f>
        <v/>
      </c>
      <c r="P2375" s="79">
        <f>IF(OR($F2375="",$D2375=""),"",IF($D2375="Receita",$F2375,IF($D2375="Transferência",0,-$F2375)))</f>
        <v/>
      </c>
    </row>
    <row r="2376">
      <c r="A2376" s="73" t="n"/>
      <c r="B2376" s="74" t="n"/>
      <c r="C2376" s="74" t="n"/>
      <c r="D2376" s="75">
        <f>IF($C2376="","",IFERROR(INDEX(CAT_TIPO,MATCH($C2376,CAT_NOME,0)),"Sem categoria"))</f>
        <v/>
      </c>
      <c r="E2376" s="75">
        <f>IF($C2376="","",IFERROR(INDEX(CAT_GRUPO,MATCH($C2376,CAT_NOME,0)),"Sem categoria"))</f>
        <v/>
      </c>
      <c r="F2376" s="76" t="n"/>
      <c r="G2376" s="74" t="n"/>
      <c r="H2376" s="74" t="n"/>
      <c r="I2376" s="74" t="n"/>
      <c r="J2376" s="77" t="n"/>
      <c r="K2376" s="77" t="n"/>
      <c r="L2376" s="74" t="n"/>
      <c r="M2376" s="74" t="n"/>
      <c r="O2376" s="78">
        <f>IF($A2376="","",YEAR($A2376)*100+MONTH($A2376))</f>
        <v/>
      </c>
      <c r="P2376" s="79">
        <f>IF(OR($F2376="",$D2376=""),"",IF($D2376="Receita",$F2376,IF($D2376="Transferência",0,-$F2376)))</f>
        <v/>
      </c>
    </row>
    <row r="2377">
      <c r="A2377" s="73" t="n"/>
      <c r="B2377" s="74" t="n"/>
      <c r="C2377" s="74" t="n"/>
      <c r="D2377" s="75">
        <f>IF($C2377="","",IFERROR(INDEX(CAT_TIPO,MATCH($C2377,CAT_NOME,0)),"Sem categoria"))</f>
        <v/>
      </c>
      <c r="E2377" s="75">
        <f>IF($C2377="","",IFERROR(INDEX(CAT_GRUPO,MATCH($C2377,CAT_NOME,0)),"Sem categoria"))</f>
        <v/>
      </c>
      <c r="F2377" s="76" t="n"/>
      <c r="G2377" s="74" t="n"/>
      <c r="H2377" s="74" t="n"/>
      <c r="I2377" s="74" t="n"/>
      <c r="J2377" s="77" t="n"/>
      <c r="K2377" s="77" t="n"/>
      <c r="L2377" s="74" t="n"/>
      <c r="M2377" s="74" t="n"/>
      <c r="O2377" s="78">
        <f>IF($A2377="","",YEAR($A2377)*100+MONTH($A2377))</f>
        <v/>
      </c>
      <c r="P2377" s="79">
        <f>IF(OR($F2377="",$D2377=""),"",IF($D2377="Receita",$F2377,IF($D2377="Transferência",0,-$F2377)))</f>
        <v/>
      </c>
    </row>
    <row r="2378">
      <c r="A2378" s="73" t="n"/>
      <c r="B2378" s="74" t="n"/>
      <c r="C2378" s="74" t="n"/>
      <c r="D2378" s="75">
        <f>IF($C2378="","",IFERROR(INDEX(CAT_TIPO,MATCH($C2378,CAT_NOME,0)),"Sem categoria"))</f>
        <v/>
      </c>
      <c r="E2378" s="75">
        <f>IF($C2378="","",IFERROR(INDEX(CAT_GRUPO,MATCH($C2378,CAT_NOME,0)),"Sem categoria"))</f>
        <v/>
      </c>
      <c r="F2378" s="76" t="n"/>
      <c r="G2378" s="74" t="n"/>
      <c r="H2378" s="74" t="n"/>
      <c r="I2378" s="74" t="n"/>
      <c r="J2378" s="77" t="n"/>
      <c r="K2378" s="77" t="n"/>
      <c r="L2378" s="74" t="n"/>
      <c r="M2378" s="74" t="n"/>
      <c r="O2378" s="78">
        <f>IF($A2378="","",YEAR($A2378)*100+MONTH($A2378))</f>
        <v/>
      </c>
      <c r="P2378" s="79">
        <f>IF(OR($F2378="",$D2378=""),"",IF($D2378="Receita",$F2378,IF($D2378="Transferência",0,-$F2378)))</f>
        <v/>
      </c>
    </row>
    <row r="2379">
      <c r="A2379" s="73" t="n"/>
      <c r="B2379" s="74" t="n"/>
      <c r="C2379" s="74" t="n"/>
      <c r="D2379" s="75">
        <f>IF($C2379="","",IFERROR(INDEX(CAT_TIPO,MATCH($C2379,CAT_NOME,0)),"Sem categoria"))</f>
        <v/>
      </c>
      <c r="E2379" s="75">
        <f>IF($C2379="","",IFERROR(INDEX(CAT_GRUPO,MATCH($C2379,CAT_NOME,0)),"Sem categoria"))</f>
        <v/>
      </c>
      <c r="F2379" s="76" t="n"/>
      <c r="G2379" s="74" t="n"/>
      <c r="H2379" s="74" t="n"/>
      <c r="I2379" s="74" t="n"/>
      <c r="J2379" s="77" t="n"/>
      <c r="K2379" s="77" t="n"/>
      <c r="L2379" s="74" t="n"/>
      <c r="M2379" s="74" t="n"/>
      <c r="O2379" s="78">
        <f>IF($A2379="","",YEAR($A2379)*100+MONTH($A2379))</f>
        <v/>
      </c>
      <c r="P2379" s="79">
        <f>IF(OR($F2379="",$D2379=""),"",IF($D2379="Receita",$F2379,IF($D2379="Transferência",0,-$F2379)))</f>
        <v/>
      </c>
    </row>
    <row r="2380">
      <c r="A2380" s="73" t="n"/>
      <c r="B2380" s="74" t="n"/>
      <c r="C2380" s="74" t="n"/>
      <c r="D2380" s="75">
        <f>IF($C2380="","",IFERROR(INDEX(CAT_TIPO,MATCH($C2380,CAT_NOME,0)),"Sem categoria"))</f>
        <v/>
      </c>
      <c r="E2380" s="75">
        <f>IF($C2380="","",IFERROR(INDEX(CAT_GRUPO,MATCH($C2380,CAT_NOME,0)),"Sem categoria"))</f>
        <v/>
      </c>
      <c r="F2380" s="76" t="n"/>
      <c r="G2380" s="74" t="n"/>
      <c r="H2380" s="74" t="n"/>
      <c r="I2380" s="74" t="n"/>
      <c r="J2380" s="77" t="n"/>
      <c r="K2380" s="77" t="n"/>
      <c r="L2380" s="74" t="n"/>
      <c r="M2380" s="74" t="n"/>
      <c r="O2380" s="78">
        <f>IF($A2380="","",YEAR($A2380)*100+MONTH($A2380))</f>
        <v/>
      </c>
      <c r="P2380" s="79">
        <f>IF(OR($F2380="",$D2380=""),"",IF($D2380="Receita",$F2380,IF($D2380="Transferência",0,-$F2380)))</f>
        <v/>
      </c>
    </row>
    <row r="2381">
      <c r="A2381" s="73" t="n"/>
      <c r="B2381" s="74" t="n"/>
      <c r="C2381" s="74" t="n"/>
      <c r="D2381" s="75">
        <f>IF($C2381="","",IFERROR(INDEX(CAT_TIPO,MATCH($C2381,CAT_NOME,0)),"Sem categoria"))</f>
        <v/>
      </c>
      <c r="E2381" s="75">
        <f>IF($C2381="","",IFERROR(INDEX(CAT_GRUPO,MATCH($C2381,CAT_NOME,0)),"Sem categoria"))</f>
        <v/>
      </c>
      <c r="F2381" s="76" t="n"/>
      <c r="G2381" s="74" t="n"/>
      <c r="H2381" s="74" t="n"/>
      <c r="I2381" s="74" t="n"/>
      <c r="J2381" s="77" t="n"/>
      <c r="K2381" s="77" t="n"/>
      <c r="L2381" s="74" t="n"/>
      <c r="M2381" s="74" t="n"/>
      <c r="O2381" s="78">
        <f>IF($A2381="","",YEAR($A2381)*100+MONTH($A2381))</f>
        <v/>
      </c>
      <c r="P2381" s="79">
        <f>IF(OR($F2381="",$D2381=""),"",IF($D2381="Receita",$F2381,IF($D2381="Transferência",0,-$F2381)))</f>
        <v/>
      </c>
    </row>
    <row r="2382">
      <c r="A2382" s="73" t="n"/>
      <c r="B2382" s="74" t="n"/>
      <c r="C2382" s="74" t="n"/>
      <c r="D2382" s="75">
        <f>IF($C2382="","",IFERROR(INDEX(CAT_TIPO,MATCH($C2382,CAT_NOME,0)),"Sem categoria"))</f>
        <v/>
      </c>
      <c r="E2382" s="75">
        <f>IF($C2382="","",IFERROR(INDEX(CAT_GRUPO,MATCH($C2382,CAT_NOME,0)),"Sem categoria"))</f>
        <v/>
      </c>
      <c r="F2382" s="76" t="n"/>
      <c r="G2382" s="74" t="n"/>
      <c r="H2382" s="74" t="n"/>
      <c r="I2382" s="74" t="n"/>
      <c r="J2382" s="77" t="n"/>
      <c r="K2382" s="77" t="n"/>
      <c r="L2382" s="74" t="n"/>
      <c r="M2382" s="74" t="n"/>
      <c r="O2382" s="78">
        <f>IF($A2382="","",YEAR($A2382)*100+MONTH($A2382))</f>
        <v/>
      </c>
      <c r="P2382" s="79">
        <f>IF(OR($F2382="",$D2382=""),"",IF($D2382="Receita",$F2382,IF($D2382="Transferência",0,-$F2382)))</f>
        <v/>
      </c>
    </row>
    <row r="2383">
      <c r="A2383" s="73" t="n"/>
      <c r="B2383" s="74" t="n"/>
      <c r="C2383" s="74" t="n"/>
      <c r="D2383" s="75">
        <f>IF($C2383="","",IFERROR(INDEX(CAT_TIPO,MATCH($C2383,CAT_NOME,0)),"Sem categoria"))</f>
        <v/>
      </c>
      <c r="E2383" s="75">
        <f>IF($C2383="","",IFERROR(INDEX(CAT_GRUPO,MATCH($C2383,CAT_NOME,0)),"Sem categoria"))</f>
        <v/>
      </c>
      <c r="F2383" s="76" t="n"/>
      <c r="G2383" s="74" t="n"/>
      <c r="H2383" s="74" t="n"/>
      <c r="I2383" s="74" t="n"/>
      <c r="J2383" s="77" t="n"/>
      <c r="K2383" s="77" t="n"/>
      <c r="L2383" s="74" t="n"/>
      <c r="M2383" s="74" t="n"/>
      <c r="O2383" s="78">
        <f>IF($A2383="","",YEAR($A2383)*100+MONTH($A2383))</f>
        <v/>
      </c>
      <c r="P2383" s="79">
        <f>IF(OR($F2383="",$D2383=""),"",IF($D2383="Receita",$F2383,IF($D2383="Transferência",0,-$F2383)))</f>
        <v/>
      </c>
    </row>
    <row r="2384">
      <c r="A2384" s="73" t="n"/>
      <c r="B2384" s="74" t="n"/>
      <c r="C2384" s="74" t="n"/>
      <c r="D2384" s="75">
        <f>IF($C2384="","",IFERROR(INDEX(CAT_TIPO,MATCH($C2384,CAT_NOME,0)),"Sem categoria"))</f>
        <v/>
      </c>
      <c r="E2384" s="75">
        <f>IF($C2384="","",IFERROR(INDEX(CAT_GRUPO,MATCH($C2384,CAT_NOME,0)),"Sem categoria"))</f>
        <v/>
      </c>
      <c r="F2384" s="76" t="n"/>
      <c r="G2384" s="74" t="n"/>
      <c r="H2384" s="74" t="n"/>
      <c r="I2384" s="74" t="n"/>
      <c r="J2384" s="77" t="n"/>
      <c r="K2384" s="77" t="n"/>
      <c r="L2384" s="74" t="n"/>
      <c r="M2384" s="74" t="n"/>
      <c r="O2384" s="78">
        <f>IF($A2384="","",YEAR($A2384)*100+MONTH($A2384))</f>
        <v/>
      </c>
      <c r="P2384" s="79">
        <f>IF(OR($F2384="",$D2384=""),"",IF($D2384="Receita",$F2384,IF($D2384="Transferência",0,-$F2384)))</f>
        <v/>
      </c>
    </row>
    <row r="2385">
      <c r="A2385" s="73" t="n"/>
      <c r="B2385" s="74" t="n"/>
      <c r="C2385" s="74" t="n"/>
      <c r="D2385" s="75">
        <f>IF($C2385="","",IFERROR(INDEX(CAT_TIPO,MATCH($C2385,CAT_NOME,0)),"Sem categoria"))</f>
        <v/>
      </c>
      <c r="E2385" s="75">
        <f>IF($C2385="","",IFERROR(INDEX(CAT_GRUPO,MATCH($C2385,CAT_NOME,0)),"Sem categoria"))</f>
        <v/>
      </c>
      <c r="F2385" s="76" t="n"/>
      <c r="G2385" s="74" t="n"/>
      <c r="H2385" s="74" t="n"/>
      <c r="I2385" s="74" t="n"/>
      <c r="J2385" s="77" t="n"/>
      <c r="K2385" s="77" t="n"/>
      <c r="L2385" s="74" t="n"/>
      <c r="M2385" s="74" t="n"/>
      <c r="O2385" s="78">
        <f>IF($A2385="","",YEAR($A2385)*100+MONTH($A2385))</f>
        <v/>
      </c>
      <c r="P2385" s="79">
        <f>IF(OR($F2385="",$D2385=""),"",IF($D2385="Receita",$F2385,IF($D2385="Transferência",0,-$F2385)))</f>
        <v/>
      </c>
    </row>
    <row r="2386">
      <c r="A2386" s="73" t="n"/>
      <c r="B2386" s="74" t="n"/>
      <c r="C2386" s="74" t="n"/>
      <c r="D2386" s="75">
        <f>IF($C2386="","",IFERROR(INDEX(CAT_TIPO,MATCH($C2386,CAT_NOME,0)),"Sem categoria"))</f>
        <v/>
      </c>
      <c r="E2386" s="75">
        <f>IF($C2386="","",IFERROR(INDEX(CAT_GRUPO,MATCH($C2386,CAT_NOME,0)),"Sem categoria"))</f>
        <v/>
      </c>
      <c r="F2386" s="76" t="n"/>
      <c r="G2386" s="74" t="n"/>
      <c r="H2386" s="74" t="n"/>
      <c r="I2386" s="74" t="n"/>
      <c r="J2386" s="77" t="n"/>
      <c r="K2386" s="77" t="n"/>
      <c r="L2386" s="74" t="n"/>
      <c r="M2386" s="74" t="n"/>
      <c r="O2386" s="78">
        <f>IF($A2386="","",YEAR($A2386)*100+MONTH($A2386))</f>
        <v/>
      </c>
      <c r="P2386" s="79">
        <f>IF(OR($F2386="",$D2386=""),"",IF($D2386="Receita",$F2386,IF($D2386="Transferência",0,-$F2386)))</f>
        <v/>
      </c>
    </row>
    <row r="2387">
      <c r="A2387" s="73" t="n"/>
      <c r="B2387" s="74" t="n"/>
      <c r="C2387" s="74" t="n"/>
      <c r="D2387" s="75">
        <f>IF($C2387="","",IFERROR(INDEX(CAT_TIPO,MATCH($C2387,CAT_NOME,0)),"Sem categoria"))</f>
        <v/>
      </c>
      <c r="E2387" s="75">
        <f>IF($C2387="","",IFERROR(INDEX(CAT_GRUPO,MATCH($C2387,CAT_NOME,0)),"Sem categoria"))</f>
        <v/>
      </c>
      <c r="F2387" s="76" t="n"/>
      <c r="G2387" s="74" t="n"/>
      <c r="H2387" s="74" t="n"/>
      <c r="I2387" s="74" t="n"/>
      <c r="J2387" s="77" t="n"/>
      <c r="K2387" s="77" t="n"/>
      <c r="L2387" s="74" t="n"/>
      <c r="M2387" s="74" t="n"/>
      <c r="O2387" s="78">
        <f>IF($A2387="","",YEAR($A2387)*100+MONTH($A2387))</f>
        <v/>
      </c>
      <c r="P2387" s="79">
        <f>IF(OR($F2387="",$D2387=""),"",IF($D2387="Receita",$F2387,IF($D2387="Transferência",0,-$F2387)))</f>
        <v/>
      </c>
    </row>
    <row r="2388">
      <c r="A2388" s="73" t="n"/>
      <c r="B2388" s="74" t="n"/>
      <c r="C2388" s="74" t="n"/>
      <c r="D2388" s="75">
        <f>IF($C2388="","",IFERROR(INDEX(CAT_TIPO,MATCH($C2388,CAT_NOME,0)),"Sem categoria"))</f>
        <v/>
      </c>
      <c r="E2388" s="75">
        <f>IF($C2388="","",IFERROR(INDEX(CAT_GRUPO,MATCH($C2388,CAT_NOME,0)),"Sem categoria"))</f>
        <v/>
      </c>
      <c r="F2388" s="76" t="n"/>
      <c r="G2388" s="74" t="n"/>
      <c r="H2388" s="74" t="n"/>
      <c r="I2388" s="74" t="n"/>
      <c r="J2388" s="77" t="n"/>
      <c r="K2388" s="77" t="n"/>
      <c r="L2388" s="74" t="n"/>
      <c r="M2388" s="74" t="n"/>
      <c r="O2388" s="78">
        <f>IF($A2388="","",YEAR($A2388)*100+MONTH($A2388))</f>
        <v/>
      </c>
      <c r="P2388" s="79">
        <f>IF(OR($F2388="",$D2388=""),"",IF($D2388="Receita",$F2388,IF($D2388="Transferência",0,-$F2388)))</f>
        <v/>
      </c>
    </row>
    <row r="2389">
      <c r="A2389" s="73" t="n"/>
      <c r="B2389" s="74" t="n"/>
      <c r="C2389" s="74" t="n"/>
      <c r="D2389" s="75">
        <f>IF($C2389="","",IFERROR(INDEX(CAT_TIPO,MATCH($C2389,CAT_NOME,0)),"Sem categoria"))</f>
        <v/>
      </c>
      <c r="E2389" s="75">
        <f>IF($C2389="","",IFERROR(INDEX(CAT_GRUPO,MATCH($C2389,CAT_NOME,0)),"Sem categoria"))</f>
        <v/>
      </c>
      <c r="F2389" s="76" t="n"/>
      <c r="G2389" s="74" t="n"/>
      <c r="H2389" s="74" t="n"/>
      <c r="I2389" s="74" t="n"/>
      <c r="J2389" s="77" t="n"/>
      <c r="K2389" s="77" t="n"/>
      <c r="L2389" s="74" t="n"/>
      <c r="M2389" s="74" t="n"/>
      <c r="O2389" s="78">
        <f>IF($A2389="","",YEAR($A2389)*100+MONTH($A2389))</f>
        <v/>
      </c>
      <c r="P2389" s="79">
        <f>IF(OR($F2389="",$D2389=""),"",IF($D2389="Receita",$F2389,IF($D2389="Transferência",0,-$F2389)))</f>
        <v/>
      </c>
    </row>
    <row r="2390">
      <c r="A2390" s="73" t="n"/>
      <c r="B2390" s="74" t="n"/>
      <c r="C2390" s="74" t="n"/>
      <c r="D2390" s="75">
        <f>IF($C2390="","",IFERROR(INDEX(CAT_TIPO,MATCH($C2390,CAT_NOME,0)),"Sem categoria"))</f>
        <v/>
      </c>
      <c r="E2390" s="75">
        <f>IF($C2390="","",IFERROR(INDEX(CAT_GRUPO,MATCH($C2390,CAT_NOME,0)),"Sem categoria"))</f>
        <v/>
      </c>
      <c r="F2390" s="76" t="n"/>
      <c r="G2390" s="74" t="n"/>
      <c r="H2390" s="74" t="n"/>
      <c r="I2390" s="74" t="n"/>
      <c r="J2390" s="77" t="n"/>
      <c r="K2390" s="77" t="n"/>
      <c r="L2390" s="74" t="n"/>
      <c r="M2390" s="74" t="n"/>
      <c r="O2390" s="78">
        <f>IF($A2390="","",YEAR($A2390)*100+MONTH($A2390))</f>
        <v/>
      </c>
      <c r="P2390" s="79">
        <f>IF(OR($F2390="",$D2390=""),"",IF($D2390="Receita",$F2390,IF($D2390="Transferência",0,-$F2390)))</f>
        <v/>
      </c>
    </row>
    <row r="2391">
      <c r="A2391" s="73" t="n"/>
      <c r="B2391" s="74" t="n"/>
      <c r="C2391" s="74" t="n"/>
      <c r="D2391" s="75">
        <f>IF($C2391="","",IFERROR(INDEX(CAT_TIPO,MATCH($C2391,CAT_NOME,0)),"Sem categoria"))</f>
        <v/>
      </c>
      <c r="E2391" s="75">
        <f>IF($C2391="","",IFERROR(INDEX(CAT_GRUPO,MATCH($C2391,CAT_NOME,0)),"Sem categoria"))</f>
        <v/>
      </c>
      <c r="F2391" s="76" t="n"/>
      <c r="G2391" s="74" t="n"/>
      <c r="H2391" s="74" t="n"/>
      <c r="I2391" s="74" t="n"/>
      <c r="J2391" s="77" t="n"/>
      <c r="K2391" s="77" t="n"/>
      <c r="L2391" s="74" t="n"/>
      <c r="M2391" s="74" t="n"/>
      <c r="O2391" s="78">
        <f>IF($A2391="","",YEAR($A2391)*100+MONTH($A2391))</f>
        <v/>
      </c>
      <c r="P2391" s="79">
        <f>IF(OR($F2391="",$D2391=""),"",IF($D2391="Receita",$F2391,IF($D2391="Transferência",0,-$F2391)))</f>
        <v/>
      </c>
    </row>
    <row r="2392">
      <c r="A2392" s="73" t="n"/>
      <c r="B2392" s="74" t="n"/>
      <c r="C2392" s="74" t="n"/>
      <c r="D2392" s="75">
        <f>IF($C2392="","",IFERROR(INDEX(CAT_TIPO,MATCH($C2392,CAT_NOME,0)),"Sem categoria"))</f>
        <v/>
      </c>
      <c r="E2392" s="75">
        <f>IF($C2392="","",IFERROR(INDEX(CAT_GRUPO,MATCH($C2392,CAT_NOME,0)),"Sem categoria"))</f>
        <v/>
      </c>
      <c r="F2392" s="76" t="n"/>
      <c r="G2392" s="74" t="n"/>
      <c r="H2392" s="74" t="n"/>
      <c r="I2392" s="74" t="n"/>
      <c r="J2392" s="77" t="n"/>
      <c r="K2392" s="77" t="n"/>
      <c r="L2392" s="74" t="n"/>
      <c r="M2392" s="74" t="n"/>
      <c r="O2392" s="78">
        <f>IF($A2392="","",YEAR($A2392)*100+MONTH($A2392))</f>
        <v/>
      </c>
      <c r="P2392" s="79">
        <f>IF(OR($F2392="",$D2392=""),"",IF($D2392="Receita",$F2392,IF($D2392="Transferência",0,-$F2392)))</f>
        <v/>
      </c>
    </row>
    <row r="2393">
      <c r="A2393" s="73" t="n"/>
      <c r="B2393" s="74" t="n"/>
      <c r="C2393" s="74" t="n"/>
      <c r="D2393" s="75">
        <f>IF($C2393="","",IFERROR(INDEX(CAT_TIPO,MATCH($C2393,CAT_NOME,0)),"Sem categoria"))</f>
        <v/>
      </c>
      <c r="E2393" s="75">
        <f>IF($C2393="","",IFERROR(INDEX(CAT_GRUPO,MATCH($C2393,CAT_NOME,0)),"Sem categoria"))</f>
        <v/>
      </c>
      <c r="F2393" s="76" t="n"/>
      <c r="G2393" s="74" t="n"/>
      <c r="H2393" s="74" t="n"/>
      <c r="I2393" s="74" t="n"/>
      <c r="J2393" s="77" t="n"/>
      <c r="K2393" s="77" t="n"/>
      <c r="L2393" s="74" t="n"/>
      <c r="M2393" s="74" t="n"/>
      <c r="O2393" s="78">
        <f>IF($A2393="","",YEAR($A2393)*100+MONTH($A2393))</f>
        <v/>
      </c>
      <c r="P2393" s="79">
        <f>IF(OR($F2393="",$D2393=""),"",IF($D2393="Receita",$F2393,IF($D2393="Transferência",0,-$F2393)))</f>
        <v/>
      </c>
    </row>
    <row r="2394">
      <c r="A2394" s="73" t="n"/>
      <c r="B2394" s="74" t="n"/>
      <c r="C2394" s="74" t="n"/>
      <c r="D2394" s="75">
        <f>IF($C2394="","",IFERROR(INDEX(CAT_TIPO,MATCH($C2394,CAT_NOME,0)),"Sem categoria"))</f>
        <v/>
      </c>
      <c r="E2394" s="75">
        <f>IF($C2394="","",IFERROR(INDEX(CAT_GRUPO,MATCH($C2394,CAT_NOME,0)),"Sem categoria"))</f>
        <v/>
      </c>
      <c r="F2394" s="76" t="n"/>
      <c r="G2394" s="74" t="n"/>
      <c r="H2394" s="74" t="n"/>
      <c r="I2394" s="74" t="n"/>
      <c r="J2394" s="77" t="n"/>
      <c r="K2394" s="77" t="n"/>
      <c r="L2394" s="74" t="n"/>
      <c r="M2394" s="74" t="n"/>
      <c r="O2394" s="78">
        <f>IF($A2394="","",YEAR($A2394)*100+MONTH($A2394))</f>
        <v/>
      </c>
      <c r="P2394" s="79">
        <f>IF(OR($F2394="",$D2394=""),"",IF($D2394="Receita",$F2394,IF($D2394="Transferência",0,-$F2394)))</f>
        <v/>
      </c>
    </row>
    <row r="2395">
      <c r="A2395" s="73" t="n"/>
      <c r="B2395" s="74" t="n"/>
      <c r="C2395" s="74" t="n"/>
      <c r="D2395" s="75">
        <f>IF($C2395="","",IFERROR(INDEX(CAT_TIPO,MATCH($C2395,CAT_NOME,0)),"Sem categoria"))</f>
        <v/>
      </c>
      <c r="E2395" s="75">
        <f>IF($C2395="","",IFERROR(INDEX(CAT_GRUPO,MATCH($C2395,CAT_NOME,0)),"Sem categoria"))</f>
        <v/>
      </c>
      <c r="F2395" s="76" t="n"/>
      <c r="G2395" s="74" t="n"/>
      <c r="H2395" s="74" t="n"/>
      <c r="I2395" s="74" t="n"/>
      <c r="J2395" s="77" t="n"/>
      <c r="K2395" s="77" t="n"/>
      <c r="L2395" s="74" t="n"/>
      <c r="M2395" s="74" t="n"/>
      <c r="O2395" s="78">
        <f>IF($A2395="","",YEAR($A2395)*100+MONTH($A2395))</f>
        <v/>
      </c>
      <c r="P2395" s="79">
        <f>IF(OR($F2395="",$D2395=""),"",IF($D2395="Receita",$F2395,IF($D2395="Transferência",0,-$F2395)))</f>
        <v/>
      </c>
    </row>
    <row r="2396">
      <c r="A2396" s="73" t="n"/>
      <c r="B2396" s="74" t="n"/>
      <c r="C2396" s="74" t="n"/>
      <c r="D2396" s="75">
        <f>IF($C2396="","",IFERROR(INDEX(CAT_TIPO,MATCH($C2396,CAT_NOME,0)),"Sem categoria"))</f>
        <v/>
      </c>
      <c r="E2396" s="75">
        <f>IF($C2396="","",IFERROR(INDEX(CAT_GRUPO,MATCH($C2396,CAT_NOME,0)),"Sem categoria"))</f>
        <v/>
      </c>
      <c r="F2396" s="76" t="n"/>
      <c r="G2396" s="74" t="n"/>
      <c r="H2396" s="74" t="n"/>
      <c r="I2396" s="74" t="n"/>
      <c r="J2396" s="77" t="n"/>
      <c r="K2396" s="77" t="n"/>
      <c r="L2396" s="74" t="n"/>
      <c r="M2396" s="74" t="n"/>
      <c r="O2396" s="78">
        <f>IF($A2396="","",YEAR($A2396)*100+MONTH($A2396))</f>
        <v/>
      </c>
      <c r="P2396" s="79">
        <f>IF(OR($F2396="",$D2396=""),"",IF($D2396="Receita",$F2396,IF($D2396="Transferência",0,-$F2396)))</f>
        <v/>
      </c>
    </row>
    <row r="2397">
      <c r="A2397" s="73" t="n"/>
      <c r="B2397" s="74" t="n"/>
      <c r="C2397" s="74" t="n"/>
      <c r="D2397" s="75">
        <f>IF($C2397="","",IFERROR(INDEX(CAT_TIPO,MATCH($C2397,CAT_NOME,0)),"Sem categoria"))</f>
        <v/>
      </c>
      <c r="E2397" s="75">
        <f>IF($C2397="","",IFERROR(INDEX(CAT_GRUPO,MATCH($C2397,CAT_NOME,0)),"Sem categoria"))</f>
        <v/>
      </c>
      <c r="F2397" s="76" t="n"/>
      <c r="G2397" s="74" t="n"/>
      <c r="H2397" s="74" t="n"/>
      <c r="I2397" s="74" t="n"/>
      <c r="J2397" s="77" t="n"/>
      <c r="K2397" s="77" t="n"/>
      <c r="L2397" s="74" t="n"/>
      <c r="M2397" s="74" t="n"/>
      <c r="O2397" s="78">
        <f>IF($A2397="","",YEAR($A2397)*100+MONTH($A2397))</f>
        <v/>
      </c>
      <c r="P2397" s="79">
        <f>IF(OR($F2397="",$D2397=""),"",IF($D2397="Receita",$F2397,IF($D2397="Transferência",0,-$F2397)))</f>
        <v/>
      </c>
    </row>
    <row r="2398">
      <c r="A2398" s="73" t="n"/>
      <c r="B2398" s="74" t="n"/>
      <c r="C2398" s="74" t="n"/>
      <c r="D2398" s="75">
        <f>IF($C2398="","",IFERROR(INDEX(CAT_TIPO,MATCH($C2398,CAT_NOME,0)),"Sem categoria"))</f>
        <v/>
      </c>
      <c r="E2398" s="75">
        <f>IF($C2398="","",IFERROR(INDEX(CAT_GRUPO,MATCH($C2398,CAT_NOME,0)),"Sem categoria"))</f>
        <v/>
      </c>
      <c r="F2398" s="76" t="n"/>
      <c r="G2398" s="74" t="n"/>
      <c r="H2398" s="74" t="n"/>
      <c r="I2398" s="74" t="n"/>
      <c r="J2398" s="77" t="n"/>
      <c r="K2398" s="77" t="n"/>
      <c r="L2398" s="74" t="n"/>
      <c r="M2398" s="74" t="n"/>
      <c r="O2398" s="78">
        <f>IF($A2398="","",YEAR($A2398)*100+MONTH($A2398))</f>
        <v/>
      </c>
      <c r="P2398" s="79">
        <f>IF(OR($F2398="",$D2398=""),"",IF($D2398="Receita",$F2398,IF($D2398="Transferência",0,-$F2398)))</f>
        <v/>
      </c>
    </row>
    <row r="2399">
      <c r="A2399" s="73" t="n"/>
      <c r="B2399" s="74" t="n"/>
      <c r="C2399" s="74" t="n"/>
      <c r="D2399" s="75">
        <f>IF($C2399="","",IFERROR(INDEX(CAT_TIPO,MATCH($C2399,CAT_NOME,0)),"Sem categoria"))</f>
        <v/>
      </c>
      <c r="E2399" s="75">
        <f>IF($C2399="","",IFERROR(INDEX(CAT_GRUPO,MATCH($C2399,CAT_NOME,0)),"Sem categoria"))</f>
        <v/>
      </c>
      <c r="F2399" s="76" t="n"/>
      <c r="G2399" s="74" t="n"/>
      <c r="H2399" s="74" t="n"/>
      <c r="I2399" s="74" t="n"/>
      <c r="J2399" s="77" t="n"/>
      <c r="K2399" s="77" t="n"/>
      <c r="L2399" s="74" t="n"/>
      <c r="M2399" s="74" t="n"/>
      <c r="O2399" s="78">
        <f>IF($A2399="","",YEAR($A2399)*100+MONTH($A2399))</f>
        <v/>
      </c>
      <c r="P2399" s="79">
        <f>IF(OR($F2399="",$D2399=""),"",IF($D2399="Receita",$F2399,IF($D2399="Transferência",0,-$F2399)))</f>
        <v/>
      </c>
    </row>
    <row r="2400">
      <c r="A2400" s="73" t="n"/>
      <c r="B2400" s="74" t="n"/>
      <c r="C2400" s="74" t="n"/>
      <c r="D2400" s="75">
        <f>IF($C2400="","",IFERROR(INDEX(CAT_TIPO,MATCH($C2400,CAT_NOME,0)),"Sem categoria"))</f>
        <v/>
      </c>
      <c r="E2400" s="75">
        <f>IF($C2400="","",IFERROR(INDEX(CAT_GRUPO,MATCH($C2400,CAT_NOME,0)),"Sem categoria"))</f>
        <v/>
      </c>
      <c r="F2400" s="76" t="n"/>
      <c r="G2400" s="74" t="n"/>
      <c r="H2400" s="74" t="n"/>
      <c r="I2400" s="74" t="n"/>
      <c r="J2400" s="77" t="n"/>
      <c r="K2400" s="77" t="n"/>
      <c r="L2400" s="74" t="n"/>
      <c r="M2400" s="74" t="n"/>
      <c r="O2400" s="78">
        <f>IF($A2400="","",YEAR($A2400)*100+MONTH($A2400))</f>
        <v/>
      </c>
      <c r="P2400" s="79">
        <f>IF(OR($F2400="",$D2400=""),"",IF($D2400="Receita",$F2400,IF($D2400="Transferência",0,-$F2400)))</f>
        <v/>
      </c>
    </row>
    <row r="2401">
      <c r="A2401" s="73" t="n"/>
      <c r="B2401" s="74" t="n"/>
      <c r="C2401" s="74" t="n"/>
      <c r="D2401" s="75">
        <f>IF($C2401="","",IFERROR(INDEX(CAT_TIPO,MATCH($C2401,CAT_NOME,0)),"Sem categoria"))</f>
        <v/>
      </c>
      <c r="E2401" s="75">
        <f>IF($C2401="","",IFERROR(INDEX(CAT_GRUPO,MATCH($C2401,CAT_NOME,0)),"Sem categoria"))</f>
        <v/>
      </c>
      <c r="F2401" s="76" t="n"/>
      <c r="G2401" s="74" t="n"/>
      <c r="H2401" s="74" t="n"/>
      <c r="I2401" s="74" t="n"/>
      <c r="J2401" s="77" t="n"/>
      <c r="K2401" s="77" t="n"/>
      <c r="L2401" s="74" t="n"/>
      <c r="M2401" s="74" t="n"/>
      <c r="O2401" s="78">
        <f>IF($A2401="","",YEAR($A2401)*100+MONTH($A2401))</f>
        <v/>
      </c>
      <c r="P2401" s="79">
        <f>IF(OR($F2401="",$D2401=""),"",IF($D2401="Receita",$F2401,IF($D2401="Transferência",0,-$F2401)))</f>
        <v/>
      </c>
    </row>
    <row r="2402">
      <c r="A2402" s="73" t="n"/>
      <c r="B2402" s="74" t="n"/>
      <c r="C2402" s="74" t="n"/>
      <c r="D2402" s="75">
        <f>IF($C2402="","",IFERROR(INDEX(CAT_TIPO,MATCH($C2402,CAT_NOME,0)),"Sem categoria"))</f>
        <v/>
      </c>
      <c r="E2402" s="75">
        <f>IF($C2402="","",IFERROR(INDEX(CAT_GRUPO,MATCH($C2402,CAT_NOME,0)),"Sem categoria"))</f>
        <v/>
      </c>
      <c r="F2402" s="76" t="n"/>
      <c r="G2402" s="74" t="n"/>
      <c r="H2402" s="74" t="n"/>
      <c r="I2402" s="74" t="n"/>
      <c r="J2402" s="77" t="n"/>
      <c r="K2402" s="77" t="n"/>
      <c r="L2402" s="74" t="n"/>
      <c r="M2402" s="74" t="n"/>
      <c r="O2402" s="78">
        <f>IF($A2402="","",YEAR($A2402)*100+MONTH($A2402))</f>
        <v/>
      </c>
      <c r="P2402" s="79">
        <f>IF(OR($F2402="",$D2402=""),"",IF($D2402="Receita",$F2402,IF($D2402="Transferência",0,-$F2402)))</f>
        <v/>
      </c>
    </row>
    <row r="2403">
      <c r="A2403" s="73" t="n"/>
      <c r="B2403" s="74" t="n"/>
      <c r="C2403" s="74" t="n"/>
      <c r="D2403" s="75">
        <f>IF($C2403="","",IFERROR(INDEX(CAT_TIPO,MATCH($C2403,CAT_NOME,0)),"Sem categoria"))</f>
        <v/>
      </c>
      <c r="E2403" s="75">
        <f>IF($C2403="","",IFERROR(INDEX(CAT_GRUPO,MATCH($C2403,CAT_NOME,0)),"Sem categoria"))</f>
        <v/>
      </c>
      <c r="F2403" s="76" t="n"/>
      <c r="G2403" s="74" t="n"/>
      <c r="H2403" s="74" t="n"/>
      <c r="I2403" s="74" t="n"/>
      <c r="J2403" s="77" t="n"/>
      <c r="K2403" s="77" t="n"/>
      <c r="L2403" s="74" t="n"/>
      <c r="M2403" s="74" t="n"/>
      <c r="O2403" s="78">
        <f>IF($A2403="","",YEAR($A2403)*100+MONTH($A2403))</f>
        <v/>
      </c>
      <c r="P2403" s="79">
        <f>IF(OR($F2403="",$D2403=""),"",IF($D2403="Receita",$F2403,IF($D2403="Transferência",0,-$F2403)))</f>
        <v/>
      </c>
    </row>
    <row r="2404">
      <c r="A2404" s="73" t="n"/>
      <c r="B2404" s="74" t="n"/>
      <c r="C2404" s="74" t="n"/>
      <c r="D2404" s="75">
        <f>IF($C2404="","",IFERROR(INDEX(CAT_TIPO,MATCH($C2404,CAT_NOME,0)),"Sem categoria"))</f>
        <v/>
      </c>
      <c r="E2404" s="75">
        <f>IF($C2404="","",IFERROR(INDEX(CAT_GRUPO,MATCH($C2404,CAT_NOME,0)),"Sem categoria"))</f>
        <v/>
      </c>
      <c r="F2404" s="76" t="n"/>
      <c r="G2404" s="74" t="n"/>
      <c r="H2404" s="74" t="n"/>
      <c r="I2404" s="74" t="n"/>
      <c r="J2404" s="77" t="n"/>
      <c r="K2404" s="77" t="n"/>
      <c r="L2404" s="74" t="n"/>
      <c r="M2404" s="74" t="n"/>
      <c r="O2404" s="78">
        <f>IF($A2404="","",YEAR($A2404)*100+MONTH($A2404))</f>
        <v/>
      </c>
      <c r="P2404" s="79">
        <f>IF(OR($F2404="",$D2404=""),"",IF($D2404="Receita",$F2404,IF($D2404="Transferência",0,-$F2404)))</f>
        <v/>
      </c>
    </row>
    <row r="2405">
      <c r="A2405" s="73" t="n"/>
      <c r="B2405" s="74" t="n"/>
      <c r="C2405" s="74" t="n"/>
      <c r="D2405" s="75">
        <f>IF($C2405="","",IFERROR(INDEX(CAT_TIPO,MATCH($C2405,CAT_NOME,0)),"Sem categoria"))</f>
        <v/>
      </c>
      <c r="E2405" s="75">
        <f>IF($C2405="","",IFERROR(INDEX(CAT_GRUPO,MATCH($C2405,CAT_NOME,0)),"Sem categoria"))</f>
        <v/>
      </c>
      <c r="F2405" s="76" t="n"/>
      <c r="G2405" s="74" t="n"/>
      <c r="H2405" s="74" t="n"/>
      <c r="I2405" s="74" t="n"/>
      <c r="J2405" s="77" t="n"/>
      <c r="K2405" s="77" t="n"/>
      <c r="L2405" s="74" t="n"/>
      <c r="M2405" s="74" t="n"/>
      <c r="O2405" s="78">
        <f>IF($A2405="","",YEAR($A2405)*100+MONTH($A2405))</f>
        <v/>
      </c>
      <c r="P2405" s="79">
        <f>IF(OR($F2405="",$D2405=""),"",IF($D2405="Receita",$F2405,IF($D2405="Transferência",0,-$F2405)))</f>
        <v/>
      </c>
    </row>
    <row r="2406">
      <c r="A2406" s="73" t="n"/>
      <c r="B2406" s="74" t="n"/>
      <c r="C2406" s="74" t="n"/>
      <c r="D2406" s="75">
        <f>IF($C2406="","",IFERROR(INDEX(CAT_TIPO,MATCH($C2406,CAT_NOME,0)),"Sem categoria"))</f>
        <v/>
      </c>
      <c r="E2406" s="75">
        <f>IF($C2406="","",IFERROR(INDEX(CAT_GRUPO,MATCH($C2406,CAT_NOME,0)),"Sem categoria"))</f>
        <v/>
      </c>
      <c r="F2406" s="76" t="n"/>
      <c r="G2406" s="74" t="n"/>
      <c r="H2406" s="74" t="n"/>
      <c r="I2406" s="74" t="n"/>
      <c r="J2406" s="77" t="n"/>
      <c r="K2406" s="77" t="n"/>
      <c r="L2406" s="74" t="n"/>
      <c r="M2406" s="74" t="n"/>
      <c r="O2406" s="78">
        <f>IF($A2406="","",YEAR($A2406)*100+MONTH($A2406))</f>
        <v/>
      </c>
      <c r="P2406" s="79">
        <f>IF(OR($F2406="",$D2406=""),"",IF($D2406="Receita",$F2406,IF($D2406="Transferência",0,-$F2406)))</f>
        <v/>
      </c>
    </row>
    <row r="2407">
      <c r="A2407" s="73" t="n"/>
      <c r="B2407" s="74" t="n"/>
      <c r="C2407" s="74" t="n"/>
      <c r="D2407" s="75">
        <f>IF($C2407="","",IFERROR(INDEX(CAT_TIPO,MATCH($C2407,CAT_NOME,0)),"Sem categoria"))</f>
        <v/>
      </c>
      <c r="E2407" s="75">
        <f>IF($C2407="","",IFERROR(INDEX(CAT_GRUPO,MATCH($C2407,CAT_NOME,0)),"Sem categoria"))</f>
        <v/>
      </c>
      <c r="F2407" s="76" t="n"/>
      <c r="G2407" s="74" t="n"/>
      <c r="H2407" s="74" t="n"/>
      <c r="I2407" s="74" t="n"/>
      <c r="J2407" s="77" t="n"/>
      <c r="K2407" s="77" t="n"/>
      <c r="L2407" s="74" t="n"/>
      <c r="M2407" s="74" t="n"/>
      <c r="O2407" s="78">
        <f>IF($A2407="","",YEAR($A2407)*100+MONTH($A2407))</f>
        <v/>
      </c>
      <c r="P2407" s="79">
        <f>IF(OR($F2407="",$D2407=""),"",IF($D2407="Receita",$F2407,IF($D2407="Transferência",0,-$F2407)))</f>
        <v/>
      </c>
    </row>
    <row r="2408">
      <c r="A2408" s="73" t="n"/>
      <c r="B2408" s="74" t="n"/>
      <c r="C2408" s="74" t="n"/>
      <c r="D2408" s="75">
        <f>IF($C2408="","",IFERROR(INDEX(CAT_TIPO,MATCH($C2408,CAT_NOME,0)),"Sem categoria"))</f>
        <v/>
      </c>
      <c r="E2408" s="75">
        <f>IF($C2408="","",IFERROR(INDEX(CAT_GRUPO,MATCH($C2408,CAT_NOME,0)),"Sem categoria"))</f>
        <v/>
      </c>
      <c r="F2408" s="76" t="n"/>
      <c r="G2408" s="74" t="n"/>
      <c r="H2408" s="74" t="n"/>
      <c r="I2408" s="74" t="n"/>
      <c r="J2408" s="77" t="n"/>
      <c r="K2408" s="77" t="n"/>
      <c r="L2408" s="74" t="n"/>
      <c r="M2408" s="74" t="n"/>
      <c r="O2408" s="78">
        <f>IF($A2408="","",YEAR($A2408)*100+MONTH($A2408))</f>
        <v/>
      </c>
      <c r="P2408" s="79">
        <f>IF(OR($F2408="",$D2408=""),"",IF($D2408="Receita",$F2408,IF($D2408="Transferência",0,-$F2408)))</f>
        <v/>
      </c>
    </row>
    <row r="2409">
      <c r="A2409" s="73" t="n"/>
      <c r="B2409" s="74" t="n"/>
      <c r="C2409" s="74" t="n"/>
      <c r="D2409" s="75">
        <f>IF($C2409="","",IFERROR(INDEX(CAT_TIPO,MATCH($C2409,CAT_NOME,0)),"Sem categoria"))</f>
        <v/>
      </c>
      <c r="E2409" s="75">
        <f>IF($C2409="","",IFERROR(INDEX(CAT_GRUPO,MATCH($C2409,CAT_NOME,0)),"Sem categoria"))</f>
        <v/>
      </c>
      <c r="F2409" s="76" t="n"/>
      <c r="G2409" s="74" t="n"/>
      <c r="H2409" s="74" t="n"/>
      <c r="I2409" s="74" t="n"/>
      <c r="J2409" s="77" t="n"/>
      <c r="K2409" s="77" t="n"/>
      <c r="L2409" s="74" t="n"/>
      <c r="M2409" s="74" t="n"/>
      <c r="O2409" s="78">
        <f>IF($A2409="","",YEAR($A2409)*100+MONTH($A2409))</f>
        <v/>
      </c>
      <c r="P2409" s="79">
        <f>IF(OR($F2409="",$D2409=""),"",IF($D2409="Receita",$F2409,IF($D2409="Transferência",0,-$F2409)))</f>
        <v/>
      </c>
    </row>
    <row r="2410">
      <c r="A2410" s="73" t="n"/>
      <c r="B2410" s="74" t="n"/>
      <c r="C2410" s="74" t="n"/>
      <c r="D2410" s="75">
        <f>IF($C2410="","",IFERROR(INDEX(CAT_TIPO,MATCH($C2410,CAT_NOME,0)),"Sem categoria"))</f>
        <v/>
      </c>
      <c r="E2410" s="75">
        <f>IF($C2410="","",IFERROR(INDEX(CAT_GRUPO,MATCH($C2410,CAT_NOME,0)),"Sem categoria"))</f>
        <v/>
      </c>
      <c r="F2410" s="76" t="n"/>
      <c r="G2410" s="74" t="n"/>
      <c r="H2410" s="74" t="n"/>
      <c r="I2410" s="74" t="n"/>
      <c r="J2410" s="77" t="n"/>
      <c r="K2410" s="77" t="n"/>
      <c r="L2410" s="74" t="n"/>
      <c r="M2410" s="74" t="n"/>
      <c r="O2410" s="78">
        <f>IF($A2410="","",YEAR($A2410)*100+MONTH($A2410))</f>
        <v/>
      </c>
      <c r="P2410" s="79">
        <f>IF(OR($F2410="",$D2410=""),"",IF($D2410="Receita",$F2410,IF($D2410="Transferência",0,-$F2410)))</f>
        <v/>
      </c>
    </row>
    <row r="2411">
      <c r="A2411" s="73" t="n"/>
      <c r="B2411" s="74" t="n"/>
      <c r="C2411" s="74" t="n"/>
      <c r="D2411" s="75">
        <f>IF($C2411="","",IFERROR(INDEX(CAT_TIPO,MATCH($C2411,CAT_NOME,0)),"Sem categoria"))</f>
        <v/>
      </c>
      <c r="E2411" s="75">
        <f>IF($C2411="","",IFERROR(INDEX(CAT_GRUPO,MATCH($C2411,CAT_NOME,0)),"Sem categoria"))</f>
        <v/>
      </c>
      <c r="F2411" s="76" t="n"/>
      <c r="G2411" s="74" t="n"/>
      <c r="H2411" s="74" t="n"/>
      <c r="I2411" s="74" t="n"/>
      <c r="J2411" s="77" t="n"/>
      <c r="K2411" s="77" t="n"/>
      <c r="L2411" s="74" t="n"/>
      <c r="M2411" s="74" t="n"/>
      <c r="O2411" s="78">
        <f>IF($A2411="","",YEAR($A2411)*100+MONTH($A2411))</f>
        <v/>
      </c>
      <c r="P2411" s="79">
        <f>IF(OR($F2411="",$D2411=""),"",IF($D2411="Receita",$F2411,IF($D2411="Transferência",0,-$F2411)))</f>
        <v/>
      </c>
    </row>
    <row r="2412">
      <c r="A2412" s="73" t="n"/>
      <c r="B2412" s="74" t="n"/>
      <c r="C2412" s="74" t="n"/>
      <c r="D2412" s="75">
        <f>IF($C2412="","",IFERROR(INDEX(CAT_TIPO,MATCH($C2412,CAT_NOME,0)),"Sem categoria"))</f>
        <v/>
      </c>
      <c r="E2412" s="75">
        <f>IF($C2412="","",IFERROR(INDEX(CAT_GRUPO,MATCH($C2412,CAT_NOME,0)),"Sem categoria"))</f>
        <v/>
      </c>
      <c r="F2412" s="76" t="n"/>
      <c r="G2412" s="74" t="n"/>
      <c r="H2412" s="74" t="n"/>
      <c r="I2412" s="74" t="n"/>
      <c r="J2412" s="77" t="n"/>
      <c r="K2412" s="77" t="n"/>
      <c r="L2412" s="74" t="n"/>
      <c r="M2412" s="74" t="n"/>
      <c r="O2412" s="78">
        <f>IF($A2412="","",YEAR($A2412)*100+MONTH($A2412))</f>
        <v/>
      </c>
      <c r="P2412" s="79">
        <f>IF(OR($F2412="",$D2412=""),"",IF($D2412="Receita",$F2412,IF($D2412="Transferência",0,-$F2412)))</f>
        <v/>
      </c>
    </row>
    <row r="2413">
      <c r="A2413" s="73" t="n"/>
      <c r="B2413" s="74" t="n"/>
      <c r="C2413" s="74" t="n"/>
      <c r="D2413" s="75">
        <f>IF($C2413="","",IFERROR(INDEX(CAT_TIPO,MATCH($C2413,CAT_NOME,0)),"Sem categoria"))</f>
        <v/>
      </c>
      <c r="E2413" s="75">
        <f>IF($C2413="","",IFERROR(INDEX(CAT_GRUPO,MATCH($C2413,CAT_NOME,0)),"Sem categoria"))</f>
        <v/>
      </c>
      <c r="F2413" s="76" t="n"/>
      <c r="G2413" s="74" t="n"/>
      <c r="H2413" s="74" t="n"/>
      <c r="I2413" s="74" t="n"/>
      <c r="J2413" s="77" t="n"/>
      <c r="K2413" s="77" t="n"/>
      <c r="L2413" s="74" t="n"/>
      <c r="M2413" s="74" t="n"/>
      <c r="O2413" s="78">
        <f>IF($A2413="","",YEAR($A2413)*100+MONTH($A2413))</f>
        <v/>
      </c>
      <c r="P2413" s="79">
        <f>IF(OR($F2413="",$D2413=""),"",IF($D2413="Receita",$F2413,IF($D2413="Transferência",0,-$F2413)))</f>
        <v/>
      </c>
    </row>
    <row r="2414">
      <c r="A2414" s="73" t="n"/>
      <c r="B2414" s="74" t="n"/>
      <c r="C2414" s="74" t="n"/>
      <c r="D2414" s="75">
        <f>IF($C2414="","",IFERROR(INDEX(CAT_TIPO,MATCH($C2414,CAT_NOME,0)),"Sem categoria"))</f>
        <v/>
      </c>
      <c r="E2414" s="75">
        <f>IF($C2414="","",IFERROR(INDEX(CAT_GRUPO,MATCH($C2414,CAT_NOME,0)),"Sem categoria"))</f>
        <v/>
      </c>
      <c r="F2414" s="76" t="n"/>
      <c r="G2414" s="74" t="n"/>
      <c r="H2414" s="74" t="n"/>
      <c r="I2414" s="74" t="n"/>
      <c r="J2414" s="77" t="n"/>
      <c r="K2414" s="77" t="n"/>
      <c r="L2414" s="74" t="n"/>
      <c r="M2414" s="74" t="n"/>
      <c r="O2414" s="78">
        <f>IF($A2414="","",YEAR($A2414)*100+MONTH($A2414))</f>
        <v/>
      </c>
      <c r="P2414" s="79">
        <f>IF(OR($F2414="",$D2414=""),"",IF($D2414="Receita",$F2414,IF($D2414="Transferência",0,-$F2414)))</f>
        <v/>
      </c>
    </row>
    <row r="2415">
      <c r="A2415" s="73" t="n"/>
      <c r="B2415" s="74" t="n"/>
      <c r="C2415" s="74" t="n"/>
      <c r="D2415" s="75">
        <f>IF($C2415="","",IFERROR(INDEX(CAT_TIPO,MATCH($C2415,CAT_NOME,0)),"Sem categoria"))</f>
        <v/>
      </c>
      <c r="E2415" s="75">
        <f>IF($C2415="","",IFERROR(INDEX(CAT_GRUPO,MATCH($C2415,CAT_NOME,0)),"Sem categoria"))</f>
        <v/>
      </c>
      <c r="F2415" s="76" t="n"/>
      <c r="G2415" s="74" t="n"/>
      <c r="H2415" s="74" t="n"/>
      <c r="I2415" s="74" t="n"/>
      <c r="J2415" s="77" t="n"/>
      <c r="K2415" s="77" t="n"/>
      <c r="L2415" s="74" t="n"/>
      <c r="M2415" s="74" t="n"/>
      <c r="O2415" s="78">
        <f>IF($A2415="","",YEAR($A2415)*100+MONTH($A2415))</f>
        <v/>
      </c>
      <c r="P2415" s="79">
        <f>IF(OR($F2415="",$D2415=""),"",IF($D2415="Receita",$F2415,IF($D2415="Transferência",0,-$F2415)))</f>
        <v/>
      </c>
    </row>
    <row r="2416">
      <c r="A2416" s="73" t="n"/>
      <c r="B2416" s="74" t="n"/>
      <c r="C2416" s="74" t="n"/>
      <c r="D2416" s="75">
        <f>IF($C2416="","",IFERROR(INDEX(CAT_TIPO,MATCH($C2416,CAT_NOME,0)),"Sem categoria"))</f>
        <v/>
      </c>
      <c r="E2416" s="75">
        <f>IF($C2416="","",IFERROR(INDEX(CAT_GRUPO,MATCH($C2416,CAT_NOME,0)),"Sem categoria"))</f>
        <v/>
      </c>
      <c r="F2416" s="76" t="n"/>
      <c r="G2416" s="74" t="n"/>
      <c r="H2416" s="74" t="n"/>
      <c r="I2416" s="74" t="n"/>
      <c r="J2416" s="77" t="n"/>
      <c r="K2416" s="77" t="n"/>
      <c r="L2416" s="74" t="n"/>
      <c r="M2416" s="74" t="n"/>
      <c r="O2416" s="78">
        <f>IF($A2416="","",YEAR($A2416)*100+MONTH($A2416))</f>
        <v/>
      </c>
      <c r="P2416" s="79">
        <f>IF(OR($F2416="",$D2416=""),"",IF($D2416="Receita",$F2416,IF($D2416="Transferência",0,-$F2416)))</f>
        <v/>
      </c>
    </row>
    <row r="2417">
      <c r="A2417" s="73" t="n"/>
      <c r="B2417" s="74" t="n"/>
      <c r="C2417" s="74" t="n"/>
      <c r="D2417" s="75">
        <f>IF($C2417="","",IFERROR(INDEX(CAT_TIPO,MATCH($C2417,CAT_NOME,0)),"Sem categoria"))</f>
        <v/>
      </c>
      <c r="E2417" s="75">
        <f>IF($C2417="","",IFERROR(INDEX(CAT_GRUPO,MATCH($C2417,CAT_NOME,0)),"Sem categoria"))</f>
        <v/>
      </c>
      <c r="F2417" s="76" t="n"/>
      <c r="G2417" s="74" t="n"/>
      <c r="H2417" s="74" t="n"/>
      <c r="I2417" s="74" t="n"/>
      <c r="J2417" s="77" t="n"/>
      <c r="K2417" s="77" t="n"/>
      <c r="L2417" s="74" t="n"/>
      <c r="M2417" s="74" t="n"/>
      <c r="O2417" s="78">
        <f>IF($A2417="","",YEAR($A2417)*100+MONTH($A2417))</f>
        <v/>
      </c>
      <c r="P2417" s="79">
        <f>IF(OR($F2417="",$D2417=""),"",IF($D2417="Receita",$F2417,IF($D2417="Transferência",0,-$F2417)))</f>
        <v/>
      </c>
    </row>
    <row r="2418">
      <c r="A2418" s="73" t="n"/>
      <c r="B2418" s="74" t="n"/>
      <c r="C2418" s="74" t="n"/>
      <c r="D2418" s="75">
        <f>IF($C2418="","",IFERROR(INDEX(CAT_TIPO,MATCH($C2418,CAT_NOME,0)),"Sem categoria"))</f>
        <v/>
      </c>
      <c r="E2418" s="75">
        <f>IF($C2418="","",IFERROR(INDEX(CAT_GRUPO,MATCH($C2418,CAT_NOME,0)),"Sem categoria"))</f>
        <v/>
      </c>
      <c r="F2418" s="76" t="n"/>
      <c r="G2418" s="74" t="n"/>
      <c r="H2418" s="74" t="n"/>
      <c r="I2418" s="74" t="n"/>
      <c r="J2418" s="77" t="n"/>
      <c r="K2418" s="77" t="n"/>
      <c r="L2418" s="74" t="n"/>
      <c r="M2418" s="74" t="n"/>
      <c r="O2418" s="78">
        <f>IF($A2418="","",YEAR($A2418)*100+MONTH($A2418))</f>
        <v/>
      </c>
      <c r="P2418" s="79">
        <f>IF(OR($F2418="",$D2418=""),"",IF($D2418="Receita",$F2418,IF($D2418="Transferência",0,-$F2418)))</f>
        <v/>
      </c>
    </row>
    <row r="2419">
      <c r="A2419" s="73" t="n"/>
      <c r="B2419" s="74" t="n"/>
      <c r="C2419" s="74" t="n"/>
      <c r="D2419" s="75">
        <f>IF($C2419="","",IFERROR(INDEX(CAT_TIPO,MATCH($C2419,CAT_NOME,0)),"Sem categoria"))</f>
        <v/>
      </c>
      <c r="E2419" s="75">
        <f>IF($C2419="","",IFERROR(INDEX(CAT_GRUPO,MATCH($C2419,CAT_NOME,0)),"Sem categoria"))</f>
        <v/>
      </c>
      <c r="F2419" s="76" t="n"/>
      <c r="G2419" s="74" t="n"/>
      <c r="H2419" s="74" t="n"/>
      <c r="I2419" s="74" t="n"/>
      <c r="J2419" s="77" t="n"/>
      <c r="K2419" s="77" t="n"/>
      <c r="L2419" s="74" t="n"/>
      <c r="M2419" s="74" t="n"/>
      <c r="O2419" s="78">
        <f>IF($A2419="","",YEAR($A2419)*100+MONTH($A2419))</f>
        <v/>
      </c>
      <c r="P2419" s="79">
        <f>IF(OR($F2419="",$D2419=""),"",IF($D2419="Receita",$F2419,IF($D2419="Transferência",0,-$F2419)))</f>
        <v/>
      </c>
    </row>
    <row r="2420">
      <c r="A2420" s="73" t="n"/>
      <c r="B2420" s="74" t="n"/>
      <c r="C2420" s="74" t="n"/>
      <c r="D2420" s="75">
        <f>IF($C2420="","",IFERROR(INDEX(CAT_TIPO,MATCH($C2420,CAT_NOME,0)),"Sem categoria"))</f>
        <v/>
      </c>
      <c r="E2420" s="75">
        <f>IF($C2420="","",IFERROR(INDEX(CAT_GRUPO,MATCH($C2420,CAT_NOME,0)),"Sem categoria"))</f>
        <v/>
      </c>
      <c r="F2420" s="76" t="n"/>
      <c r="G2420" s="74" t="n"/>
      <c r="H2420" s="74" t="n"/>
      <c r="I2420" s="74" t="n"/>
      <c r="J2420" s="77" t="n"/>
      <c r="K2420" s="77" t="n"/>
      <c r="L2420" s="74" t="n"/>
      <c r="M2420" s="74" t="n"/>
      <c r="O2420" s="78">
        <f>IF($A2420="","",YEAR($A2420)*100+MONTH($A2420))</f>
        <v/>
      </c>
      <c r="P2420" s="79">
        <f>IF(OR($F2420="",$D2420=""),"",IF($D2420="Receita",$F2420,IF($D2420="Transferência",0,-$F2420)))</f>
        <v/>
      </c>
    </row>
    <row r="2421">
      <c r="A2421" s="73" t="n"/>
      <c r="B2421" s="74" t="n"/>
      <c r="C2421" s="74" t="n"/>
      <c r="D2421" s="75">
        <f>IF($C2421="","",IFERROR(INDEX(CAT_TIPO,MATCH($C2421,CAT_NOME,0)),"Sem categoria"))</f>
        <v/>
      </c>
      <c r="E2421" s="75">
        <f>IF($C2421="","",IFERROR(INDEX(CAT_GRUPO,MATCH($C2421,CAT_NOME,0)),"Sem categoria"))</f>
        <v/>
      </c>
      <c r="F2421" s="76" t="n"/>
      <c r="G2421" s="74" t="n"/>
      <c r="H2421" s="74" t="n"/>
      <c r="I2421" s="74" t="n"/>
      <c r="J2421" s="77" t="n"/>
      <c r="K2421" s="77" t="n"/>
      <c r="L2421" s="74" t="n"/>
      <c r="M2421" s="74" t="n"/>
      <c r="O2421" s="78">
        <f>IF($A2421="","",YEAR($A2421)*100+MONTH($A2421))</f>
        <v/>
      </c>
      <c r="P2421" s="79">
        <f>IF(OR($F2421="",$D2421=""),"",IF($D2421="Receita",$F2421,IF($D2421="Transferência",0,-$F2421)))</f>
        <v/>
      </c>
    </row>
    <row r="2422">
      <c r="A2422" s="73" t="n"/>
      <c r="B2422" s="74" t="n"/>
      <c r="C2422" s="74" t="n"/>
      <c r="D2422" s="75">
        <f>IF($C2422="","",IFERROR(INDEX(CAT_TIPO,MATCH($C2422,CAT_NOME,0)),"Sem categoria"))</f>
        <v/>
      </c>
      <c r="E2422" s="75">
        <f>IF($C2422="","",IFERROR(INDEX(CAT_GRUPO,MATCH($C2422,CAT_NOME,0)),"Sem categoria"))</f>
        <v/>
      </c>
      <c r="F2422" s="76" t="n"/>
      <c r="G2422" s="74" t="n"/>
      <c r="H2422" s="74" t="n"/>
      <c r="I2422" s="74" t="n"/>
      <c r="J2422" s="77" t="n"/>
      <c r="K2422" s="77" t="n"/>
      <c r="L2422" s="74" t="n"/>
      <c r="M2422" s="74" t="n"/>
      <c r="O2422" s="78">
        <f>IF($A2422="","",YEAR($A2422)*100+MONTH($A2422))</f>
        <v/>
      </c>
      <c r="P2422" s="79">
        <f>IF(OR($F2422="",$D2422=""),"",IF($D2422="Receita",$F2422,IF($D2422="Transferência",0,-$F2422)))</f>
        <v/>
      </c>
    </row>
    <row r="2423">
      <c r="A2423" s="73" t="n"/>
      <c r="B2423" s="74" t="n"/>
      <c r="C2423" s="74" t="n"/>
      <c r="D2423" s="75">
        <f>IF($C2423="","",IFERROR(INDEX(CAT_TIPO,MATCH($C2423,CAT_NOME,0)),"Sem categoria"))</f>
        <v/>
      </c>
      <c r="E2423" s="75">
        <f>IF($C2423="","",IFERROR(INDEX(CAT_GRUPO,MATCH($C2423,CAT_NOME,0)),"Sem categoria"))</f>
        <v/>
      </c>
      <c r="F2423" s="76" t="n"/>
      <c r="G2423" s="74" t="n"/>
      <c r="H2423" s="74" t="n"/>
      <c r="I2423" s="74" t="n"/>
      <c r="J2423" s="77" t="n"/>
      <c r="K2423" s="77" t="n"/>
      <c r="L2423" s="74" t="n"/>
      <c r="M2423" s="74" t="n"/>
      <c r="O2423" s="78">
        <f>IF($A2423="","",YEAR($A2423)*100+MONTH($A2423))</f>
        <v/>
      </c>
      <c r="P2423" s="79">
        <f>IF(OR($F2423="",$D2423=""),"",IF($D2423="Receita",$F2423,IF($D2423="Transferência",0,-$F2423)))</f>
        <v/>
      </c>
    </row>
    <row r="2424">
      <c r="A2424" s="73" t="n"/>
      <c r="B2424" s="74" t="n"/>
      <c r="C2424" s="74" t="n"/>
      <c r="D2424" s="75">
        <f>IF($C2424="","",IFERROR(INDEX(CAT_TIPO,MATCH($C2424,CAT_NOME,0)),"Sem categoria"))</f>
        <v/>
      </c>
      <c r="E2424" s="75">
        <f>IF($C2424="","",IFERROR(INDEX(CAT_GRUPO,MATCH($C2424,CAT_NOME,0)),"Sem categoria"))</f>
        <v/>
      </c>
      <c r="F2424" s="76" t="n"/>
      <c r="G2424" s="74" t="n"/>
      <c r="H2424" s="74" t="n"/>
      <c r="I2424" s="74" t="n"/>
      <c r="J2424" s="77" t="n"/>
      <c r="K2424" s="77" t="n"/>
      <c r="L2424" s="74" t="n"/>
      <c r="M2424" s="74" t="n"/>
      <c r="O2424" s="78">
        <f>IF($A2424="","",YEAR($A2424)*100+MONTH($A2424))</f>
        <v/>
      </c>
      <c r="P2424" s="79">
        <f>IF(OR($F2424="",$D2424=""),"",IF($D2424="Receita",$F2424,IF($D2424="Transferência",0,-$F2424)))</f>
        <v/>
      </c>
    </row>
    <row r="2425">
      <c r="A2425" s="73" t="n"/>
      <c r="B2425" s="74" t="n"/>
      <c r="C2425" s="74" t="n"/>
      <c r="D2425" s="75">
        <f>IF($C2425="","",IFERROR(INDEX(CAT_TIPO,MATCH($C2425,CAT_NOME,0)),"Sem categoria"))</f>
        <v/>
      </c>
      <c r="E2425" s="75">
        <f>IF($C2425="","",IFERROR(INDEX(CAT_GRUPO,MATCH($C2425,CAT_NOME,0)),"Sem categoria"))</f>
        <v/>
      </c>
      <c r="F2425" s="76" t="n"/>
      <c r="G2425" s="74" t="n"/>
      <c r="H2425" s="74" t="n"/>
      <c r="I2425" s="74" t="n"/>
      <c r="J2425" s="77" t="n"/>
      <c r="K2425" s="77" t="n"/>
      <c r="L2425" s="74" t="n"/>
      <c r="M2425" s="74" t="n"/>
      <c r="O2425" s="78">
        <f>IF($A2425="","",YEAR($A2425)*100+MONTH($A2425))</f>
        <v/>
      </c>
      <c r="P2425" s="79">
        <f>IF(OR($F2425="",$D2425=""),"",IF($D2425="Receita",$F2425,IF($D2425="Transferência",0,-$F2425)))</f>
        <v/>
      </c>
    </row>
    <row r="2426">
      <c r="A2426" s="73" t="n"/>
      <c r="B2426" s="74" t="n"/>
      <c r="C2426" s="74" t="n"/>
      <c r="D2426" s="75">
        <f>IF($C2426="","",IFERROR(INDEX(CAT_TIPO,MATCH($C2426,CAT_NOME,0)),"Sem categoria"))</f>
        <v/>
      </c>
      <c r="E2426" s="75">
        <f>IF($C2426="","",IFERROR(INDEX(CAT_GRUPO,MATCH($C2426,CAT_NOME,0)),"Sem categoria"))</f>
        <v/>
      </c>
      <c r="F2426" s="76" t="n"/>
      <c r="G2426" s="74" t="n"/>
      <c r="H2426" s="74" t="n"/>
      <c r="I2426" s="74" t="n"/>
      <c r="J2426" s="77" t="n"/>
      <c r="K2426" s="77" t="n"/>
      <c r="L2426" s="74" t="n"/>
      <c r="M2426" s="74" t="n"/>
      <c r="O2426" s="78">
        <f>IF($A2426="","",YEAR($A2426)*100+MONTH($A2426))</f>
        <v/>
      </c>
      <c r="P2426" s="79">
        <f>IF(OR($F2426="",$D2426=""),"",IF($D2426="Receita",$F2426,IF($D2426="Transferência",0,-$F2426)))</f>
        <v/>
      </c>
    </row>
    <row r="2427">
      <c r="A2427" s="73" t="n"/>
      <c r="B2427" s="74" t="n"/>
      <c r="C2427" s="74" t="n"/>
      <c r="D2427" s="75">
        <f>IF($C2427="","",IFERROR(INDEX(CAT_TIPO,MATCH($C2427,CAT_NOME,0)),"Sem categoria"))</f>
        <v/>
      </c>
      <c r="E2427" s="75">
        <f>IF($C2427="","",IFERROR(INDEX(CAT_GRUPO,MATCH($C2427,CAT_NOME,0)),"Sem categoria"))</f>
        <v/>
      </c>
      <c r="F2427" s="76" t="n"/>
      <c r="G2427" s="74" t="n"/>
      <c r="H2427" s="74" t="n"/>
      <c r="I2427" s="74" t="n"/>
      <c r="J2427" s="77" t="n"/>
      <c r="K2427" s="77" t="n"/>
      <c r="L2427" s="74" t="n"/>
      <c r="M2427" s="74" t="n"/>
      <c r="O2427" s="78">
        <f>IF($A2427="","",YEAR($A2427)*100+MONTH($A2427))</f>
        <v/>
      </c>
      <c r="P2427" s="79">
        <f>IF(OR($F2427="",$D2427=""),"",IF($D2427="Receita",$F2427,IF($D2427="Transferência",0,-$F2427)))</f>
        <v/>
      </c>
    </row>
    <row r="2428">
      <c r="A2428" s="73" t="n"/>
      <c r="B2428" s="74" t="n"/>
      <c r="C2428" s="74" t="n"/>
      <c r="D2428" s="75">
        <f>IF($C2428="","",IFERROR(INDEX(CAT_TIPO,MATCH($C2428,CAT_NOME,0)),"Sem categoria"))</f>
        <v/>
      </c>
      <c r="E2428" s="75">
        <f>IF($C2428="","",IFERROR(INDEX(CAT_GRUPO,MATCH($C2428,CAT_NOME,0)),"Sem categoria"))</f>
        <v/>
      </c>
      <c r="F2428" s="76" t="n"/>
      <c r="G2428" s="74" t="n"/>
      <c r="H2428" s="74" t="n"/>
      <c r="I2428" s="74" t="n"/>
      <c r="J2428" s="77" t="n"/>
      <c r="K2428" s="77" t="n"/>
      <c r="L2428" s="74" t="n"/>
      <c r="M2428" s="74" t="n"/>
      <c r="O2428" s="78">
        <f>IF($A2428="","",YEAR($A2428)*100+MONTH($A2428))</f>
        <v/>
      </c>
      <c r="P2428" s="79">
        <f>IF(OR($F2428="",$D2428=""),"",IF($D2428="Receita",$F2428,IF($D2428="Transferência",0,-$F2428)))</f>
        <v/>
      </c>
    </row>
    <row r="2429">
      <c r="A2429" s="73" t="n"/>
      <c r="B2429" s="74" t="n"/>
      <c r="C2429" s="74" t="n"/>
      <c r="D2429" s="75">
        <f>IF($C2429="","",IFERROR(INDEX(CAT_TIPO,MATCH($C2429,CAT_NOME,0)),"Sem categoria"))</f>
        <v/>
      </c>
      <c r="E2429" s="75">
        <f>IF($C2429="","",IFERROR(INDEX(CAT_GRUPO,MATCH($C2429,CAT_NOME,0)),"Sem categoria"))</f>
        <v/>
      </c>
      <c r="F2429" s="76" t="n"/>
      <c r="G2429" s="74" t="n"/>
      <c r="H2429" s="74" t="n"/>
      <c r="I2429" s="74" t="n"/>
      <c r="J2429" s="77" t="n"/>
      <c r="K2429" s="77" t="n"/>
      <c r="L2429" s="74" t="n"/>
      <c r="M2429" s="74" t="n"/>
      <c r="O2429" s="78">
        <f>IF($A2429="","",YEAR($A2429)*100+MONTH($A2429))</f>
        <v/>
      </c>
      <c r="P2429" s="79">
        <f>IF(OR($F2429="",$D2429=""),"",IF($D2429="Receita",$F2429,IF($D2429="Transferência",0,-$F2429)))</f>
        <v/>
      </c>
    </row>
    <row r="2430">
      <c r="A2430" s="73" t="n"/>
      <c r="B2430" s="74" t="n"/>
      <c r="C2430" s="74" t="n"/>
      <c r="D2430" s="75">
        <f>IF($C2430="","",IFERROR(INDEX(CAT_TIPO,MATCH($C2430,CAT_NOME,0)),"Sem categoria"))</f>
        <v/>
      </c>
      <c r="E2430" s="75">
        <f>IF($C2430="","",IFERROR(INDEX(CAT_GRUPO,MATCH($C2430,CAT_NOME,0)),"Sem categoria"))</f>
        <v/>
      </c>
      <c r="F2430" s="76" t="n"/>
      <c r="G2430" s="74" t="n"/>
      <c r="H2430" s="74" t="n"/>
      <c r="I2430" s="74" t="n"/>
      <c r="J2430" s="77" t="n"/>
      <c r="K2430" s="77" t="n"/>
      <c r="L2430" s="74" t="n"/>
      <c r="M2430" s="74" t="n"/>
      <c r="O2430" s="78">
        <f>IF($A2430="","",YEAR($A2430)*100+MONTH($A2430))</f>
        <v/>
      </c>
      <c r="P2430" s="79">
        <f>IF(OR($F2430="",$D2430=""),"",IF($D2430="Receita",$F2430,IF($D2430="Transferência",0,-$F2430)))</f>
        <v/>
      </c>
    </row>
    <row r="2431">
      <c r="A2431" s="73" t="n"/>
      <c r="B2431" s="74" t="n"/>
      <c r="C2431" s="74" t="n"/>
      <c r="D2431" s="75">
        <f>IF($C2431="","",IFERROR(INDEX(CAT_TIPO,MATCH($C2431,CAT_NOME,0)),"Sem categoria"))</f>
        <v/>
      </c>
      <c r="E2431" s="75">
        <f>IF($C2431="","",IFERROR(INDEX(CAT_GRUPO,MATCH($C2431,CAT_NOME,0)),"Sem categoria"))</f>
        <v/>
      </c>
      <c r="F2431" s="76" t="n"/>
      <c r="G2431" s="74" t="n"/>
      <c r="H2431" s="74" t="n"/>
      <c r="I2431" s="74" t="n"/>
      <c r="J2431" s="77" t="n"/>
      <c r="K2431" s="77" t="n"/>
      <c r="L2431" s="74" t="n"/>
      <c r="M2431" s="74" t="n"/>
      <c r="O2431" s="78">
        <f>IF($A2431="","",YEAR($A2431)*100+MONTH($A2431))</f>
        <v/>
      </c>
      <c r="P2431" s="79">
        <f>IF(OR($F2431="",$D2431=""),"",IF($D2431="Receita",$F2431,IF($D2431="Transferência",0,-$F2431)))</f>
        <v/>
      </c>
    </row>
    <row r="2432">
      <c r="A2432" s="73" t="n"/>
      <c r="B2432" s="74" t="n"/>
      <c r="C2432" s="74" t="n"/>
      <c r="D2432" s="75">
        <f>IF($C2432="","",IFERROR(INDEX(CAT_TIPO,MATCH($C2432,CAT_NOME,0)),"Sem categoria"))</f>
        <v/>
      </c>
      <c r="E2432" s="75">
        <f>IF($C2432="","",IFERROR(INDEX(CAT_GRUPO,MATCH($C2432,CAT_NOME,0)),"Sem categoria"))</f>
        <v/>
      </c>
      <c r="F2432" s="76" t="n"/>
      <c r="G2432" s="74" t="n"/>
      <c r="H2432" s="74" t="n"/>
      <c r="I2432" s="74" t="n"/>
      <c r="J2432" s="77" t="n"/>
      <c r="K2432" s="77" t="n"/>
      <c r="L2432" s="74" t="n"/>
      <c r="M2432" s="74" t="n"/>
      <c r="O2432" s="78">
        <f>IF($A2432="","",YEAR($A2432)*100+MONTH($A2432))</f>
        <v/>
      </c>
      <c r="P2432" s="79">
        <f>IF(OR($F2432="",$D2432=""),"",IF($D2432="Receita",$F2432,IF($D2432="Transferência",0,-$F2432)))</f>
        <v/>
      </c>
    </row>
    <row r="2433">
      <c r="A2433" s="73" t="n"/>
      <c r="B2433" s="74" t="n"/>
      <c r="C2433" s="74" t="n"/>
      <c r="D2433" s="75">
        <f>IF($C2433="","",IFERROR(INDEX(CAT_TIPO,MATCH($C2433,CAT_NOME,0)),"Sem categoria"))</f>
        <v/>
      </c>
      <c r="E2433" s="75">
        <f>IF($C2433="","",IFERROR(INDEX(CAT_GRUPO,MATCH($C2433,CAT_NOME,0)),"Sem categoria"))</f>
        <v/>
      </c>
      <c r="F2433" s="76" t="n"/>
      <c r="G2433" s="74" t="n"/>
      <c r="H2433" s="74" t="n"/>
      <c r="I2433" s="74" t="n"/>
      <c r="J2433" s="77" t="n"/>
      <c r="K2433" s="77" t="n"/>
      <c r="L2433" s="74" t="n"/>
      <c r="M2433" s="74" t="n"/>
      <c r="O2433" s="78">
        <f>IF($A2433="","",YEAR($A2433)*100+MONTH($A2433))</f>
        <v/>
      </c>
      <c r="P2433" s="79">
        <f>IF(OR($F2433="",$D2433=""),"",IF($D2433="Receita",$F2433,IF($D2433="Transferência",0,-$F2433)))</f>
        <v/>
      </c>
    </row>
    <row r="2434">
      <c r="A2434" s="73" t="n"/>
      <c r="B2434" s="74" t="n"/>
      <c r="C2434" s="74" t="n"/>
      <c r="D2434" s="75">
        <f>IF($C2434="","",IFERROR(INDEX(CAT_TIPO,MATCH($C2434,CAT_NOME,0)),"Sem categoria"))</f>
        <v/>
      </c>
      <c r="E2434" s="75">
        <f>IF($C2434="","",IFERROR(INDEX(CAT_GRUPO,MATCH($C2434,CAT_NOME,0)),"Sem categoria"))</f>
        <v/>
      </c>
      <c r="F2434" s="76" t="n"/>
      <c r="G2434" s="74" t="n"/>
      <c r="H2434" s="74" t="n"/>
      <c r="I2434" s="74" t="n"/>
      <c r="J2434" s="77" t="n"/>
      <c r="K2434" s="77" t="n"/>
      <c r="L2434" s="74" t="n"/>
      <c r="M2434" s="74" t="n"/>
      <c r="O2434" s="78">
        <f>IF($A2434="","",YEAR($A2434)*100+MONTH($A2434))</f>
        <v/>
      </c>
      <c r="P2434" s="79">
        <f>IF(OR($F2434="",$D2434=""),"",IF($D2434="Receita",$F2434,IF($D2434="Transferência",0,-$F2434)))</f>
        <v/>
      </c>
    </row>
    <row r="2435">
      <c r="A2435" s="73" t="n"/>
      <c r="B2435" s="74" t="n"/>
      <c r="C2435" s="74" t="n"/>
      <c r="D2435" s="75">
        <f>IF($C2435="","",IFERROR(INDEX(CAT_TIPO,MATCH($C2435,CAT_NOME,0)),"Sem categoria"))</f>
        <v/>
      </c>
      <c r="E2435" s="75">
        <f>IF($C2435="","",IFERROR(INDEX(CAT_GRUPO,MATCH($C2435,CAT_NOME,0)),"Sem categoria"))</f>
        <v/>
      </c>
      <c r="F2435" s="76" t="n"/>
      <c r="G2435" s="74" t="n"/>
      <c r="H2435" s="74" t="n"/>
      <c r="I2435" s="74" t="n"/>
      <c r="J2435" s="77" t="n"/>
      <c r="K2435" s="77" t="n"/>
      <c r="L2435" s="74" t="n"/>
      <c r="M2435" s="74" t="n"/>
      <c r="O2435" s="78">
        <f>IF($A2435="","",YEAR($A2435)*100+MONTH($A2435))</f>
        <v/>
      </c>
      <c r="P2435" s="79">
        <f>IF(OR($F2435="",$D2435=""),"",IF($D2435="Receita",$F2435,IF($D2435="Transferência",0,-$F2435)))</f>
        <v/>
      </c>
    </row>
    <row r="2436">
      <c r="A2436" s="73" t="n"/>
      <c r="B2436" s="74" t="n"/>
      <c r="C2436" s="74" t="n"/>
      <c r="D2436" s="75">
        <f>IF($C2436="","",IFERROR(INDEX(CAT_TIPO,MATCH($C2436,CAT_NOME,0)),"Sem categoria"))</f>
        <v/>
      </c>
      <c r="E2436" s="75">
        <f>IF($C2436="","",IFERROR(INDEX(CAT_GRUPO,MATCH($C2436,CAT_NOME,0)),"Sem categoria"))</f>
        <v/>
      </c>
      <c r="F2436" s="76" t="n"/>
      <c r="G2436" s="74" t="n"/>
      <c r="H2436" s="74" t="n"/>
      <c r="I2436" s="74" t="n"/>
      <c r="J2436" s="77" t="n"/>
      <c r="K2436" s="77" t="n"/>
      <c r="L2436" s="74" t="n"/>
      <c r="M2436" s="74" t="n"/>
      <c r="O2436" s="78">
        <f>IF($A2436="","",YEAR($A2436)*100+MONTH($A2436))</f>
        <v/>
      </c>
      <c r="P2436" s="79">
        <f>IF(OR($F2436="",$D2436=""),"",IF($D2436="Receita",$F2436,IF($D2436="Transferência",0,-$F2436)))</f>
        <v/>
      </c>
    </row>
    <row r="2437">
      <c r="A2437" s="73" t="n"/>
      <c r="B2437" s="74" t="n"/>
      <c r="C2437" s="74" t="n"/>
      <c r="D2437" s="75">
        <f>IF($C2437="","",IFERROR(INDEX(CAT_TIPO,MATCH($C2437,CAT_NOME,0)),"Sem categoria"))</f>
        <v/>
      </c>
      <c r="E2437" s="75">
        <f>IF($C2437="","",IFERROR(INDEX(CAT_GRUPO,MATCH($C2437,CAT_NOME,0)),"Sem categoria"))</f>
        <v/>
      </c>
      <c r="F2437" s="76" t="n"/>
      <c r="G2437" s="74" t="n"/>
      <c r="H2437" s="74" t="n"/>
      <c r="I2437" s="74" t="n"/>
      <c r="J2437" s="77" t="n"/>
      <c r="K2437" s="77" t="n"/>
      <c r="L2437" s="74" t="n"/>
      <c r="M2437" s="74" t="n"/>
      <c r="O2437" s="78">
        <f>IF($A2437="","",YEAR($A2437)*100+MONTH($A2437))</f>
        <v/>
      </c>
      <c r="P2437" s="79">
        <f>IF(OR($F2437="",$D2437=""),"",IF($D2437="Receita",$F2437,IF($D2437="Transferência",0,-$F2437)))</f>
        <v/>
      </c>
    </row>
    <row r="2438">
      <c r="A2438" s="73" t="n"/>
      <c r="B2438" s="74" t="n"/>
      <c r="C2438" s="74" t="n"/>
      <c r="D2438" s="75">
        <f>IF($C2438="","",IFERROR(INDEX(CAT_TIPO,MATCH($C2438,CAT_NOME,0)),"Sem categoria"))</f>
        <v/>
      </c>
      <c r="E2438" s="75">
        <f>IF($C2438="","",IFERROR(INDEX(CAT_GRUPO,MATCH($C2438,CAT_NOME,0)),"Sem categoria"))</f>
        <v/>
      </c>
      <c r="F2438" s="76" t="n"/>
      <c r="G2438" s="74" t="n"/>
      <c r="H2438" s="74" t="n"/>
      <c r="I2438" s="74" t="n"/>
      <c r="J2438" s="77" t="n"/>
      <c r="K2438" s="77" t="n"/>
      <c r="L2438" s="74" t="n"/>
      <c r="M2438" s="74" t="n"/>
      <c r="O2438" s="78">
        <f>IF($A2438="","",YEAR($A2438)*100+MONTH($A2438))</f>
        <v/>
      </c>
      <c r="P2438" s="79">
        <f>IF(OR($F2438="",$D2438=""),"",IF($D2438="Receita",$F2438,IF($D2438="Transferência",0,-$F2438)))</f>
        <v/>
      </c>
    </row>
    <row r="2439">
      <c r="A2439" s="73" t="n"/>
      <c r="B2439" s="74" t="n"/>
      <c r="C2439" s="74" t="n"/>
      <c r="D2439" s="75">
        <f>IF($C2439="","",IFERROR(INDEX(CAT_TIPO,MATCH($C2439,CAT_NOME,0)),"Sem categoria"))</f>
        <v/>
      </c>
      <c r="E2439" s="75">
        <f>IF($C2439="","",IFERROR(INDEX(CAT_GRUPO,MATCH($C2439,CAT_NOME,0)),"Sem categoria"))</f>
        <v/>
      </c>
      <c r="F2439" s="76" t="n"/>
      <c r="G2439" s="74" t="n"/>
      <c r="H2439" s="74" t="n"/>
      <c r="I2439" s="74" t="n"/>
      <c r="J2439" s="77" t="n"/>
      <c r="K2439" s="77" t="n"/>
      <c r="L2439" s="74" t="n"/>
      <c r="M2439" s="74" t="n"/>
      <c r="O2439" s="78">
        <f>IF($A2439="","",YEAR($A2439)*100+MONTH($A2439))</f>
        <v/>
      </c>
      <c r="P2439" s="79">
        <f>IF(OR($F2439="",$D2439=""),"",IF($D2439="Receita",$F2439,IF($D2439="Transferência",0,-$F2439)))</f>
        <v/>
      </c>
    </row>
    <row r="2440">
      <c r="A2440" s="73" t="n"/>
      <c r="B2440" s="74" t="n"/>
      <c r="C2440" s="74" t="n"/>
      <c r="D2440" s="75">
        <f>IF($C2440="","",IFERROR(INDEX(CAT_TIPO,MATCH($C2440,CAT_NOME,0)),"Sem categoria"))</f>
        <v/>
      </c>
      <c r="E2440" s="75">
        <f>IF($C2440="","",IFERROR(INDEX(CAT_GRUPO,MATCH($C2440,CAT_NOME,0)),"Sem categoria"))</f>
        <v/>
      </c>
      <c r="F2440" s="76" t="n"/>
      <c r="G2440" s="74" t="n"/>
      <c r="H2440" s="74" t="n"/>
      <c r="I2440" s="74" t="n"/>
      <c r="J2440" s="77" t="n"/>
      <c r="K2440" s="77" t="n"/>
      <c r="L2440" s="74" t="n"/>
      <c r="M2440" s="74" t="n"/>
      <c r="O2440" s="78">
        <f>IF($A2440="","",YEAR($A2440)*100+MONTH($A2440))</f>
        <v/>
      </c>
      <c r="P2440" s="79">
        <f>IF(OR($F2440="",$D2440=""),"",IF($D2440="Receita",$F2440,IF($D2440="Transferência",0,-$F2440)))</f>
        <v/>
      </c>
    </row>
    <row r="2441">
      <c r="A2441" s="73" t="n"/>
      <c r="B2441" s="74" t="n"/>
      <c r="C2441" s="74" t="n"/>
      <c r="D2441" s="75">
        <f>IF($C2441="","",IFERROR(INDEX(CAT_TIPO,MATCH($C2441,CAT_NOME,0)),"Sem categoria"))</f>
        <v/>
      </c>
      <c r="E2441" s="75">
        <f>IF($C2441="","",IFERROR(INDEX(CAT_GRUPO,MATCH($C2441,CAT_NOME,0)),"Sem categoria"))</f>
        <v/>
      </c>
      <c r="F2441" s="76" t="n"/>
      <c r="G2441" s="74" t="n"/>
      <c r="H2441" s="74" t="n"/>
      <c r="I2441" s="74" t="n"/>
      <c r="J2441" s="77" t="n"/>
      <c r="K2441" s="77" t="n"/>
      <c r="L2441" s="74" t="n"/>
      <c r="M2441" s="74" t="n"/>
      <c r="O2441" s="78">
        <f>IF($A2441="","",YEAR($A2441)*100+MONTH($A2441))</f>
        <v/>
      </c>
      <c r="P2441" s="79">
        <f>IF(OR($F2441="",$D2441=""),"",IF($D2441="Receita",$F2441,IF($D2441="Transferência",0,-$F2441)))</f>
        <v/>
      </c>
    </row>
    <row r="2442">
      <c r="A2442" s="73" t="n"/>
      <c r="B2442" s="74" t="n"/>
      <c r="C2442" s="74" t="n"/>
      <c r="D2442" s="75">
        <f>IF($C2442="","",IFERROR(INDEX(CAT_TIPO,MATCH($C2442,CAT_NOME,0)),"Sem categoria"))</f>
        <v/>
      </c>
      <c r="E2442" s="75">
        <f>IF($C2442="","",IFERROR(INDEX(CAT_GRUPO,MATCH($C2442,CAT_NOME,0)),"Sem categoria"))</f>
        <v/>
      </c>
      <c r="F2442" s="76" t="n"/>
      <c r="G2442" s="74" t="n"/>
      <c r="H2442" s="74" t="n"/>
      <c r="I2442" s="74" t="n"/>
      <c r="J2442" s="77" t="n"/>
      <c r="K2442" s="77" t="n"/>
      <c r="L2442" s="74" t="n"/>
      <c r="M2442" s="74" t="n"/>
      <c r="O2442" s="78">
        <f>IF($A2442="","",YEAR($A2442)*100+MONTH($A2442))</f>
        <v/>
      </c>
      <c r="P2442" s="79">
        <f>IF(OR($F2442="",$D2442=""),"",IF($D2442="Receita",$F2442,IF($D2442="Transferência",0,-$F2442)))</f>
        <v/>
      </c>
    </row>
    <row r="2443">
      <c r="A2443" s="73" t="n"/>
      <c r="B2443" s="74" t="n"/>
      <c r="C2443" s="74" t="n"/>
      <c r="D2443" s="75">
        <f>IF($C2443="","",IFERROR(INDEX(CAT_TIPO,MATCH($C2443,CAT_NOME,0)),"Sem categoria"))</f>
        <v/>
      </c>
      <c r="E2443" s="75">
        <f>IF($C2443="","",IFERROR(INDEX(CAT_GRUPO,MATCH($C2443,CAT_NOME,0)),"Sem categoria"))</f>
        <v/>
      </c>
      <c r="F2443" s="76" t="n"/>
      <c r="G2443" s="74" t="n"/>
      <c r="H2443" s="74" t="n"/>
      <c r="I2443" s="74" t="n"/>
      <c r="J2443" s="77" t="n"/>
      <c r="K2443" s="77" t="n"/>
      <c r="L2443" s="74" t="n"/>
      <c r="M2443" s="74" t="n"/>
      <c r="O2443" s="78">
        <f>IF($A2443="","",YEAR($A2443)*100+MONTH($A2443))</f>
        <v/>
      </c>
      <c r="P2443" s="79">
        <f>IF(OR($F2443="",$D2443=""),"",IF($D2443="Receita",$F2443,IF($D2443="Transferência",0,-$F2443)))</f>
        <v/>
      </c>
    </row>
    <row r="2444">
      <c r="A2444" s="73" t="n"/>
      <c r="B2444" s="74" t="n"/>
      <c r="C2444" s="74" t="n"/>
      <c r="D2444" s="75">
        <f>IF($C2444="","",IFERROR(INDEX(CAT_TIPO,MATCH($C2444,CAT_NOME,0)),"Sem categoria"))</f>
        <v/>
      </c>
      <c r="E2444" s="75">
        <f>IF($C2444="","",IFERROR(INDEX(CAT_GRUPO,MATCH($C2444,CAT_NOME,0)),"Sem categoria"))</f>
        <v/>
      </c>
      <c r="F2444" s="76" t="n"/>
      <c r="G2444" s="74" t="n"/>
      <c r="H2444" s="74" t="n"/>
      <c r="I2444" s="74" t="n"/>
      <c r="J2444" s="77" t="n"/>
      <c r="K2444" s="77" t="n"/>
      <c r="L2444" s="74" t="n"/>
      <c r="M2444" s="74" t="n"/>
      <c r="O2444" s="78">
        <f>IF($A2444="","",YEAR($A2444)*100+MONTH($A2444))</f>
        <v/>
      </c>
      <c r="P2444" s="79">
        <f>IF(OR($F2444="",$D2444=""),"",IF($D2444="Receita",$F2444,IF($D2444="Transferência",0,-$F2444)))</f>
        <v/>
      </c>
    </row>
    <row r="2445">
      <c r="A2445" s="73" t="n"/>
      <c r="B2445" s="74" t="n"/>
      <c r="C2445" s="74" t="n"/>
      <c r="D2445" s="75">
        <f>IF($C2445="","",IFERROR(INDEX(CAT_TIPO,MATCH($C2445,CAT_NOME,0)),"Sem categoria"))</f>
        <v/>
      </c>
      <c r="E2445" s="75">
        <f>IF($C2445="","",IFERROR(INDEX(CAT_GRUPO,MATCH($C2445,CAT_NOME,0)),"Sem categoria"))</f>
        <v/>
      </c>
      <c r="F2445" s="76" t="n"/>
      <c r="G2445" s="74" t="n"/>
      <c r="H2445" s="74" t="n"/>
      <c r="I2445" s="74" t="n"/>
      <c r="J2445" s="77" t="n"/>
      <c r="K2445" s="77" t="n"/>
      <c r="L2445" s="74" t="n"/>
      <c r="M2445" s="74" t="n"/>
      <c r="O2445" s="78">
        <f>IF($A2445="","",YEAR($A2445)*100+MONTH($A2445))</f>
        <v/>
      </c>
      <c r="P2445" s="79">
        <f>IF(OR($F2445="",$D2445=""),"",IF($D2445="Receita",$F2445,IF($D2445="Transferência",0,-$F2445)))</f>
        <v/>
      </c>
    </row>
    <row r="2446">
      <c r="A2446" s="73" t="n"/>
      <c r="B2446" s="74" t="n"/>
      <c r="C2446" s="74" t="n"/>
      <c r="D2446" s="75">
        <f>IF($C2446="","",IFERROR(INDEX(CAT_TIPO,MATCH($C2446,CAT_NOME,0)),"Sem categoria"))</f>
        <v/>
      </c>
      <c r="E2446" s="75">
        <f>IF($C2446="","",IFERROR(INDEX(CAT_GRUPO,MATCH($C2446,CAT_NOME,0)),"Sem categoria"))</f>
        <v/>
      </c>
      <c r="F2446" s="76" t="n"/>
      <c r="G2446" s="74" t="n"/>
      <c r="H2446" s="74" t="n"/>
      <c r="I2446" s="74" t="n"/>
      <c r="J2446" s="77" t="n"/>
      <c r="K2446" s="77" t="n"/>
      <c r="L2446" s="74" t="n"/>
      <c r="M2446" s="74" t="n"/>
      <c r="O2446" s="78">
        <f>IF($A2446="","",YEAR($A2446)*100+MONTH($A2446))</f>
        <v/>
      </c>
      <c r="P2446" s="79">
        <f>IF(OR($F2446="",$D2446=""),"",IF($D2446="Receita",$F2446,IF($D2446="Transferência",0,-$F2446)))</f>
        <v/>
      </c>
    </row>
    <row r="2447">
      <c r="A2447" s="73" t="n"/>
      <c r="B2447" s="74" t="n"/>
      <c r="C2447" s="74" t="n"/>
      <c r="D2447" s="75">
        <f>IF($C2447="","",IFERROR(INDEX(CAT_TIPO,MATCH($C2447,CAT_NOME,0)),"Sem categoria"))</f>
        <v/>
      </c>
      <c r="E2447" s="75">
        <f>IF($C2447="","",IFERROR(INDEX(CAT_GRUPO,MATCH($C2447,CAT_NOME,0)),"Sem categoria"))</f>
        <v/>
      </c>
      <c r="F2447" s="76" t="n"/>
      <c r="G2447" s="74" t="n"/>
      <c r="H2447" s="74" t="n"/>
      <c r="I2447" s="74" t="n"/>
      <c r="J2447" s="77" t="n"/>
      <c r="K2447" s="77" t="n"/>
      <c r="L2447" s="74" t="n"/>
      <c r="M2447" s="74" t="n"/>
      <c r="O2447" s="78">
        <f>IF($A2447="","",YEAR($A2447)*100+MONTH($A2447))</f>
        <v/>
      </c>
      <c r="P2447" s="79">
        <f>IF(OR($F2447="",$D2447=""),"",IF($D2447="Receita",$F2447,IF($D2447="Transferência",0,-$F2447)))</f>
        <v/>
      </c>
    </row>
    <row r="2448">
      <c r="A2448" s="73" t="n"/>
      <c r="B2448" s="74" t="n"/>
      <c r="C2448" s="74" t="n"/>
      <c r="D2448" s="75">
        <f>IF($C2448="","",IFERROR(INDEX(CAT_TIPO,MATCH($C2448,CAT_NOME,0)),"Sem categoria"))</f>
        <v/>
      </c>
      <c r="E2448" s="75">
        <f>IF($C2448="","",IFERROR(INDEX(CAT_GRUPO,MATCH($C2448,CAT_NOME,0)),"Sem categoria"))</f>
        <v/>
      </c>
      <c r="F2448" s="76" t="n"/>
      <c r="G2448" s="74" t="n"/>
      <c r="H2448" s="74" t="n"/>
      <c r="I2448" s="74" t="n"/>
      <c r="J2448" s="77" t="n"/>
      <c r="K2448" s="77" t="n"/>
      <c r="L2448" s="74" t="n"/>
      <c r="M2448" s="74" t="n"/>
      <c r="O2448" s="78">
        <f>IF($A2448="","",YEAR($A2448)*100+MONTH($A2448))</f>
        <v/>
      </c>
      <c r="P2448" s="79">
        <f>IF(OR($F2448="",$D2448=""),"",IF($D2448="Receita",$F2448,IF($D2448="Transferência",0,-$F2448)))</f>
        <v/>
      </c>
    </row>
    <row r="2449">
      <c r="A2449" s="73" t="n"/>
      <c r="B2449" s="74" t="n"/>
      <c r="C2449" s="74" t="n"/>
      <c r="D2449" s="75">
        <f>IF($C2449="","",IFERROR(INDEX(CAT_TIPO,MATCH($C2449,CAT_NOME,0)),"Sem categoria"))</f>
        <v/>
      </c>
      <c r="E2449" s="75">
        <f>IF($C2449="","",IFERROR(INDEX(CAT_GRUPO,MATCH($C2449,CAT_NOME,0)),"Sem categoria"))</f>
        <v/>
      </c>
      <c r="F2449" s="76" t="n"/>
      <c r="G2449" s="74" t="n"/>
      <c r="H2449" s="74" t="n"/>
      <c r="I2449" s="74" t="n"/>
      <c r="J2449" s="77" t="n"/>
      <c r="K2449" s="77" t="n"/>
      <c r="L2449" s="74" t="n"/>
      <c r="M2449" s="74" t="n"/>
      <c r="O2449" s="78">
        <f>IF($A2449="","",YEAR($A2449)*100+MONTH($A2449))</f>
        <v/>
      </c>
      <c r="P2449" s="79">
        <f>IF(OR($F2449="",$D2449=""),"",IF($D2449="Receita",$F2449,IF($D2449="Transferência",0,-$F2449)))</f>
        <v/>
      </c>
    </row>
    <row r="2450">
      <c r="A2450" s="73" t="n"/>
      <c r="B2450" s="74" t="n"/>
      <c r="C2450" s="74" t="n"/>
      <c r="D2450" s="75">
        <f>IF($C2450="","",IFERROR(INDEX(CAT_TIPO,MATCH($C2450,CAT_NOME,0)),"Sem categoria"))</f>
        <v/>
      </c>
      <c r="E2450" s="75">
        <f>IF($C2450="","",IFERROR(INDEX(CAT_GRUPO,MATCH($C2450,CAT_NOME,0)),"Sem categoria"))</f>
        <v/>
      </c>
      <c r="F2450" s="76" t="n"/>
      <c r="G2450" s="74" t="n"/>
      <c r="H2450" s="74" t="n"/>
      <c r="I2450" s="74" t="n"/>
      <c r="J2450" s="77" t="n"/>
      <c r="K2450" s="77" t="n"/>
      <c r="L2450" s="74" t="n"/>
      <c r="M2450" s="74" t="n"/>
      <c r="O2450" s="78">
        <f>IF($A2450="","",YEAR($A2450)*100+MONTH($A2450))</f>
        <v/>
      </c>
      <c r="P2450" s="79">
        <f>IF(OR($F2450="",$D2450=""),"",IF($D2450="Receita",$F2450,IF($D2450="Transferência",0,-$F2450)))</f>
        <v/>
      </c>
    </row>
    <row r="2451">
      <c r="A2451" s="73" t="n"/>
      <c r="B2451" s="74" t="n"/>
      <c r="C2451" s="74" t="n"/>
      <c r="D2451" s="75">
        <f>IF($C2451="","",IFERROR(INDEX(CAT_TIPO,MATCH($C2451,CAT_NOME,0)),"Sem categoria"))</f>
        <v/>
      </c>
      <c r="E2451" s="75">
        <f>IF($C2451="","",IFERROR(INDEX(CAT_GRUPO,MATCH($C2451,CAT_NOME,0)),"Sem categoria"))</f>
        <v/>
      </c>
      <c r="F2451" s="76" t="n"/>
      <c r="G2451" s="74" t="n"/>
      <c r="H2451" s="74" t="n"/>
      <c r="I2451" s="74" t="n"/>
      <c r="J2451" s="77" t="n"/>
      <c r="K2451" s="77" t="n"/>
      <c r="L2451" s="74" t="n"/>
      <c r="M2451" s="74" t="n"/>
      <c r="O2451" s="78">
        <f>IF($A2451="","",YEAR($A2451)*100+MONTH($A2451))</f>
        <v/>
      </c>
      <c r="P2451" s="79">
        <f>IF(OR($F2451="",$D2451=""),"",IF($D2451="Receita",$F2451,IF($D2451="Transferência",0,-$F2451)))</f>
        <v/>
      </c>
    </row>
    <row r="2452">
      <c r="A2452" s="73" t="n"/>
      <c r="B2452" s="74" t="n"/>
      <c r="C2452" s="74" t="n"/>
      <c r="D2452" s="75">
        <f>IF($C2452="","",IFERROR(INDEX(CAT_TIPO,MATCH($C2452,CAT_NOME,0)),"Sem categoria"))</f>
        <v/>
      </c>
      <c r="E2452" s="75">
        <f>IF($C2452="","",IFERROR(INDEX(CAT_GRUPO,MATCH($C2452,CAT_NOME,0)),"Sem categoria"))</f>
        <v/>
      </c>
      <c r="F2452" s="76" t="n"/>
      <c r="G2452" s="74" t="n"/>
      <c r="H2452" s="74" t="n"/>
      <c r="I2452" s="74" t="n"/>
      <c r="J2452" s="77" t="n"/>
      <c r="K2452" s="77" t="n"/>
      <c r="L2452" s="74" t="n"/>
      <c r="M2452" s="74" t="n"/>
      <c r="O2452" s="78">
        <f>IF($A2452="","",YEAR($A2452)*100+MONTH($A2452))</f>
        <v/>
      </c>
      <c r="P2452" s="79">
        <f>IF(OR($F2452="",$D2452=""),"",IF($D2452="Receita",$F2452,IF($D2452="Transferência",0,-$F2452)))</f>
        <v/>
      </c>
    </row>
    <row r="2453">
      <c r="A2453" s="73" t="n"/>
      <c r="B2453" s="74" t="n"/>
      <c r="C2453" s="74" t="n"/>
      <c r="D2453" s="75">
        <f>IF($C2453="","",IFERROR(INDEX(CAT_TIPO,MATCH($C2453,CAT_NOME,0)),"Sem categoria"))</f>
        <v/>
      </c>
      <c r="E2453" s="75">
        <f>IF($C2453="","",IFERROR(INDEX(CAT_GRUPO,MATCH($C2453,CAT_NOME,0)),"Sem categoria"))</f>
        <v/>
      </c>
      <c r="F2453" s="76" t="n"/>
      <c r="G2453" s="74" t="n"/>
      <c r="H2453" s="74" t="n"/>
      <c r="I2453" s="74" t="n"/>
      <c r="J2453" s="77" t="n"/>
      <c r="K2453" s="77" t="n"/>
      <c r="L2453" s="74" t="n"/>
      <c r="M2453" s="74" t="n"/>
      <c r="O2453" s="78">
        <f>IF($A2453="","",YEAR($A2453)*100+MONTH($A2453))</f>
        <v/>
      </c>
      <c r="P2453" s="79">
        <f>IF(OR($F2453="",$D2453=""),"",IF($D2453="Receita",$F2453,IF($D2453="Transferência",0,-$F2453)))</f>
        <v/>
      </c>
    </row>
    <row r="2454">
      <c r="A2454" s="73" t="n"/>
      <c r="B2454" s="74" t="n"/>
      <c r="C2454" s="74" t="n"/>
      <c r="D2454" s="75">
        <f>IF($C2454="","",IFERROR(INDEX(CAT_TIPO,MATCH($C2454,CAT_NOME,0)),"Sem categoria"))</f>
        <v/>
      </c>
      <c r="E2454" s="75">
        <f>IF($C2454="","",IFERROR(INDEX(CAT_GRUPO,MATCH($C2454,CAT_NOME,0)),"Sem categoria"))</f>
        <v/>
      </c>
      <c r="F2454" s="76" t="n"/>
      <c r="G2454" s="74" t="n"/>
      <c r="H2454" s="74" t="n"/>
      <c r="I2454" s="74" t="n"/>
      <c r="J2454" s="77" t="n"/>
      <c r="K2454" s="77" t="n"/>
      <c r="L2454" s="74" t="n"/>
      <c r="M2454" s="74" t="n"/>
      <c r="O2454" s="78">
        <f>IF($A2454="","",YEAR($A2454)*100+MONTH($A2454))</f>
        <v/>
      </c>
      <c r="P2454" s="79">
        <f>IF(OR($F2454="",$D2454=""),"",IF($D2454="Receita",$F2454,IF($D2454="Transferência",0,-$F2454)))</f>
        <v/>
      </c>
    </row>
    <row r="2455">
      <c r="A2455" s="73" t="n"/>
      <c r="B2455" s="74" t="n"/>
      <c r="C2455" s="74" t="n"/>
      <c r="D2455" s="75">
        <f>IF($C2455="","",IFERROR(INDEX(CAT_TIPO,MATCH($C2455,CAT_NOME,0)),"Sem categoria"))</f>
        <v/>
      </c>
      <c r="E2455" s="75">
        <f>IF($C2455="","",IFERROR(INDEX(CAT_GRUPO,MATCH($C2455,CAT_NOME,0)),"Sem categoria"))</f>
        <v/>
      </c>
      <c r="F2455" s="76" t="n"/>
      <c r="G2455" s="74" t="n"/>
      <c r="H2455" s="74" t="n"/>
      <c r="I2455" s="74" t="n"/>
      <c r="J2455" s="77" t="n"/>
      <c r="K2455" s="77" t="n"/>
      <c r="L2455" s="74" t="n"/>
      <c r="M2455" s="74" t="n"/>
      <c r="O2455" s="78">
        <f>IF($A2455="","",YEAR($A2455)*100+MONTH($A2455))</f>
        <v/>
      </c>
      <c r="P2455" s="79">
        <f>IF(OR($F2455="",$D2455=""),"",IF($D2455="Receita",$F2455,IF($D2455="Transferência",0,-$F2455)))</f>
        <v/>
      </c>
    </row>
    <row r="2456">
      <c r="A2456" s="73" t="n"/>
      <c r="B2456" s="74" t="n"/>
      <c r="C2456" s="74" t="n"/>
      <c r="D2456" s="75">
        <f>IF($C2456="","",IFERROR(INDEX(CAT_TIPO,MATCH($C2456,CAT_NOME,0)),"Sem categoria"))</f>
        <v/>
      </c>
      <c r="E2456" s="75">
        <f>IF($C2456="","",IFERROR(INDEX(CAT_GRUPO,MATCH($C2456,CAT_NOME,0)),"Sem categoria"))</f>
        <v/>
      </c>
      <c r="F2456" s="76" t="n"/>
      <c r="G2456" s="74" t="n"/>
      <c r="H2456" s="74" t="n"/>
      <c r="I2456" s="74" t="n"/>
      <c r="J2456" s="77" t="n"/>
      <c r="K2456" s="77" t="n"/>
      <c r="L2456" s="74" t="n"/>
      <c r="M2456" s="74" t="n"/>
      <c r="O2456" s="78">
        <f>IF($A2456="","",YEAR($A2456)*100+MONTH($A2456))</f>
        <v/>
      </c>
      <c r="P2456" s="79">
        <f>IF(OR($F2456="",$D2456=""),"",IF($D2456="Receita",$F2456,IF($D2456="Transferência",0,-$F2456)))</f>
        <v/>
      </c>
    </row>
    <row r="2457">
      <c r="A2457" s="73" t="n"/>
      <c r="B2457" s="74" t="n"/>
      <c r="C2457" s="74" t="n"/>
      <c r="D2457" s="75">
        <f>IF($C2457="","",IFERROR(INDEX(CAT_TIPO,MATCH($C2457,CAT_NOME,0)),"Sem categoria"))</f>
        <v/>
      </c>
      <c r="E2457" s="75">
        <f>IF($C2457="","",IFERROR(INDEX(CAT_GRUPO,MATCH($C2457,CAT_NOME,0)),"Sem categoria"))</f>
        <v/>
      </c>
      <c r="F2457" s="76" t="n"/>
      <c r="G2457" s="74" t="n"/>
      <c r="H2457" s="74" t="n"/>
      <c r="I2457" s="74" t="n"/>
      <c r="J2457" s="77" t="n"/>
      <c r="K2457" s="77" t="n"/>
      <c r="L2457" s="74" t="n"/>
      <c r="M2457" s="74" t="n"/>
      <c r="O2457" s="78">
        <f>IF($A2457="","",YEAR($A2457)*100+MONTH($A2457))</f>
        <v/>
      </c>
      <c r="P2457" s="79">
        <f>IF(OR($F2457="",$D2457=""),"",IF($D2457="Receita",$F2457,IF($D2457="Transferência",0,-$F2457)))</f>
        <v/>
      </c>
    </row>
    <row r="2458">
      <c r="A2458" s="73" t="n"/>
      <c r="B2458" s="74" t="n"/>
      <c r="C2458" s="74" t="n"/>
      <c r="D2458" s="75">
        <f>IF($C2458="","",IFERROR(INDEX(CAT_TIPO,MATCH($C2458,CAT_NOME,0)),"Sem categoria"))</f>
        <v/>
      </c>
      <c r="E2458" s="75">
        <f>IF($C2458="","",IFERROR(INDEX(CAT_GRUPO,MATCH($C2458,CAT_NOME,0)),"Sem categoria"))</f>
        <v/>
      </c>
      <c r="F2458" s="76" t="n"/>
      <c r="G2458" s="74" t="n"/>
      <c r="H2458" s="74" t="n"/>
      <c r="I2458" s="74" t="n"/>
      <c r="J2458" s="77" t="n"/>
      <c r="K2458" s="77" t="n"/>
      <c r="L2458" s="74" t="n"/>
      <c r="M2458" s="74" t="n"/>
      <c r="O2458" s="78">
        <f>IF($A2458="","",YEAR($A2458)*100+MONTH($A2458))</f>
        <v/>
      </c>
      <c r="P2458" s="79">
        <f>IF(OR($F2458="",$D2458=""),"",IF($D2458="Receita",$F2458,IF($D2458="Transferência",0,-$F2458)))</f>
        <v/>
      </c>
    </row>
    <row r="2459">
      <c r="A2459" s="73" t="n"/>
      <c r="B2459" s="74" t="n"/>
      <c r="C2459" s="74" t="n"/>
      <c r="D2459" s="75">
        <f>IF($C2459="","",IFERROR(INDEX(CAT_TIPO,MATCH($C2459,CAT_NOME,0)),"Sem categoria"))</f>
        <v/>
      </c>
      <c r="E2459" s="75">
        <f>IF($C2459="","",IFERROR(INDEX(CAT_GRUPO,MATCH($C2459,CAT_NOME,0)),"Sem categoria"))</f>
        <v/>
      </c>
      <c r="F2459" s="76" t="n"/>
      <c r="G2459" s="74" t="n"/>
      <c r="H2459" s="74" t="n"/>
      <c r="I2459" s="74" t="n"/>
      <c r="J2459" s="77" t="n"/>
      <c r="K2459" s="77" t="n"/>
      <c r="L2459" s="74" t="n"/>
      <c r="M2459" s="74" t="n"/>
      <c r="O2459" s="78">
        <f>IF($A2459="","",YEAR($A2459)*100+MONTH($A2459))</f>
        <v/>
      </c>
      <c r="P2459" s="79">
        <f>IF(OR($F2459="",$D2459=""),"",IF($D2459="Receita",$F2459,IF($D2459="Transferência",0,-$F2459)))</f>
        <v/>
      </c>
    </row>
    <row r="2460">
      <c r="A2460" s="73" t="n"/>
      <c r="B2460" s="74" t="n"/>
      <c r="C2460" s="74" t="n"/>
      <c r="D2460" s="75">
        <f>IF($C2460="","",IFERROR(INDEX(CAT_TIPO,MATCH($C2460,CAT_NOME,0)),"Sem categoria"))</f>
        <v/>
      </c>
      <c r="E2460" s="75">
        <f>IF($C2460="","",IFERROR(INDEX(CAT_GRUPO,MATCH($C2460,CAT_NOME,0)),"Sem categoria"))</f>
        <v/>
      </c>
      <c r="F2460" s="76" t="n"/>
      <c r="G2460" s="74" t="n"/>
      <c r="H2460" s="74" t="n"/>
      <c r="I2460" s="74" t="n"/>
      <c r="J2460" s="77" t="n"/>
      <c r="K2460" s="77" t="n"/>
      <c r="L2460" s="74" t="n"/>
      <c r="M2460" s="74" t="n"/>
      <c r="O2460" s="78">
        <f>IF($A2460="","",YEAR($A2460)*100+MONTH($A2460))</f>
        <v/>
      </c>
      <c r="P2460" s="79">
        <f>IF(OR($F2460="",$D2460=""),"",IF($D2460="Receita",$F2460,IF($D2460="Transferência",0,-$F2460)))</f>
        <v/>
      </c>
    </row>
    <row r="2461">
      <c r="A2461" s="73" t="n"/>
      <c r="B2461" s="74" t="n"/>
      <c r="C2461" s="74" t="n"/>
      <c r="D2461" s="75">
        <f>IF($C2461="","",IFERROR(INDEX(CAT_TIPO,MATCH($C2461,CAT_NOME,0)),"Sem categoria"))</f>
        <v/>
      </c>
      <c r="E2461" s="75">
        <f>IF($C2461="","",IFERROR(INDEX(CAT_GRUPO,MATCH($C2461,CAT_NOME,0)),"Sem categoria"))</f>
        <v/>
      </c>
      <c r="F2461" s="76" t="n"/>
      <c r="G2461" s="74" t="n"/>
      <c r="H2461" s="74" t="n"/>
      <c r="I2461" s="74" t="n"/>
      <c r="J2461" s="77" t="n"/>
      <c r="K2461" s="77" t="n"/>
      <c r="L2461" s="74" t="n"/>
      <c r="M2461" s="74" t="n"/>
      <c r="O2461" s="78">
        <f>IF($A2461="","",YEAR($A2461)*100+MONTH($A2461))</f>
        <v/>
      </c>
      <c r="P2461" s="79">
        <f>IF(OR($F2461="",$D2461=""),"",IF($D2461="Receita",$F2461,IF($D2461="Transferência",0,-$F2461)))</f>
        <v/>
      </c>
    </row>
    <row r="2462">
      <c r="A2462" s="73" t="n"/>
      <c r="B2462" s="74" t="n"/>
      <c r="C2462" s="74" t="n"/>
      <c r="D2462" s="75">
        <f>IF($C2462="","",IFERROR(INDEX(CAT_TIPO,MATCH($C2462,CAT_NOME,0)),"Sem categoria"))</f>
        <v/>
      </c>
      <c r="E2462" s="75">
        <f>IF($C2462="","",IFERROR(INDEX(CAT_GRUPO,MATCH($C2462,CAT_NOME,0)),"Sem categoria"))</f>
        <v/>
      </c>
      <c r="F2462" s="76" t="n"/>
      <c r="G2462" s="74" t="n"/>
      <c r="H2462" s="74" t="n"/>
      <c r="I2462" s="74" t="n"/>
      <c r="J2462" s="77" t="n"/>
      <c r="K2462" s="77" t="n"/>
      <c r="L2462" s="74" t="n"/>
      <c r="M2462" s="74" t="n"/>
      <c r="O2462" s="78">
        <f>IF($A2462="","",YEAR($A2462)*100+MONTH($A2462))</f>
        <v/>
      </c>
      <c r="P2462" s="79">
        <f>IF(OR($F2462="",$D2462=""),"",IF($D2462="Receita",$F2462,IF($D2462="Transferência",0,-$F2462)))</f>
        <v/>
      </c>
    </row>
    <row r="2463">
      <c r="A2463" s="73" t="n"/>
      <c r="B2463" s="74" t="n"/>
      <c r="C2463" s="74" t="n"/>
      <c r="D2463" s="75">
        <f>IF($C2463="","",IFERROR(INDEX(CAT_TIPO,MATCH($C2463,CAT_NOME,0)),"Sem categoria"))</f>
        <v/>
      </c>
      <c r="E2463" s="75">
        <f>IF($C2463="","",IFERROR(INDEX(CAT_GRUPO,MATCH($C2463,CAT_NOME,0)),"Sem categoria"))</f>
        <v/>
      </c>
      <c r="F2463" s="76" t="n"/>
      <c r="G2463" s="74" t="n"/>
      <c r="H2463" s="74" t="n"/>
      <c r="I2463" s="74" t="n"/>
      <c r="J2463" s="77" t="n"/>
      <c r="K2463" s="77" t="n"/>
      <c r="L2463" s="74" t="n"/>
      <c r="M2463" s="74" t="n"/>
      <c r="O2463" s="78">
        <f>IF($A2463="","",YEAR($A2463)*100+MONTH($A2463))</f>
        <v/>
      </c>
      <c r="P2463" s="79">
        <f>IF(OR($F2463="",$D2463=""),"",IF($D2463="Receita",$F2463,IF($D2463="Transferência",0,-$F2463)))</f>
        <v/>
      </c>
    </row>
    <row r="2464">
      <c r="A2464" s="73" t="n"/>
      <c r="B2464" s="74" t="n"/>
      <c r="C2464" s="74" t="n"/>
      <c r="D2464" s="75">
        <f>IF($C2464="","",IFERROR(INDEX(CAT_TIPO,MATCH($C2464,CAT_NOME,0)),"Sem categoria"))</f>
        <v/>
      </c>
      <c r="E2464" s="75">
        <f>IF($C2464="","",IFERROR(INDEX(CAT_GRUPO,MATCH($C2464,CAT_NOME,0)),"Sem categoria"))</f>
        <v/>
      </c>
      <c r="F2464" s="76" t="n"/>
      <c r="G2464" s="74" t="n"/>
      <c r="H2464" s="74" t="n"/>
      <c r="I2464" s="74" t="n"/>
      <c r="J2464" s="77" t="n"/>
      <c r="K2464" s="77" t="n"/>
      <c r="L2464" s="74" t="n"/>
      <c r="M2464" s="74" t="n"/>
      <c r="O2464" s="78">
        <f>IF($A2464="","",YEAR($A2464)*100+MONTH($A2464))</f>
        <v/>
      </c>
      <c r="P2464" s="79">
        <f>IF(OR($F2464="",$D2464=""),"",IF($D2464="Receita",$F2464,IF($D2464="Transferência",0,-$F2464)))</f>
        <v/>
      </c>
    </row>
    <row r="2465">
      <c r="A2465" s="73" t="n"/>
      <c r="B2465" s="74" t="n"/>
      <c r="C2465" s="74" t="n"/>
      <c r="D2465" s="75">
        <f>IF($C2465="","",IFERROR(INDEX(CAT_TIPO,MATCH($C2465,CAT_NOME,0)),"Sem categoria"))</f>
        <v/>
      </c>
      <c r="E2465" s="75">
        <f>IF($C2465="","",IFERROR(INDEX(CAT_GRUPO,MATCH($C2465,CAT_NOME,0)),"Sem categoria"))</f>
        <v/>
      </c>
      <c r="F2465" s="76" t="n"/>
      <c r="G2465" s="74" t="n"/>
      <c r="H2465" s="74" t="n"/>
      <c r="I2465" s="74" t="n"/>
      <c r="J2465" s="77" t="n"/>
      <c r="K2465" s="77" t="n"/>
      <c r="L2465" s="74" t="n"/>
      <c r="M2465" s="74" t="n"/>
      <c r="O2465" s="78">
        <f>IF($A2465="","",YEAR($A2465)*100+MONTH($A2465))</f>
        <v/>
      </c>
      <c r="P2465" s="79">
        <f>IF(OR($F2465="",$D2465=""),"",IF($D2465="Receita",$F2465,IF($D2465="Transferência",0,-$F2465)))</f>
        <v/>
      </c>
    </row>
    <row r="2466">
      <c r="A2466" s="73" t="n"/>
      <c r="B2466" s="74" t="n"/>
      <c r="C2466" s="74" t="n"/>
      <c r="D2466" s="75">
        <f>IF($C2466="","",IFERROR(INDEX(CAT_TIPO,MATCH($C2466,CAT_NOME,0)),"Sem categoria"))</f>
        <v/>
      </c>
      <c r="E2466" s="75">
        <f>IF($C2466="","",IFERROR(INDEX(CAT_GRUPO,MATCH($C2466,CAT_NOME,0)),"Sem categoria"))</f>
        <v/>
      </c>
      <c r="F2466" s="76" t="n"/>
      <c r="G2466" s="74" t="n"/>
      <c r="H2466" s="74" t="n"/>
      <c r="I2466" s="74" t="n"/>
      <c r="J2466" s="77" t="n"/>
      <c r="K2466" s="77" t="n"/>
      <c r="L2466" s="74" t="n"/>
      <c r="M2466" s="74" t="n"/>
      <c r="O2466" s="78">
        <f>IF($A2466="","",YEAR($A2466)*100+MONTH($A2466))</f>
        <v/>
      </c>
      <c r="P2466" s="79">
        <f>IF(OR($F2466="",$D2466=""),"",IF($D2466="Receita",$F2466,IF($D2466="Transferência",0,-$F2466)))</f>
        <v/>
      </c>
    </row>
    <row r="2467">
      <c r="A2467" s="73" t="n"/>
      <c r="B2467" s="74" t="n"/>
      <c r="C2467" s="74" t="n"/>
      <c r="D2467" s="75">
        <f>IF($C2467="","",IFERROR(INDEX(CAT_TIPO,MATCH($C2467,CAT_NOME,0)),"Sem categoria"))</f>
        <v/>
      </c>
      <c r="E2467" s="75">
        <f>IF($C2467="","",IFERROR(INDEX(CAT_GRUPO,MATCH($C2467,CAT_NOME,0)),"Sem categoria"))</f>
        <v/>
      </c>
      <c r="F2467" s="76" t="n"/>
      <c r="G2467" s="74" t="n"/>
      <c r="H2467" s="74" t="n"/>
      <c r="I2467" s="74" t="n"/>
      <c r="J2467" s="77" t="n"/>
      <c r="K2467" s="77" t="n"/>
      <c r="L2467" s="74" t="n"/>
      <c r="M2467" s="74" t="n"/>
      <c r="O2467" s="78">
        <f>IF($A2467="","",YEAR($A2467)*100+MONTH($A2467))</f>
        <v/>
      </c>
      <c r="P2467" s="79">
        <f>IF(OR($F2467="",$D2467=""),"",IF($D2467="Receita",$F2467,IF($D2467="Transferência",0,-$F2467)))</f>
        <v/>
      </c>
    </row>
    <row r="2468">
      <c r="A2468" s="73" t="n"/>
      <c r="B2468" s="74" t="n"/>
      <c r="C2468" s="74" t="n"/>
      <c r="D2468" s="75">
        <f>IF($C2468="","",IFERROR(INDEX(CAT_TIPO,MATCH($C2468,CAT_NOME,0)),"Sem categoria"))</f>
        <v/>
      </c>
      <c r="E2468" s="75">
        <f>IF($C2468="","",IFERROR(INDEX(CAT_GRUPO,MATCH($C2468,CAT_NOME,0)),"Sem categoria"))</f>
        <v/>
      </c>
      <c r="F2468" s="76" t="n"/>
      <c r="G2468" s="74" t="n"/>
      <c r="H2468" s="74" t="n"/>
      <c r="I2468" s="74" t="n"/>
      <c r="J2468" s="77" t="n"/>
      <c r="K2468" s="77" t="n"/>
      <c r="L2468" s="74" t="n"/>
      <c r="M2468" s="74" t="n"/>
      <c r="O2468" s="78">
        <f>IF($A2468="","",YEAR($A2468)*100+MONTH($A2468))</f>
        <v/>
      </c>
      <c r="P2468" s="79">
        <f>IF(OR($F2468="",$D2468=""),"",IF($D2468="Receita",$F2468,IF($D2468="Transferência",0,-$F2468)))</f>
        <v/>
      </c>
    </row>
    <row r="2469">
      <c r="A2469" s="73" t="n"/>
      <c r="B2469" s="74" t="n"/>
      <c r="C2469" s="74" t="n"/>
      <c r="D2469" s="75">
        <f>IF($C2469="","",IFERROR(INDEX(CAT_TIPO,MATCH($C2469,CAT_NOME,0)),"Sem categoria"))</f>
        <v/>
      </c>
      <c r="E2469" s="75">
        <f>IF($C2469="","",IFERROR(INDEX(CAT_GRUPO,MATCH($C2469,CAT_NOME,0)),"Sem categoria"))</f>
        <v/>
      </c>
      <c r="F2469" s="76" t="n"/>
      <c r="G2469" s="74" t="n"/>
      <c r="H2469" s="74" t="n"/>
      <c r="I2469" s="74" t="n"/>
      <c r="J2469" s="77" t="n"/>
      <c r="K2469" s="77" t="n"/>
      <c r="L2469" s="74" t="n"/>
      <c r="M2469" s="74" t="n"/>
      <c r="O2469" s="78">
        <f>IF($A2469="","",YEAR($A2469)*100+MONTH($A2469))</f>
        <v/>
      </c>
      <c r="P2469" s="79">
        <f>IF(OR($F2469="",$D2469=""),"",IF($D2469="Receita",$F2469,IF($D2469="Transferência",0,-$F2469)))</f>
        <v/>
      </c>
    </row>
    <row r="2470">
      <c r="A2470" s="73" t="n"/>
      <c r="B2470" s="74" t="n"/>
      <c r="C2470" s="74" t="n"/>
      <c r="D2470" s="75">
        <f>IF($C2470="","",IFERROR(INDEX(CAT_TIPO,MATCH($C2470,CAT_NOME,0)),"Sem categoria"))</f>
        <v/>
      </c>
      <c r="E2470" s="75">
        <f>IF($C2470="","",IFERROR(INDEX(CAT_GRUPO,MATCH($C2470,CAT_NOME,0)),"Sem categoria"))</f>
        <v/>
      </c>
      <c r="F2470" s="76" t="n"/>
      <c r="G2470" s="74" t="n"/>
      <c r="H2470" s="74" t="n"/>
      <c r="I2470" s="74" t="n"/>
      <c r="J2470" s="77" t="n"/>
      <c r="K2470" s="77" t="n"/>
      <c r="L2470" s="74" t="n"/>
      <c r="M2470" s="74" t="n"/>
      <c r="O2470" s="78">
        <f>IF($A2470="","",YEAR($A2470)*100+MONTH($A2470))</f>
        <v/>
      </c>
      <c r="P2470" s="79">
        <f>IF(OR($F2470="",$D2470=""),"",IF($D2470="Receita",$F2470,IF($D2470="Transferência",0,-$F2470)))</f>
        <v/>
      </c>
    </row>
    <row r="2471">
      <c r="A2471" s="73" t="n"/>
      <c r="B2471" s="74" t="n"/>
      <c r="C2471" s="74" t="n"/>
      <c r="D2471" s="75">
        <f>IF($C2471="","",IFERROR(INDEX(CAT_TIPO,MATCH($C2471,CAT_NOME,0)),"Sem categoria"))</f>
        <v/>
      </c>
      <c r="E2471" s="75">
        <f>IF($C2471="","",IFERROR(INDEX(CAT_GRUPO,MATCH($C2471,CAT_NOME,0)),"Sem categoria"))</f>
        <v/>
      </c>
      <c r="F2471" s="76" t="n"/>
      <c r="G2471" s="74" t="n"/>
      <c r="H2471" s="74" t="n"/>
      <c r="I2471" s="74" t="n"/>
      <c r="J2471" s="77" t="n"/>
      <c r="K2471" s="77" t="n"/>
      <c r="L2471" s="74" t="n"/>
      <c r="M2471" s="74" t="n"/>
      <c r="O2471" s="78">
        <f>IF($A2471="","",YEAR($A2471)*100+MONTH($A2471))</f>
        <v/>
      </c>
      <c r="P2471" s="79">
        <f>IF(OR($F2471="",$D2471=""),"",IF($D2471="Receita",$F2471,IF($D2471="Transferência",0,-$F2471)))</f>
        <v/>
      </c>
    </row>
    <row r="2472">
      <c r="A2472" s="73" t="n"/>
      <c r="B2472" s="74" t="n"/>
      <c r="C2472" s="74" t="n"/>
      <c r="D2472" s="75">
        <f>IF($C2472="","",IFERROR(INDEX(CAT_TIPO,MATCH($C2472,CAT_NOME,0)),"Sem categoria"))</f>
        <v/>
      </c>
      <c r="E2472" s="75">
        <f>IF($C2472="","",IFERROR(INDEX(CAT_GRUPO,MATCH($C2472,CAT_NOME,0)),"Sem categoria"))</f>
        <v/>
      </c>
      <c r="F2472" s="76" t="n"/>
      <c r="G2472" s="74" t="n"/>
      <c r="H2472" s="74" t="n"/>
      <c r="I2472" s="74" t="n"/>
      <c r="J2472" s="77" t="n"/>
      <c r="K2472" s="77" t="n"/>
      <c r="L2472" s="74" t="n"/>
      <c r="M2472" s="74" t="n"/>
      <c r="O2472" s="78">
        <f>IF($A2472="","",YEAR($A2472)*100+MONTH($A2472))</f>
        <v/>
      </c>
      <c r="P2472" s="79">
        <f>IF(OR($F2472="",$D2472=""),"",IF($D2472="Receita",$F2472,IF($D2472="Transferência",0,-$F2472)))</f>
        <v/>
      </c>
    </row>
    <row r="2473">
      <c r="A2473" s="73" t="n"/>
      <c r="B2473" s="74" t="n"/>
      <c r="C2473" s="74" t="n"/>
      <c r="D2473" s="75">
        <f>IF($C2473="","",IFERROR(INDEX(CAT_TIPO,MATCH($C2473,CAT_NOME,0)),"Sem categoria"))</f>
        <v/>
      </c>
      <c r="E2473" s="75">
        <f>IF($C2473="","",IFERROR(INDEX(CAT_GRUPO,MATCH($C2473,CAT_NOME,0)),"Sem categoria"))</f>
        <v/>
      </c>
      <c r="F2473" s="76" t="n"/>
      <c r="G2473" s="74" t="n"/>
      <c r="H2473" s="74" t="n"/>
      <c r="I2473" s="74" t="n"/>
      <c r="J2473" s="77" t="n"/>
      <c r="K2473" s="77" t="n"/>
      <c r="L2473" s="74" t="n"/>
      <c r="M2473" s="74" t="n"/>
      <c r="O2473" s="78">
        <f>IF($A2473="","",YEAR($A2473)*100+MONTH($A2473))</f>
        <v/>
      </c>
      <c r="P2473" s="79">
        <f>IF(OR($F2473="",$D2473=""),"",IF($D2473="Receita",$F2473,IF($D2473="Transferência",0,-$F2473)))</f>
        <v/>
      </c>
    </row>
    <row r="2474">
      <c r="A2474" s="73" t="n"/>
      <c r="B2474" s="74" t="n"/>
      <c r="C2474" s="74" t="n"/>
      <c r="D2474" s="75">
        <f>IF($C2474="","",IFERROR(INDEX(CAT_TIPO,MATCH($C2474,CAT_NOME,0)),"Sem categoria"))</f>
        <v/>
      </c>
      <c r="E2474" s="75">
        <f>IF($C2474="","",IFERROR(INDEX(CAT_GRUPO,MATCH($C2474,CAT_NOME,0)),"Sem categoria"))</f>
        <v/>
      </c>
      <c r="F2474" s="76" t="n"/>
      <c r="G2474" s="74" t="n"/>
      <c r="H2474" s="74" t="n"/>
      <c r="I2474" s="74" t="n"/>
      <c r="J2474" s="77" t="n"/>
      <c r="K2474" s="77" t="n"/>
      <c r="L2474" s="74" t="n"/>
      <c r="M2474" s="74" t="n"/>
      <c r="O2474" s="78">
        <f>IF($A2474="","",YEAR($A2474)*100+MONTH($A2474))</f>
        <v/>
      </c>
      <c r="P2474" s="79">
        <f>IF(OR($F2474="",$D2474=""),"",IF($D2474="Receita",$F2474,IF($D2474="Transferência",0,-$F2474)))</f>
        <v/>
      </c>
    </row>
    <row r="2475">
      <c r="A2475" s="73" t="n"/>
      <c r="B2475" s="74" t="n"/>
      <c r="C2475" s="74" t="n"/>
      <c r="D2475" s="75">
        <f>IF($C2475="","",IFERROR(INDEX(CAT_TIPO,MATCH($C2475,CAT_NOME,0)),"Sem categoria"))</f>
        <v/>
      </c>
      <c r="E2475" s="75">
        <f>IF($C2475="","",IFERROR(INDEX(CAT_GRUPO,MATCH($C2475,CAT_NOME,0)),"Sem categoria"))</f>
        <v/>
      </c>
      <c r="F2475" s="76" t="n"/>
      <c r="G2475" s="74" t="n"/>
      <c r="H2475" s="74" t="n"/>
      <c r="I2475" s="74" t="n"/>
      <c r="J2475" s="77" t="n"/>
      <c r="K2475" s="77" t="n"/>
      <c r="L2475" s="74" t="n"/>
      <c r="M2475" s="74" t="n"/>
      <c r="O2475" s="78">
        <f>IF($A2475="","",YEAR($A2475)*100+MONTH($A2475))</f>
        <v/>
      </c>
      <c r="P2475" s="79">
        <f>IF(OR($F2475="",$D2475=""),"",IF($D2475="Receita",$F2475,IF($D2475="Transferência",0,-$F2475)))</f>
        <v/>
      </c>
    </row>
    <row r="2476">
      <c r="A2476" s="73" t="n"/>
      <c r="B2476" s="74" t="n"/>
      <c r="C2476" s="74" t="n"/>
      <c r="D2476" s="75">
        <f>IF($C2476="","",IFERROR(INDEX(CAT_TIPO,MATCH($C2476,CAT_NOME,0)),"Sem categoria"))</f>
        <v/>
      </c>
      <c r="E2476" s="75">
        <f>IF($C2476="","",IFERROR(INDEX(CAT_GRUPO,MATCH($C2476,CAT_NOME,0)),"Sem categoria"))</f>
        <v/>
      </c>
      <c r="F2476" s="76" t="n"/>
      <c r="G2476" s="74" t="n"/>
      <c r="H2476" s="74" t="n"/>
      <c r="I2476" s="74" t="n"/>
      <c r="J2476" s="77" t="n"/>
      <c r="K2476" s="77" t="n"/>
      <c r="L2476" s="74" t="n"/>
      <c r="M2476" s="74" t="n"/>
      <c r="O2476" s="78">
        <f>IF($A2476="","",YEAR($A2476)*100+MONTH($A2476))</f>
        <v/>
      </c>
      <c r="P2476" s="79">
        <f>IF(OR($F2476="",$D2476=""),"",IF($D2476="Receita",$F2476,IF($D2476="Transferência",0,-$F2476)))</f>
        <v/>
      </c>
    </row>
    <row r="2477">
      <c r="A2477" s="73" t="n"/>
      <c r="B2477" s="74" t="n"/>
      <c r="C2477" s="74" t="n"/>
      <c r="D2477" s="75">
        <f>IF($C2477="","",IFERROR(INDEX(CAT_TIPO,MATCH($C2477,CAT_NOME,0)),"Sem categoria"))</f>
        <v/>
      </c>
      <c r="E2477" s="75">
        <f>IF($C2477="","",IFERROR(INDEX(CAT_GRUPO,MATCH($C2477,CAT_NOME,0)),"Sem categoria"))</f>
        <v/>
      </c>
      <c r="F2477" s="76" t="n"/>
      <c r="G2477" s="74" t="n"/>
      <c r="H2477" s="74" t="n"/>
      <c r="I2477" s="74" t="n"/>
      <c r="J2477" s="77" t="n"/>
      <c r="K2477" s="77" t="n"/>
      <c r="L2477" s="74" t="n"/>
      <c r="M2477" s="74" t="n"/>
      <c r="O2477" s="78">
        <f>IF($A2477="","",YEAR($A2477)*100+MONTH($A2477))</f>
        <v/>
      </c>
      <c r="P2477" s="79">
        <f>IF(OR($F2477="",$D2477=""),"",IF($D2477="Receita",$F2477,IF($D2477="Transferência",0,-$F2477)))</f>
        <v/>
      </c>
    </row>
    <row r="2478">
      <c r="A2478" s="73" t="n"/>
      <c r="B2478" s="74" t="n"/>
      <c r="C2478" s="74" t="n"/>
      <c r="D2478" s="75">
        <f>IF($C2478="","",IFERROR(INDEX(CAT_TIPO,MATCH($C2478,CAT_NOME,0)),"Sem categoria"))</f>
        <v/>
      </c>
      <c r="E2478" s="75">
        <f>IF($C2478="","",IFERROR(INDEX(CAT_GRUPO,MATCH($C2478,CAT_NOME,0)),"Sem categoria"))</f>
        <v/>
      </c>
      <c r="F2478" s="76" t="n"/>
      <c r="G2478" s="74" t="n"/>
      <c r="H2478" s="74" t="n"/>
      <c r="I2478" s="74" t="n"/>
      <c r="J2478" s="77" t="n"/>
      <c r="K2478" s="77" t="n"/>
      <c r="L2478" s="74" t="n"/>
      <c r="M2478" s="74" t="n"/>
      <c r="O2478" s="78">
        <f>IF($A2478="","",YEAR($A2478)*100+MONTH($A2478))</f>
        <v/>
      </c>
      <c r="P2478" s="79">
        <f>IF(OR($F2478="",$D2478=""),"",IF($D2478="Receita",$F2478,IF($D2478="Transferência",0,-$F2478)))</f>
        <v/>
      </c>
    </row>
    <row r="2479">
      <c r="A2479" s="73" t="n"/>
      <c r="B2479" s="74" t="n"/>
      <c r="C2479" s="74" t="n"/>
      <c r="D2479" s="75">
        <f>IF($C2479="","",IFERROR(INDEX(CAT_TIPO,MATCH($C2479,CAT_NOME,0)),"Sem categoria"))</f>
        <v/>
      </c>
      <c r="E2479" s="75">
        <f>IF($C2479="","",IFERROR(INDEX(CAT_GRUPO,MATCH($C2479,CAT_NOME,0)),"Sem categoria"))</f>
        <v/>
      </c>
      <c r="F2479" s="76" t="n"/>
      <c r="G2479" s="74" t="n"/>
      <c r="H2479" s="74" t="n"/>
      <c r="I2479" s="74" t="n"/>
      <c r="J2479" s="77" t="n"/>
      <c r="K2479" s="77" t="n"/>
      <c r="L2479" s="74" t="n"/>
      <c r="M2479" s="74" t="n"/>
      <c r="O2479" s="78">
        <f>IF($A2479="","",YEAR($A2479)*100+MONTH($A2479))</f>
        <v/>
      </c>
      <c r="P2479" s="79">
        <f>IF(OR($F2479="",$D2479=""),"",IF($D2479="Receita",$F2479,IF($D2479="Transferência",0,-$F2479)))</f>
        <v/>
      </c>
    </row>
    <row r="2480">
      <c r="A2480" s="73" t="n"/>
      <c r="B2480" s="74" t="n"/>
      <c r="C2480" s="74" t="n"/>
      <c r="D2480" s="75">
        <f>IF($C2480="","",IFERROR(INDEX(CAT_TIPO,MATCH($C2480,CAT_NOME,0)),"Sem categoria"))</f>
        <v/>
      </c>
      <c r="E2480" s="75">
        <f>IF($C2480="","",IFERROR(INDEX(CAT_GRUPO,MATCH($C2480,CAT_NOME,0)),"Sem categoria"))</f>
        <v/>
      </c>
      <c r="F2480" s="76" t="n"/>
      <c r="G2480" s="74" t="n"/>
      <c r="H2480" s="74" t="n"/>
      <c r="I2480" s="74" t="n"/>
      <c r="J2480" s="77" t="n"/>
      <c r="K2480" s="77" t="n"/>
      <c r="L2480" s="74" t="n"/>
      <c r="M2480" s="74" t="n"/>
      <c r="O2480" s="78">
        <f>IF($A2480="","",YEAR($A2480)*100+MONTH($A2480))</f>
        <v/>
      </c>
      <c r="P2480" s="79">
        <f>IF(OR($F2480="",$D2480=""),"",IF($D2480="Receita",$F2480,IF($D2480="Transferência",0,-$F2480)))</f>
        <v/>
      </c>
    </row>
    <row r="2481">
      <c r="A2481" s="73" t="n"/>
      <c r="B2481" s="74" t="n"/>
      <c r="C2481" s="74" t="n"/>
      <c r="D2481" s="75">
        <f>IF($C2481="","",IFERROR(INDEX(CAT_TIPO,MATCH($C2481,CAT_NOME,0)),"Sem categoria"))</f>
        <v/>
      </c>
      <c r="E2481" s="75">
        <f>IF($C2481="","",IFERROR(INDEX(CAT_GRUPO,MATCH($C2481,CAT_NOME,0)),"Sem categoria"))</f>
        <v/>
      </c>
      <c r="F2481" s="76" t="n"/>
      <c r="G2481" s="74" t="n"/>
      <c r="H2481" s="74" t="n"/>
      <c r="I2481" s="74" t="n"/>
      <c r="J2481" s="77" t="n"/>
      <c r="K2481" s="77" t="n"/>
      <c r="L2481" s="74" t="n"/>
      <c r="M2481" s="74" t="n"/>
      <c r="O2481" s="78">
        <f>IF($A2481="","",YEAR($A2481)*100+MONTH($A2481))</f>
        <v/>
      </c>
      <c r="P2481" s="79">
        <f>IF(OR($F2481="",$D2481=""),"",IF($D2481="Receita",$F2481,IF($D2481="Transferência",0,-$F2481)))</f>
        <v/>
      </c>
    </row>
    <row r="2482">
      <c r="A2482" s="73" t="n"/>
      <c r="B2482" s="74" t="n"/>
      <c r="C2482" s="74" t="n"/>
      <c r="D2482" s="75">
        <f>IF($C2482="","",IFERROR(INDEX(CAT_TIPO,MATCH($C2482,CAT_NOME,0)),"Sem categoria"))</f>
        <v/>
      </c>
      <c r="E2482" s="75">
        <f>IF($C2482="","",IFERROR(INDEX(CAT_GRUPO,MATCH($C2482,CAT_NOME,0)),"Sem categoria"))</f>
        <v/>
      </c>
      <c r="F2482" s="76" t="n"/>
      <c r="G2482" s="74" t="n"/>
      <c r="H2482" s="74" t="n"/>
      <c r="I2482" s="74" t="n"/>
      <c r="J2482" s="77" t="n"/>
      <c r="K2482" s="77" t="n"/>
      <c r="L2482" s="74" t="n"/>
      <c r="M2482" s="74" t="n"/>
      <c r="O2482" s="78">
        <f>IF($A2482="","",YEAR($A2482)*100+MONTH($A2482))</f>
        <v/>
      </c>
      <c r="P2482" s="79">
        <f>IF(OR($F2482="",$D2482=""),"",IF($D2482="Receita",$F2482,IF($D2482="Transferência",0,-$F2482)))</f>
        <v/>
      </c>
    </row>
    <row r="2483">
      <c r="A2483" s="73" t="n"/>
      <c r="B2483" s="74" t="n"/>
      <c r="C2483" s="74" t="n"/>
      <c r="D2483" s="75">
        <f>IF($C2483="","",IFERROR(INDEX(CAT_TIPO,MATCH($C2483,CAT_NOME,0)),"Sem categoria"))</f>
        <v/>
      </c>
      <c r="E2483" s="75">
        <f>IF($C2483="","",IFERROR(INDEX(CAT_GRUPO,MATCH($C2483,CAT_NOME,0)),"Sem categoria"))</f>
        <v/>
      </c>
      <c r="F2483" s="76" t="n"/>
      <c r="G2483" s="74" t="n"/>
      <c r="H2483" s="74" t="n"/>
      <c r="I2483" s="74" t="n"/>
      <c r="J2483" s="77" t="n"/>
      <c r="K2483" s="77" t="n"/>
      <c r="L2483" s="74" t="n"/>
      <c r="M2483" s="74" t="n"/>
      <c r="O2483" s="78">
        <f>IF($A2483="","",YEAR($A2483)*100+MONTH($A2483))</f>
        <v/>
      </c>
      <c r="P2483" s="79">
        <f>IF(OR($F2483="",$D2483=""),"",IF($D2483="Receita",$F2483,IF($D2483="Transferência",0,-$F2483)))</f>
        <v/>
      </c>
    </row>
    <row r="2484">
      <c r="A2484" s="73" t="n"/>
      <c r="B2484" s="74" t="n"/>
      <c r="C2484" s="74" t="n"/>
      <c r="D2484" s="75">
        <f>IF($C2484="","",IFERROR(INDEX(CAT_TIPO,MATCH($C2484,CAT_NOME,0)),"Sem categoria"))</f>
        <v/>
      </c>
      <c r="E2484" s="75">
        <f>IF($C2484="","",IFERROR(INDEX(CAT_GRUPO,MATCH($C2484,CAT_NOME,0)),"Sem categoria"))</f>
        <v/>
      </c>
      <c r="F2484" s="76" t="n"/>
      <c r="G2484" s="74" t="n"/>
      <c r="H2484" s="74" t="n"/>
      <c r="I2484" s="74" t="n"/>
      <c r="J2484" s="77" t="n"/>
      <c r="K2484" s="77" t="n"/>
      <c r="L2484" s="74" t="n"/>
      <c r="M2484" s="74" t="n"/>
      <c r="O2484" s="78">
        <f>IF($A2484="","",YEAR($A2484)*100+MONTH($A2484))</f>
        <v/>
      </c>
      <c r="P2484" s="79">
        <f>IF(OR($F2484="",$D2484=""),"",IF($D2484="Receita",$F2484,IF($D2484="Transferência",0,-$F2484)))</f>
        <v/>
      </c>
    </row>
    <row r="2485">
      <c r="A2485" s="73" t="n"/>
      <c r="B2485" s="74" t="n"/>
      <c r="C2485" s="74" t="n"/>
      <c r="D2485" s="75">
        <f>IF($C2485="","",IFERROR(INDEX(CAT_TIPO,MATCH($C2485,CAT_NOME,0)),"Sem categoria"))</f>
        <v/>
      </c>
      <c r="E2485" s="75">
        <f>IF($C2485="","",IFERROR(INDEX(CAT_GRUPO,MATCH($C2485,CAT_NOME,0)),"Sem categoria"))</f>
        <v/>
      </c>
      <c r="F2485" s="76" t="n"/>
      <c r="G2485" s="74" t="n"/>
      <c r="H2485" s="74" t="n"/>
      <c r="I2485" s="74" t="n"/>
      <c r="J2485" s="77" t="n"/>
      <c r="K2485" s="77" t="n"/>
      <c r="L2485" s="74" t="n"/>
      <c r="M2485" s="74" t="n"/>
      <c r="O2485" s="78">
        <f>IF($A2485="","",YEAR($A2485)*100+MONTH($A2485))</f>
        <v/>
      </c>
      <c r="P2485" s="79">
        <f>IF(OR($F2485="",$D2485=""),"",IF($D2485="Receita",$F2485,IF($D2485="Transferência",0,-$F2485)))</f>
        <v/>
      </c>
    </row>
    <row r="2486">
      <c r="A2486" s="73" t="n"/>
      <c r="B2486" s="74" t="n"/>
      <c r="C2486" s="74" t="n"/>
      <c r="D2486" s="75">
        <f>IF($C2486="","",IFERROR(INDEX(CAT_TIPO,MATCH($C2486,CAT_NOME,0)),"Sem categoria"))</f>
        <v/>
      </c>
      <c r="E2486" s="75">
        <f>IF($C2486="","",IFERROR(INDEX(CAT_GRUPO,MATCH($C2486,CAT_NOME,0)),"Sem categoria"))</f>
        <v/>
      </c>
      <c r="F2486" s="76" t="n"/>
      <c r="G2486" s="74" t="n"/>
      <c r="H2486" s="74" t="n"/>
      <c r="I2486" s="74" t="n"/>
      <c r="J2486" s="77" t="n"/>
      <c r="K2486" s="77" t="n"/>
      <c r="L2486" s="74" t="n"/>
      <c r="M2486" s="74" t="n"/>
      <c r="O2486" s="78">
        <f>IF($A2486="","",YEAR($A2486)*100+MONTH($A2486))</f>
        <v/>
      </c>
      <c r="P2486" s="79">
        <f>IF(OR($F2486="",$D2486=""),"",IF($D2486="Receita",$F2486,IF($D2486="Transferência",0,-$F2486)))</f>
        <v/>
      </c>
    </row>
    <row r="2487">
      <c r="A2487" s="73" t="n"/>
      <c r="B2487" s="74" t="n"/>
      <c r="C2487" s="74" t="n"/>
      <c r="D2487" s="75">
        <f>IF($C2487="","",IFERROR(INDEX(CAT_TIPO,MATCH($C2487,CAT_NOME,0)),"Sem categoria"))</f>
        <v/>
      </c>
      <c r="E2487" s="75">
        <f>IF($C2487="","",IFERROR(INDEX(CAT_GRUPO,MATCH($C2487,CAT_NOME,0)),"Sem categoria"))</f>
        <v/>
      </c>
      <c r="F2487" s="76" t="n"/>
      <c r="G2487" s="74" t="n"/>
      <c r="H2487" s="74" t="n"/>
      <c r="I2487" s="74" t="n"/>
      <c r="J2487" s="77" t="n"/>
      <c r="K2487" s="77" t="n"/>
      <c r="L2487" s="74" t="n"/>
      <c r="M2487" s="74" t="n"/>
      <c r="O2487" s="78">
        <f>IF($A2487="","",YEAR($A2487)*100+MONTH($A2487))</f>
        <v/>
      </c>
      <c r="P2487" s="79">
        <f>IF(OR($F2487="",$D2487=""),"",IF($D2487="Receita",$F2487,IF($D2487="Transferência",0,-$F2487)))</f>
        <v/>
      </c>
    </row>
    <row r="2488">
      <c r="A2488" s="73" t="n"/>
      <c r="B2488" s="74" t="n"/>
      <c r="C2488" s="74" t="n"/>
      <c r="D2488" s="75">
        <f>IF($C2488="","",IFERROR(INDEX(CAT_TIPO,MATCH($C2488,CAT_NOME,0)),"Sem categoria"))</f>
        <v/>
      </c>
      <c r="E2488" s="75">
        <f>IF($C2488="","",IFERROR(INDEX(CAT_GRUPO,MATCH($C2488,CAT_NOME,0)),"Sem categoria"))</f>
        <v/>
      </c>
      <c r="F2488" s="76" t="n"/>
      <c r="G2488" s="74" t="n"/>
      <c r="H2488" s="74" t="n"/>
      <c r="I2488" s="74" t="n"/>
      <c r="J2488" s="77" t="n"/>
      <c r="K2488" s="77" t="n"/>
      <c r="L2488" s="74" t="n"/>
      <c r="M2488" s="74" t="n"/>
      <c r="O2488" s="78">
        <f>IF($A2488="","",YEAR($A2488)*100+MONTH($A2488))</f>
        <v/>
      </c>
      <c r="P2488" s="79">
        <f>IF(OR($F2488="",$D2488=""),"",IF($D2488="Receita",$F2488,IF($D2488="Transferência",0,-$F2488)))</f>
        <v/>
      </c>
    </row>
    <row r="2489">
      <c r="A2489" s="73" t="n"/>
      <c r="B2489" s="74" t="n"/>
      <c r="C2489" s="74" t="n"/>
      <c r="D2489" s="75">
        <f>IF($C2489="","",IFERROR(INDEX(CAT_TIPO,MATCH($C2489,CAT_NOME,0)),"Sem categoria"))</f>
        <v/>
      </c>
      <c r="E2489" s="75">
        <f>IF($C2489="","",IFERROR(INDEX(CAT_GRUPO,MATCH($C2489,CAT_NOME,0)),"Sem categoria"))</f>
        <v/>
      </c>
      <c r="F2489" s="76" t="n"/>
      <c r="G2489" s="74" t="n"/>
      <c r="H2489" s="74" t="n"/>
      <c r="I2489" s="74" t="n"/>
      <c r="J2489" s="77" t="n"/>
      <c r="K2489" s="77" t="n"/>
      <c r="L2489" s="74" t="n"/>
      <c r="M2489" s="74" t="n"/>
      <c r="O2489" s="78">
        <f>IF($A2489="","",YEAR($A2489)*100+MONTH($A2489))</f>
        <v/>
      </c>
      <c r="P2489" s="79">
        <f>IF(OR($F2489="",$D2489=""),"",IF($D2489="Receita",$F2489,IF($D2489="Transferência",0,-$F2489)))</f>
        <v/>
      </c>
    </row>
    <row r="2490">
      <c r="A2490" s="73" t="n"/>
      <c r="B2490" s="74" t="n"/>
      <c r="C2490" s="74" t="n"/>
      <c r="D2490" s="75">
        <f>IF($C2490="","",IFERROR(INDEX(CAT_TIPO,MATCH($C2490,CAT_NOME,0)),"Sem categoria"))</f>
        <v/>
      </c>
      <c r="E2490" s="75">
        <f>IF($C2490="","",IFERROR(INDEX(CAT_GRUPO,MATCH($C2490,CAT_NOME,0)),"Sem categoria"))</f>
        <v/>
      </c>
      <c r="F2490" s="76" t="n"/>
      <c r="G2490" s="74" t="n"/>
      <c r="H2490" s="74" t="n"/>
      <c r="I2490" s="74" t="n"/>
      <c r="J2490" s="77" t="n"/>
      <c r="K2490" s="77" t="n"/>
      <c r="L2490" s="74" t="n"/>
      <c r="M2490" s="74" t="n"/>
      <c r="O2490" s="78">
        <f>IF($A2490="","",YEAR($A2490)*100+MONTH($A2490))</f>
        <v/>
      </c>
      <c r="P2490" s="79">
        <f>IF(OR($F2490="",$D2490=""),"",IF($D2490="Receita",$F2490,IF($D2490="Transferência",0,-$F2490)))</f>
        <v/>
      </c>
    </row>
    <row r="2491">
      <c r="A2491" s="73" t="n"/>
      <c r="B2491" s="74" t="n"/>
      <c r="C2491" s="74" t="n"/>
      <c r="D2491" s="75">
        <f>IF($C2491="","",IFERROR(INDEX(CAT_TIPO,MATCH($C2491,CAT_NOME,0)),"Sem categoria"))</f>
        <v/>
      </c>
      <c r="E2491" s="75">
        <f>IF($C2491="","",IFERROR(INDEX(CAT_GRUPO,MATCH($C2491,CAT_NOME,0)),"Sem categoria"))</f>
        <v/>
      </c>
      <c r="F2491" s="76" t="n"/>
      <c r="G2491" s="74" t="n"/>
      <c r="H2491" s="74" t="n"/>
      <c r="I2491" s="74" t="n"/>
      <c r="J2491" s="77" t="n"/>
      <c r="K2491" s="77" t="n"/>
      <c r="L2491" s="74" t="n"/>
      <c r="M2491" s="74" t="n"/>
      <c r="O2491" s="78">
        <f>IF($A2491="","",YEAR($A2491)*100+MONTH($A2491))</f>
        <v/>
      </c>
      <c r="P2491" s="79">
        <f>IF(OR($F2491="",$D2491=""),"",IF($D2491="Receita",$F2491,IF($D2491="Transferência",0,-$F2491)))</f>
        <v/>
      </c>
    </row>
    <row r="2492">
      <c r="A2492" s="73" t="n"/>
      <c r="B2492" s="74" t="n"/>
      <c r="C2492" s="74" t="n"/>
      <c r="D2492" s="75">
        <f>IF($C2492="","",IFERROR(INDEX(CAT_TIPO,MATCH($C2492,CAT_NOME,0)),"Sem categoria"))</f>
        <v/>
      </c>
      <c r="E2492" s="75">
        <f>IF($C2492="","",IFERROR(INDEX(CAT_GRUPO,MATCH($C2492,CAT_NOME,0)),"Sem categoria"))</f>
        <v/>
      </c>
      <c r="F2492" s="76" t="n"/>
      <c r="G2492" s="74" t="n"/>
      <c r="H2492" s="74" t="n"/>
      <c r="I2492" s="74" t="n"/>
      <c r="J2492" s="77" t="n"/>
      <c r="K2492" s="77" t="n"/>
      <c r="L2492" s="74" t="n"/>
      <c r="M2492" s="74" t="n"/>
      <c r="O2492" s="78">
        <f>IF($A2492="","",YEAR($A2492)*100+MONTH($A2492))</f>
        <v/>
      </c>
      <c r="P2492" s="79">
        <f>IF(OR($F2492="",$D2492=""),"",IF($D2492="Receita",$F2492,IF($D2492="Transferência",0,-$F2492)))</f>
        <v/>
      </c>
    </row>
    <row r="2493">
      <c r="A2493" s="73" t="n"/>
      <c r="B2493" s="74" t="n"/>
      <c r="C2493" s="74" t="n"/>
      <c r="D2493" s="75">
        <f>IF($C2493="","",IFERROR(INDEX(CAT_TIPO,MATCH($C2493,CAT_NOME,0)),"Sem categoria"))</f>
        <v/>
      </c>
      <c r="E2493" s="75">
        <f>IF($C2493="","",IFERROR(INDEX(CAT_GRUPO,MATCH($C2493,CAT_NOME,0)),"Sem categoria"))</f>
        <v/>
      </c>
      <c r="F2493" s="76" t="n"/>
      <c r="G2493" s="74" t="n"/>
      <c r="H2493" s="74" t="n"/>
      <c r="I2493" s="74" t="n"/>
      <c r="J2493" s="77" t="n"/>
      <c r="K2493" s="77" t="n"/>
      <c r="L2493" s="74" t="n"/>
      <c r="M2493" s="74" t="n"/>
      <c r="O2493" s="78">
        <f>IF($A2493="","",YEAR($A2493)*100+MONTH($A2493))</f>
        <v/>
      </c>
      <c r="P2493" s="79">
        <f>IF(OR($F2493="",$D2493=""),"",IF($D2493="Receita",$F2493,IF($D2493="Transferência",0,-$F2493)))</f>
        <v/>
      </c>
    </row>
    <row r="2494">
      <c r="A2494" s="73" t="n"/>
      <c r="B2494" s="74" t="n"/>
      <c r="C2494" s="74" t="n"/>
      <c r="D2494" s="75">
        <f>IF($C2494="","",IFERROR(INDEX(CAT_TIPO,MATCH($C2494,CAT_NOME,0)),"Sem categoria"))</f>
        <v/>
      </c>
      <c r="E2494" s="75">
        <f>IF($C2494="","",IFERROR(INDEX(CAT_GRUPO,MATCH($C2494,CAT_NOME,0)),"Sem categoria"))</f>
        <v/>
      </c>
      <c r="F2494" s="76" t="n"/>
      <c r="G2494" s="74" t="n"/>
      <c r="H2494" s="74" t="n"/>
      <c r="I2494" s="74" t="n"/>
      <c r="J2494" s="77" t="n"/>
      <c r="K2494" s="77" t="n"/>
      <c r="L2494" s="74" t="n"/>
      <c r="M2494" s="74" t="n"/>
      <c r="O2494" s="78">
        <f>IF($A2494="","",YEAR($A2494)*100+MONTH($A2494))</f>
        <v/>
      </c>
      <c r="P2494" s="79">
        <f>IF(OR($F2494="",$D2494=""),"",IF($D2494="Receita",$F2494,IF($D2494="Transferência",0,-$F2494)))</f>
        <v/>
      </c>
    </row>
    <row r="2495">
      <c r="A2495" s="73" t="n"/>
      <c r="B2495" s="74" t="n"/>
      <c r="C2495" s="74" t="n"/>
      <c r="D2495" s="75">
        <f>IF($C2495="","",IFERROR(INDEX(CAT_TIPO,MATCH($C2495,CAT_NOME,0)),"Sem categoria"))</f>
        <v/>
      </c>
      <c r="E2495" s="75">
        <f>IF($C2495="","",IFERROR(INDEX(CAT_GRUPO,MATCH($C2495,CAT_NOME,0)),"Sem categoria"))</f>
        <v/>
      </c>
      <c r="F2495" s="76" t="n"/>
      <c r="G2495" s="74" t="n"/>
      <c r="H2495" s="74" t="n"/>
      <c r="I2495" s="74" t="n"/>
      <c r="J2495" s="77" t="n"/>
      <c r="K2495" s="77" t="n"/>
      <c r="L2495" s="74" t="n"/>
      <c r="M2495" s="74" t="n"/>
      <c r="O2495" s="78">
        <f>IF($A2495="","",YEAR($A2495)*100+MONTH($A2495))</f>
        <v/>
      </c>
      <c r="P2495" s="79">
        <f>IF(OR($F2495="",$D2495=""),"",IF($D2495="Receita",$F2495,IF($D2495="Transferência",0,-$F2495)))</f>
        <v/>
      </c>
    </row>
    <row r="2496">
      <c r="A2496" s="73" t="n"/>
      <c r="B2496" s="74" t="n"/>
      <c r="C2496" s="74" t="n"/>
      <c r="D2496" s="75">
        <f>IF($C2496="","",IFERROR(INDEX(CAT_TIPO,MATCH($C2496,CAT_NOME,0)),"Sem categoria"))</f>
        <v/>
      </c>
      <c r="E2496" s="75">
        <f>IF($C2496="","",IFERROR(INDEX(CAT_GRUPO,MATCH($C2496,CAT_NOME,0)),"Sem categoria"))</f>
        <v/>
      </c>
      <c r="F2496" s="76" t="n"/>
      <c r="G2496" s="74" t="n"/>
      <c r="H2496" s="74" t="n"/>
      <c r="I2496" s="74" t="n"/>
      <c r="J2496" s="77" t="n"/>
      <c r="K2496" s="77" t="n"/>
      <c r="L2496" s="74" t="n"/>
      <c r="M2496" s="74" t="n"/>
      <c r="O2496" s="78">
        <f>IF($A2496="","",YEAR($A2496)*100+MONTH($A2496))</f>
        <v/>
      </c>
      <c r="P2496" s="79">
        <f>IF(OR($F2496="",$D2496=""),"",IF($D2496="Receita",$F2496,IF($D2496="Transferência",0,-$F2496)))</f>
        <v/>
      </c>
    </row>
    <row r="2497">
      <c r="A2497" s="73" t="n"/>
      <c r="B2497" s="74" t="n"/>
      <c r="C2497" s="74" t="n"/>
      <c r="D2497" s="75">
        <f>IF($C2497="","",IFERROR(INDEX(CAT_TIPO,MATCH($C2497,CAT_NOME,0)),"Sem categoria"))</f>
        <v/>
      </c>
      <c r="E2497" s="75">
        <f>IF($C2497="","",IFERROR(INDEX(CAT_GRUPO,MATCH($C2497,CAT_NOME,0)),"Sem categoria"))</f>
        <v/>
      </c>
      <c r="F2497" s="76" t="n"/>
      <c r="G2497" s="74" t="n"/>
      <c r="H2497" s="74" t="n"/>
      <c r="I2497" s="74" t="n"/>
      <c r="J2497" s="77" t="n"/>
      <c r="K2497" s="77" t="n"/>
      <c r="L2497" s="74" t="n"/>
      <c r="M2497" s="74" t="n"/>
      <c r="O2497" s="78">
        <f>IF($A2497="","",YEAR($A2497)*100+MONTH($A2497))</f>
        <v/>
      </c>
      <c r="P2497" s="79">
        <f>IF(OR($F2497="",$D2497=""),"",IF($D2497="Receita",$F2497,IF($D2497="Transferência",0,-$F2497)))</f>
        <v/>
      </c>
    </row>
    <row r="2498">
      <c r="A2498" s="73" t="n"/>
      <c r="B2498" s="74" t="n"/>
      <c r="C2498" s="74" t="n"/>
      <c r="D2498" s="75">
        <f>IF($C2498="","",IFERROR(INDEX(CAT_TIPO,MATCH($C2498,CAT_NOME,0)),"Sem categoria"))</f>
        <v/>
      </c>
      <c r="E2498" s="75">
        <f>IF($C2498="","",IFERROR(INDEX(CAT_GRUPO,MATCH($C2498,CAT_NOME,0)),"Sem categoria"))</f>
        <v/>
      </c>
      <c r="F2498" s="76" t="n"/>
      <c r="G2498" s="74" t="n"/>
      <c r="H2498" s="74" t="n"/>
      <c r="I2498" s="74" t="n"/>
      <c r="J2498" s="77" t="n"/>
      <c r="K2498" s="77" t="n"/>
      <c r="L2498" s="74" t="n"/>
      <c r="M2498" s="74" t="n"/>
      <c r="O2498" s="78">
        <f>IF($A2498="","",YEAR($A2498)*100+MONTH($A2498))</f>
        <v/>
      </c>
      <c r="P2498" s="79">
        <f>IF(OR($F2498="",$D2498=""),"",IF($D2498="Receita",$F2498,IF($D2498="Transferência",0,-$F2498)))</f>
        <v/>
      </c>
    </row>
    <row r="2499">
      <c r="A2499" s="73" t="n"/>
      <c r="B2499" s="74" t="n"/>
      <c r="C2499" s="74" t="n"/>
      <c r="D2499" s="75">
        <f>IF($C2499="","",IFERROR(INDEX(CAT_TIPO,MATCH($C2499,CAT_NOME,0)),"Sem categoria"))</f>
        <v/>
      </c>
      <c r="E2499" s="75">
        <f>IF($C2499="","",IFERROR(INDEX(CAT_GRUPO,MATCH($C2499,CAT_NOME,0)),"Sem categoria"))</f>
        <v/>
      </c>
      <c r="F2499" s="76" t="n"/>
      <c r="G2499" s="74" t="n"/>
      <c r="H2499" s="74" t="n"/>
      <c r="I2499" s="74" t="n"/>
      <c r="J2499" s="77" t="n"/>
      <c r="K2499" s="77" t="n"/>
      <c r="L2499" s="74" t="n"/>
      <c r="M2499" s="74" t="n"/>
      <c r="O2499" s="78">
        <f>IF($A2499="","",YEAR($A2499)*100+MONTH($A2499))</f>
        <v/>
      </c>
      <c r="P2499" s="79">
        <f>IF(OR($F2499="",$D2499=""),"",IF($D2499="Receita",$F2499,IF($D2499="Transferência",0,-$F2499)))</f>
        <v/>
      </c>
    </row>
    <row r="2500">
      <c r="A2500" s="73" t="n"/>
      <c r="B2500" s="74" t="n"/>
      <c r="C2500" s="74" t="n"/>
      <c r="D2500" s="75">
        <f>IF($C2500="","",IFERROR(INDEX(CAT_TIPO,MATCH($C2500,CAT_NOME,0)),"Sem categoria"))</f>
        <v/>
      </c>
      <c r="E2500" s="75">
        <f>IF($C2500="","",IFERROR(INDEX(CAT_GRUPO,MATCH($C2500,CAT_NOME,0)),"Sem categoria"))</f>
        <v/>
      </c>
      <c r="F2500" s="76" t="n"/>
      <c r="G2500" s="74" t="n"/>
      <c r="H2500" s="74" t="n"/>
      <c r="I2500" s="74" t="n"/>
      <c r="J2500" s="77" t="n"/>
      <c r="K2500" s="77" t="n"/>
      <c r="L2500" s="74" t="n"/>
      <c r="M2500" s="74" t="n"/>
      <c r="O2500" s="78">
        <f>IF($A2500="","",YEAR($A2500)*100+MONTH($A2500))</f>
        <v/>
      </c>
      <c r="P2500" s="79">
        <f>IF(OR($F2500="",$D2500=""),"",IF($D2500="Receita",$F2500,IF($D2500="Transferência",0,-$F2500)))</f>
        <v/>
      </c>
    </row>
    <row r="2501">
      <c r="A2501" s="73" t="n"/>
      <c r="B2501" s="74" t="n"/>
      <c r="C2501" s="74" t="n"/>
      <c r="D2501" s="75">
        <f>IF($C2501="","",IFERROR(INDEX(CAT_TIPO,MATCH($C2501,CAT_NOME,0)),"Sem categoria"))</f>
        <v/>
      </c>
      <c r="E2501" s="75">
        <f>IF($C2501="","",IFERROR(INDEX(CAT_GRUPO,MATCH($C2501,CAT_NOME,0)),"Sem categoria"))</f>
        <v/>
      </c>
      <c r="F2501" s="76" t="n"/>
      <c r="G2501" s="74" t="n"/>
      <c r="H2501" s="74" t="n"/>
      <c r="I2501" s="74" t="n"/>
      <c r="J2501" s="77" t="n"/>
      <c r="K2501" s="77" t="n"/>
      <c r="L2501" s="74" t="n"/>
      <c r="M2501" s="74" t="n"/>
      <c r="O2501" s="78">
        <f>IF($A2501="","",YEAR($A2501)*100+MONTH($A2501))</f>
        <v/>
      </c>
      <c r="P2501" s="79">
        <f>IF(OR($F2501="",$D2501=""),"",IF($D2501="Receita",$F2501,IF($D2501="Transferência",0,-$F2501)))</f>
        <v/>
      </c>
    </row>
    <row r="2502">
      <c r="A2502" s="73" t="n"/>
      <c r="B2502" s="74" t="n"/>
      <c r="C2502" s="74" t="n"/>
      <c r="D2502" s="75">
        <f>IF($C2502="","",IFERROR(INDEX(CAT_TIPO,MATCH($C2502,CAT_NOME,0)),"Sem categoria"))</f>
        <v/>
      </c>
      <c r="E2502" s="75">
        <f>IF($C2502="","",IFERROR(INDEX(CAT_GRUPO,MATCH($C2502,CAT_NOME,0)),"Sem categoria"))</f>
        <v/>
      </c>
      <c r="F2502" s="76" t="n"/>
      <c r="G2502" s="74" t="n"/>
      <c r="H2502" s="74" t="n"/>
      <c r="I2502" s="74" t="n"/>
      <c r="J2502" s="77" t="n"/>
      <c r="K2502" s="77" t="n"/>
      <c r="L2502" s="74" t="n"/>
      <c r="M2502" s="74" t="n"/>
      <c r="O2502" s="78">
        <f>IF($A2502="","",YEAR($A2502)*100+MONTH($A2502))</f>
        <v/>
      </c>
      <c r="P2502" s="79">
        <f>IF(OR($F2502="",$D2502=""),"",IF($D2502="Receita",$F2502,IF($D2502="Transferência",0,-$F2502)))</f>
        <v/>
      </c>
    </row>
    <row r="2503">
      <c r="A2503" s="73" t="n"/>
      <c r="B2503" s="74" t="n"/>
      <c r="C2503" s="74" t="n"/>
      <c r="D2503" s="75">
        <f>IF($C2503="","",IFERROR(INDEX(CAT_TIPO,MATCH($C2503,CAT_NOME,0)),"Sem categoria"))</f>
        <v/>
      </c>
      <c r="E2503" s="75">
        <f>IF($C2503="","",IFERROR(INDEX(CAT_GRUPO,MATCH($C2503,CAT_NOME,0)),"Sem categoria"))</f>
        <v/>
      </c>
      <c r="F2503" s="76" t="n"/>
      <c r="G2503" s="74" t="n"/>
      <c r="H2503" s="74" t="n"/>
      <c r="I2503" s="74" t="n"/>
      <c r="J2503" s="77" t="n"/>
      <c r="K2503" s="77" t="n"/>
      <c r="L2503" s="74" t="n"/>
      <c r="M2503" s="74" t="n"/>
      <c r="O2503" s="78">
        <f>IF($A2503="","",YEAR($A2503)*100+MONTH($A2503))</f>
        <v/>
      </c>
      <c r="P2503" s="79">
        <f>IF(OR($F2503="",$D2503=""),"",IF($D2503="Receita",$F2503,IF($D2503="Transferência",0,-$F2503)))</f>
        <v/>
      </c>
    </row>
    <row r="2504">
      <c r="A2504" s="73" t="n"/>
      <c r="B2504" s="74" t="n"/>
      <c r="C2504" s="74" t="n"/>
      <c r="D2504" s="75">
        <f>IF($C2504="","",IFERROR(INDEX(CAT_TIPO,MATCH($C2504,CAT_NOME,0)),"Sem categoria"))</f>
        <v/>
      </c>
      <c r="E2504" s="75">
        <f>IF($C2504="","",IFERROR(INDEX(CAT_GRUPO,MATCH($C2504,CAT_NOME,0)),"Sem categoria"))</f>
        <v/>
      </c>
      <c r="F2504" s="76" t="n"/>
      <c r="G2504" s="74" t="n"/>
      <c r="H2504" s="74" t="n"/>
      <c r="I2504" s="74" t="n"/>
      <c r="J2504" s="77" t="n"/>
      <c r="K2504" s="77" t="n"/>
      <c r="L2504" s="74" t="n"/>
      <c r="M2504" s="74" t="n"/>
      <c r="O2504" s="78">
        <f>IF($A2504="","",YEAR($A2504)*100+MONTH($A2504))</f>
        <v/>
      </c>
      <c r="P2504" s="79">
        <f>IF(OR($F2504="",$D2504=""),"",IF($D2504="Receita",$F2504,IF($D2504="Transferência",0,-$F2504)))</f>
        <v/>
      </c>
    </row>
    <row r="2505">
      <c r="A2505" s="73" t="n"/>
      <c r="B2505" s="74" t="n"/>
      <c r="C2505" s="74" t="n"/>
      <c r="D2505" s="75">
        <f>IF($C2505="","",IFERROR(INDEX(CAT_TIPO,MATCH($C2505,CAT_NOME,0)),"Sem categoria"))</f>
        <v/>
      </c>
      <c r="E2505" s="75">
        <f>IF($C2505="","",IFERROR(INDEX(CAT_GRUPO,MATCH($C2505,CAT_NOME,0)),"Sem categoria"))</f>
        <v/>
      </c>
      <c r="F2505" s="76" t="n"/>
      <c r="G2505" s="74" t="n"/>
      <c r="H2505" s="74" t="n"/>
      <c r="I2505" s="74" t="n"/>
      <c r="J2505" s="77" t="n"/>
      <c r="K2505" s="77" t="n"/>
      <c r="L2505" s="74" t="n"/>
      <c r="M2505" s="74" t="n"/>
      <c r="O2505" s="78">
        <f>IF($A2505="","",YEAR($A2505)*100+MONTH($A2505))</f>
        <v/>
      </c>
      <c r="P2505" s="79">
        <f>IF(OR($F2505="",$D2505=""),"",IF($D2505="Receita",$F2505,IF($D2505="Transferência",0,-$F2505)))</f>
        <v/>
      </c>
    </row>
    <row r="2506">
      <c r="A2506" s="73" t="n"/>
      <c r="B2506" s="74" t="n"/>
      <c r="C2506" s="74" t="n"/>
      <c r="D2506" s="75">
        <f>IF($C2506="","",IFERROR(INDEX(CAT_TIPO,MATCH($C2506,CAT_NOME,0)),"Sem categoria"))</f>
        <v/>
      </c>
      <c r="E2506" s="75">
        <f>IF($C2506="","",IFERROR(INDEX(CAT_GRUPO,MATCH($C2506,CAT_NOME,0)),"Sem categoria"))</f>
        <v/>
      </c>
      <c r="F2506" s="76" t="n"/>
      <c r="G2506" s="74" t="n"/>
      <c r="H2506" s="74" t="n"/>
      <c r="I2506" s="74" t="n"/>
      <c r="J2506" s="77" t="n"/>
      <c r="K2506" s="77" t="n"/>
      <c r="L2506" s="74" t="n"/>
      <c r="M2506" s="74" t="n"/>
      <c r="O2506" s="78">
        <f>IF($A2506="","",YEAR($A2506)*100+MONTH($A2506))</f>
        <v/>
      </c>
      <c r="P2506" s="79">
        <f>IF(OR($F2506="",$D2506=""),"",IF($D2506="Receita",$F2506,IF($D2506="Transferência",0,-$F2506)))</f>
        <v/>
      </c>
    </row>
    <row r="2507">
      <c r="A2507" s="73" t="n"/>
      <c r="B2507" s="74" t="n"/>
      <c r="C2507" s="74" t="n"/>
      <c r="D2507" s="75">
        <f>IF($C2507="","",IFERROR(INDEX(CAT_TIPO,MATCH($C2507,CAT_NOME,0)),"Sem categoria"))</f>
        <v/>
      </c>
      <c r="E2507" s="75">
        <f>IF($C2507="","",IFERROR(INDEX(CAT_GRUPO,MATCH($C2507,CAT_NOME,0)),"Sem categoria"))</f>
        <v/>
      </c>
      <c r="F2507" s="76" t="n"/>
      <c r="G2507" s="74" t="n"/>
      <c r="H2507" s="74" t="n"/>
      <c r="I2507" s="74" t="n"/>
      <c r="J2507" s="77" t="n"/>
      <c r="K2507" s="77" t="n"/>
      <c r="L2507" s="74" t="n"/>
      <c r="M2507" s="74" t="n"/>
      <c r="O2507" s="78">
        <f>IF($A2507="","",YEAR($A2507)*100+MONTH($A2507))</f>
        <v/>
      </c>
      <c r="P2507" s="79">
        <f>IF(OR($F2507="",$D2507=""),"",IF($D2507="Receita",$F2507,IF($D2507="Transferência",0,-$F2507)))</f>
        <v/>
      </c>
    </row>
    <row r="2508">
      <c r="A2508" s="73" t="n"/>
      <c r="B2508" s="74" t="n"/>
      <c r="C2508" s="74" t="n"/>
      <c r="D2508" s="75">
        <f>IF($C2508="","",IFERROR(INDEX(CAT_TIPO,MATCH($C2508,CAT_NOME,0)),"Sem categoria"))</f>
        <v/>
      </c>
      <c r="E2508" s="75">
        <f>IF($C2508="","",IFERROR(INDEX(CAT_GRUPO,MATCH($C2508,CAT_NOME,0)),"Sem categoria"))</f>
        <v/>
      </c>
      <c r="F2508" s="76" t="n"/>
      <c r="G2508" s="74" t="n"/>
      <c r="H2508" s="74" t="n"/>
      <c r="I2508" s="74" t="n"/>
      <c r="J2508" s="77" t="n"/>
      <c r="K2508" s="77" t="n"/>
      <c r="L2508" s="74" t="n"/>
      <c r="M2508" s="74" t="n"/>
      <c r="O2508" s="78">
        <f>IF($A2508="","",YEAR($A2508)*100+MONTH($A2508))</f>
        <v/>
      </c>
      <c r="P2508" s="79">
        <f>IF(OR($F2508="",$D2508=""),"",IF($D2508="Receita",$F2508,IF($D2508="Transferência",0,-$F2508)))</f>
        <v/>
      </c>
    </row>
    <row r="2509">
      <c r="A2509" s="73" t="n"/>
      <c r="B2509" s="74" t="n"/>
      <c r="C2509" s="74" t="n"/>
      <c r="D2509" s="75">
        <f>IF($C2509="","",IFERROR(INDEX(CAT_TIPO,MATCH($C2509,CAT_NOME,0)),"Sem categoria"))</f>
        <v/>
      </c>
      <c r="E2509" s="75">
        <f>IF($C2509="","",IFERROR(INDEX(CAT_GRUPO,MATCH($C2509,CAT_NOME,0)),"Sem categoria"))</f>
        <v/>
      </c>
      <c r="F2509" s="76" t="n"/>
      <c r="G2509" s="74" t="n"/>
      <c r="H2509" s="74" t="n"/>
      <c r="I2509" s="74" t="n"/>
      <c r="J2509" s="77" t="n"/>
      <c r="K2509" s="77" t="n"/>
      <c r="L2509" s="74" t="n"/>
      <c r="M2509" s="74" t="n"/>
      <c r="O2509" s="78">
        <f>IF($A2509="","",YEAR($A2509)*100+MONTH($A2509))</f>
        <v/>
      </c>
      <c r="P2509" s="79">
        <f>IF(OR($F2509="",$D2509=""),"",IF($D2509="Receita",$F2509,IF($D2509="Transferência",0,-$F2509)))</f>
        <v/>
      </c>
    </row>
    <row r="2510">
      <c r="A2510" s="73" t="n"/>
      <c r="B2510" s="74" t="n"/>
      <c r="C2510" s="74" t="n"/>
      <c r="D2510" s="75">
        <f>IF($C2510="","",IFERROR(INDEX(CAT_TIPO,MATCH($C2510,CAT_NOME,0)),"Sem categoria"))</f>
        <v/>
      </c>
      <c r="E2510" s="75">
        <f>IF($C2510="","",IFERROR(INDEX(CAT_GRUPO,MATCH($C2510,CAT_NOME,0)),"Sem categoria"))</f>
        <v/>
      </c>
      <c r="F2510" s="76" t="n"/>
      <c r="G2510" s="74" t="n"/>
      <c r="H2510" s="74" t="n"/>
      <c r="I2510" s="74" t="n"/>
      <c r="J2510" s="77" t="n"/>
      <c r="K2510" s="77" t="n"/>
      <c r="L2510" s="74" t="n"/>
      <c r="M2510" s="74" t="n"/>
      <c r="O2510" s="78">
        <f>IF($A2510="","",YEAR($A2510)*100+MONTH($A2510))</f>
        <v/>
      </c>
      <c r="P2510" s="79">
        <f>IF(OR($F2510="",$D2510=""),"",IF($D2510="Receita",$F2510,IF($D2510="Transferência",0,-$F2510)))</f>
        <v/>
      </c>
    </row>
    <row r="2511">
      <c r="A2511" s="73" t="n"/>
      <c r="B2511" s="74" t="n"/>
      <c r="C2511" s="74" t="n"/>
      <c r="D2511" s="75">
        <f>IF($C2511="","",IFERROR(INDEX(CAT_TIPO,MATCH($C2511,CAT_NOME,0)),"Sem categoria"))</f>
        <v/>
      </c>
      <c r="E2511" s="75">
        <f>IF($C2511="","",IFERROR(INDEX(CAT_GRUPO,MATCH($C2511,CAT_NOME,0)),"Sem categoria"))</f>
        <v/>
      </c>
      <c r="F2511" s="76" t="n"/>
      <c r="G2511" s="74" t="n"/>
      <c r="H2511" s="74" t="n"/>
      <c r="I2511" s="74" t="n"/>
      <c r="J2511" s="77" t="n"/>
      <c r="K2511" s="77" t="n"/>
      <c r="L2511" s="74" t="n"/>
      <c r="M2511" s="74" t="n"/>
      <c r="O2511" s="78">
        <f>IF($A2511="","",YEAR($A2511)*100+MONTH($A2511))</f>
        <v/>
      </c>
      <c r="P2511" s="79">
        <f>IF(OR($F2511="",$D2511=""),"",IF($D2511="Receita",$F2511,IF($D2511="Transferência",0,-$F2511)))</f>
        <v/>
      </c>
    </row>
    <row r="2512">
      <c r="A2512" s="73" t="n"/>
      <c r="B2512" s="74" t="n"/>
      <c r="C2512" s="74" t="n"/>
      <c r="D2512" s="75">
        <f>IF($C2512="","",IFERROR(INDEX(CAT_TIPO,MATCH($C2512,CAT_NOME,0)),"Sem categoria"))</f>
        <v/>
      </c>
      <c r="E2512" s="75">
        <f>IF($C2512="","",IFERROR(INDEX(CAT_GRUPO,MATCH($C2512,CAT_NOME,0)),"Sem categoria"))</f>
        <v/>
      </c>
      <c r="F2512" s="76" t="n"/>
      <c r="G2512" s="74" t="n"/>
      <c r="H2512" s="74" t="n"/>
      <c r="I2512" s="74" t="n"/>
      <c r="J2512" s="77" t="n"/>
      <c r="K2512" s="77" t="n"/>
      <c r="L2512" s="74" t="n"/>
      <c r="M2512" s="74" t="n"/>
      <c r="O2512" s="78">
        <f>IF($A2512="","",YEAR($A2512)*100+MONTH($A2512))</f>
        <v/>
      </c>
      <c r="P2512" s="79">
        <f>IF(OR($F2512="",$D2512=""),"",IF($D2512="Receita",$F2512,IF($D2512="Transferência",0,-$F2512)))</f>
        <v/>
      </c>
    </row>
    <row r="2513">
      <c r="A2513" s="73" t="n"/>
      <c r="B2513" s="74" t="n"/>
      <c r="C2513" s="74" t="n"/>
      <c r="D2513" s="75">
        <f>IF($C2513="","",IFERROR(INDEX(CAT_TIPO,MATCH($C2513,CAT_NOME,0)),"Sem categoria"))</f>
        <v/>
      </c>
      <c r="E2513" s="75">
        <f>IF($C2513="","",IFERROR(INDEX(CAT_GRUPO,MATCH($C2513,CAT_NOME,0)),"Sem categoria"))</f>
        <v/>
      </c>
      <c r="F2513" s="76" t="n"/>
      <c r="G2513" s="74" t="n"/>
      <c r="H2513" s="74" t="n"/>
      <c r="I2513" s="74" t="n"/>
      <c r="J2513" s="77" t="n"/>
      <c r="K2513" s="77" t="n"/>
      <c r="L2513" s="74" t="n"/>
      <c r="M2513" s="74" t="n"/>
      <c r="O2513" s="78">
        <f>IF($A2513="","",YEAR($A2513)*100+MONTH($A2513))</f>
        <v/>
      </c>
      <c r="P2513" s="79">
        <f>IF(OR($F2513="",$D2513=""),"",IF($D2513="Receita",$F2513,IF($D2513="Transferência",0,-$F2513)))</f>
        <v/>
      </c>
    </row>
    <row r="2514">
      <c r="A2514" s="73" t="n"/>
      <c r="B2514" s="74" t="n"/>
      <c r="C2514" s="74" t="n"/>
      <c r="D2514" s="75">
        <f>IF($C2514="","",IFERROR(INDEX(CAT_TIPO,MATCH($C2514,CAT_NOME,0)),"Sem categoria"))</f>
        <v/>
      </c>
      <c r="E2514" s="75">
        <f>IF($C2514="","",IFERROR(INDEX(CAT_GRUPO,MATCH($C2514,CAT_NOME,0)),"Sem categoria"))</f>
        <v/>
      </c>
      <c r="F2514" s="76" t="n"/>
      <c r="G2514" s="74" t="n"/>
      <c r="H2514" s="74" t="n"/>
      <c r="I2514" s="74" t="n"/>
      <c r="J2514" s="77" t="n"/>
      <c r="K2514" s="77" t="n"/>
      <c r="L2514" s="74" t="n"/>
      <c r="M2514" s="74" t="n"/>
      <c r="O2514" s="78">
        <f>IF($A2514="","",YEAR($A2514)*100+MONTH($A2514))</f>
        <v/>
      </c>
      <c r="P2514" s="79">
        <f>IF(OR($F2514="",$D2514=""),"",IF($D2514="Receita",$F2514,IF($D2514="Transferência",0,-$F2514)))</f>
        <v/>
      </c>
    </row>
    <row r="2515">
      <c r="A2515" s="73" t="n"/>
      <c r="B2515" s="74" t="n"/>
      <c r="C2515" s="74" t="n"/>
      <c r="D2515" s="75">
        <f>IF($C2515="","",IFERROR(INDEX(CAT_TIPO,MATCH($C2515,CAT_NOME,0)),"Sem categoria"))</f>
        <v/>
      </c>
      <c r="E2515" s="75">
        <f>IF($C2515="","",IFERROR(INDEX(CAT_GRUPO,MATCH($C2515,CAT_NOME,0)),"Sem categoria"))</f>
        <v/>
      </c>
      <c r="F2515" s="76" t="n"/>
      <c r="G2515" s="74" t="n"/>
      <c r="H2515" s="74" t="n"/>
      <c r="I2515" s="74" t="n"/>
      <c r="J2515" s="77" t="n"/>
      <c r="K2515" s="77" t="n"/>
      <c r="L2515" s="74" t="n"/>
      <c r="M2515" s="74" t="n"/>
      <c r="O2515" s="78">
        <f>IF($A2515="","",YEAR($A2515)*100+MONTH($A2515))</f>
        <v/>
      </c>
      <c r="P2515" s="79">
        <f>IF(OR($F2515="",$D2515=""),"",IF($D2515="Receita",$F2515,IF($D2515="Transferência",0,-$F2515)))</f>
        <v/>
      </c>
    </row>
    <row r="2516">
      <c r="A2516" s="73" t="n"/>
      <c r="B2516" s="74" t="n"/>
      <c r="C2516" s="74" t="n"/>
      <c r="D2516" s="75">
        <f>IF($C2516="","",IFERROR(INDEX(CAT_TIPO,MATCH($C2516,CAT_NOME,0)),"Sem categoria"))</f>
        <v/>
      </c>
      <c r="E2516" s="75">
        <f>IF($C2516="","",IFERROR(INDEX(CAT_GRUPO,MATCH($C2516,CAT_NOME,0)),"Sem categoria"))</f>
        <v/>
      </c>
      <c r="F2516" s="76" t="n"/>
      <c r="G2516" s="74" t="n"/>
      <c r="H2516" s="74" t="n"/>
      <c r="I2516" s="74" t="n"/>
      <c r="J2516" s="77" t="n"/>
      <c r="K2516" s="77" t="n"/>
      <c r="L2516" s="74" t="n"/>
      <c r="M2516" s="74" t="n"/>
      <c r="O2516" s="78">
        <f>IF($A2516="","",YEAR($A2516)*100+MONTH($A2516))</f>
        <v/>
      </c>
      <c r="P2516" s="79">
        <f>IF(OR($F2516="",$D2516=""),"",IF($D2516="Receita",$F2516,IF($D2516="Transferência",0,-$F2516)))</f>
        <v/>
      </c>
    </row>
    <row r="2517">
      <c r="A2517" s="73" t="n"/>
      <c r="B2517" s="74" t="n"/>
      <c r="C2517" s="74" t="n"/>
      <c r="D2517" s="75">
        <f>IF($C2517="","",IFERROR(INDEX(CAT_TIPO,MATCH($C2517,CAT_NOME,0)),"Sem categoria"))</f>
        <v/>
      </c>
      <c r="E2517" s="75">
        <f>IF($C2517="","",IFERROR(INDEX(CAT_GRUPO,MATCH($C2517,CAT_NOME,0)),"Sem categoria"))</f>
        <v/>
      </c>
      <c r="F2517" s="76" t="n"/>
      <c r="G2517" s="74" t="n"/>
      <c r="H2517" s="74" t="n"/>
      <c r="I2517" s="74" t="n"/>
      <c r="J2517" s="77" t="n"/>
      <c r="K2517" s="77" t="n"/>
      <c r="L2517" s="74" t="n"/>
      <c r="M2517" s="74" t="n"/>
      <c r="O2517" s="78">
        <f>IF($A2517="","",YEAR($A2517)*100+MONTH($A2517))</f>
        <v/>
      </c>
      <c r="P2517" s="79">
        <f>IF(OR($F2517="",$D2517=""),"",IF($D2517="Receita",$F2517,IF($D2517="Transferência",0,-$F2517)))</f>
        <v/>
      </c>
    </row>
    <row r="2518">
      <c r="A2518" s="73" t="n"/>
      <c r="B2518" s="74" t="n"/>
      <c r="C2518" s="74" t="n"/>
      <c r="D2518" s="75">
        <f>IF($C2518="","",IFERROR(INDEX(CAT_TIPO,MATCH($C2518,CAT_NOME,0)),"Sem categoria"))</f>
        <v/>
      </c>
      <c r="E2518" s="75">
        <f>IF($C2518="","",IFERROR(INDEX(CAT_GRUPO,MATCH($C2518,CAT_NOME,0)),"Sem categoria"))</f>
        <v/>
      </c>
      <c r="F2518" s="76" t="n"/>
      <c r="G2518" s="74" t="n"/>
      <c r="H2518" s="74" t="n"/>
      <c r="I2518" s="74" t="n"/>
      <c r="J2518" s="77" t="n"/>
      <c r="K2518" s="77" t="n"/>
      <c r="L2518" s="74" t="n"/>
      <c r="M2518" s="74" t="n"/>
      <c r="O2518" s="78">
        <f>IF($A2518="","",YEAR($A2518)*100+MONTH($A2518))</f>
        <v/>
      </c>
      <c r="P2518" s="79">
        <f>IF(OR($F2518="",$D2518=""),"",IF($D2518="Receita",$F2518,IF($D2518="Transferência",0,-$F2518)))</f>
        <v/>
      </c>
    </row>
    <row r="2519">
      <c r="A2519" s="73" t="n"/>
      <c r="B2519" s="74" t="n"/>
      <c r="C2519" s="74" t="n"/>
      <c r="D2519" s="75">
        <f>IF($C2519="","",IFERROR(INDEX(CAT_TIPO,MATCH($C2519,CAT_NOME,0)),"Sem categoria"))</f>
        <v/>
      </c>
      <c r="E2519" s="75">
        <f>IF($C2519="","",IFERROR(INDEX(CAT_GRUPO,MATCH($C2519,CAT_NOME,0)),"Sem categoria"))</f>
        <v/>
      </c>
      <c r="F2519" s="76" t="n"/>
      <c r="G2519" s="74" t="n"/>
      <c r="H2519" s="74" t="n"/>
      <c r="I2519" s="74" t="n"/>
      <c r="J2519" s="77" t="n"/>
      <c r="K2519" s="77" t="n"/>
      <c r="L2519" s="74" t="n"/>
      <c r="M2519" s="74" t="n"/>
      <c r="O2519" s="78">
        <f>IF($A2519="","",YEAR($A2519)*100+MONTH($A2519))</f>
        <v/>
      </c>
      <c r="P2519" s="79">
        <f>IF(OR($F2519="",$D2519=""),"",IF($D2519="Receita",$F2519,IF($D2519="Transferência",0,-$F2519)))</f>
        <v/>
      </c>
    </row>
    <row r="2520">
      <c r="A2520" s="73" t="n"/>
      <c r="B2520" s="74" t="n"/>
      <c r="C2520" s="74" t="n"/>
      <c r="D2520" s="75">
        <f>IF($C2520="","",IFERROR(INDEX(CAT_TIPO,MATCH($C2520,CAT_NOME,0)),"Sem categoria"))</f>
        <v/>
      </c>
      <c r="E2520" s="75">
        <f>IF($C2520="","",IFERROR(INDEX(CAT_GRUPO,MATCH($C2520,CAT_NOME,0)),"Sem categoria"))</f>
        <v/>
      </c>
      <c r="F2520" s="76" t="n"/>
      <c r="G2520" s="74" t="n"/>
      <c r="H2520" s="74" t="n"/>
      <c r="I2520" s="74" t="n"/>
      <c r="J2520" s="77" t="n"/>
      <c r="K2520" s="77" t="n"/>
      <c r="L2520" s="74" t="n"/>
      <c r="M2520" s="74" t="n"/>
      <c r="O2520" s="78">
        <f>IF($A2520="","",YEAR($A2520)*100+MONTH($A2520))</f>
        <v/>
      </c>
      <c r="P2520" s="79">
        <f>IF(OR($F2520="",$D2520=""),"",IF($D2520="Receita",$F2520,IF($D2520="Transferência",0,-$F2520)))</f>
        <v/>
      </c>
    </row>
    <row r="2521">
      <c r="A2521" s="73" t="n"/>
      <c r="B2521" s="74" t="n"/>
      <c r="C2521" s="74" t="n"/>
      <c r="D2521" s="75">
        <f>IF($C2521="","",IFERROR(INDEX(CAT_TIPO,MATCH($C2521,CAT_NOME,0)),"Sem categoria"))</f>
        <v/>
      </c>
      <c r="E2521" s="75">
        <f>IF($C2521="","",IFERROR(INDEX(CAT_GRUPO,MATCH($C2521,CAT_NOME,0)),"Sem categoria"))</f>
        <v/>
      </c>
      <c r="F2521" s="76" t="n"/>
      <c r="G2521" s="74" t="n"/>
      <c r="H2521" s="74" t="n"/>
      <c r="I2521" s="74" t="n"/>
      <c r="J2521" s="77" t="n"/>
      <c r="K2521" s="77" t="n"/>
      <c r="L2521" s="74" t="n"/>
      <c r="M2521" s="74" t="n"/>
      <c r="O2521" s="78">
        <f>IF($A2521="","",YEAR($A2521)*100+MONTH($A2521))</f>
        <v/>
      </c>
      <c r="P2521" s="79">
        <f>IF(OR($F2521="",$D2521=""),"",IF($D2521="Receita",$F2521,IF($D2521="Transferência",0,-$F2521)))</f>
        <v/>
      </c>
    </row>
    <row r="2522">
      <c r="A2522" s="73" t="n"/>
      <c r="B2522" s="74" t="n"/>
      <c r="C2522" s="74" t="n"/>
      <c r="D2522" s="75">
        <f>IF($C2522="","",IFERROR(INDEX(CAT_TIPO,MATCH($C2522,CAT_NOME,0)),"Sem categoria"))</f>
        <v/>
      </c>
      <c r="E2522" s="75">
        <f>IF($C2522="","",IFERROR(INDEX(CAT_GRUPO,MATCH($C2522,CAT_NOME,0)),"Sem categoria"))</f>
        <v/>
      </c>
      <c r="F2522" s="76" t="n"/>
      <c r="G2522" s="74" t="n"/>
      <c r="H2522" s="74" t="n"/>
      <c r="I2522" s="74" t="n"/>
      <c r="J2522" s="77" t="n"/>
      <c r="K2522" s="77" t="n"/>
      <c r="L2522" s="74" t="n"/>
      <c r="M2522" s="74" t="n"/>
      <c r="O2522" s="78">
        <f>IF($A2522="","",YEAR($A2522)*100+MONTH($A2522))</f>
        <v/>
      </c>
      <c r="P2522" s="79">
        <f>IF(OR($F2522="",$D2522=""),"",IF($D2522="Receita",$F2522,IF($D2522="Transferência",0,-$F2522)))</f>
        <v/>
      </c>
    </row>
    <row r="2523">
      <c r="A2523" s="73" t="n"/>
      <c r="B2523" s="74" t="n"/>
      <c r="C2523" s="74" t="n"/>
      <c r="D2523" s="75">
        <f>IF($C2523="","",IFERROR(INDEX(CAT_TIPO,MATCH($C2523,CAT_NOME,0)),"Sem categoria"))</f>
        <v/>
      </c>
      <c r="E2523" s="75">
        <f>IF($C2523="","",IFERROR(INDEX(CAT_GRUPO,MATCH($C2523,CAT_NOME,0)),"Sem categoria"))</f>
        <v/>
      </c>
      <c r="F2523" s="76" t="n"/>
      <c r="G2523" s="74" t="n"/>
      <c r="H2523" s="74" t="n"/>
      <c r="I2523" s="74" t="n"/>
      <c r="J2523" s="77" t="n"/>
      <c r="K2523" s="77" t="n"/>
      <c r="L2523" s="74" t="n"/>
      <c r="M2523" s="74" t="n"/>
      <c r="O2523" s="78">
        <f>IF($A2523="","",YEAR($A2523)*100+MONTH($A2523))</f>
        <v/>
      </c>
      <c r="P2523" s="79">
        <f>IF(OR($F2523="",$D2523=""),"",IF($D2523="Receita",$F2523,IF($D2523="Transferência",0,-$F2523)))</f>
        <v/>
      </c>
    </row>
    <row r="2524">
      <c r="A2524" s="73" t="n"/>
      <c r="B2524" s="74" t="n"/>
      <c r="C2524" s="74" t="n"/>
      <c r="D2524" s="75">
        <f>IF($C2524="","",IFERROR(INDEX(CAT_TIPO,MATCH($C2524,CAT_NOME,0)),"Sem categoria"))</f>
        <v/>
      </c>
      <c r="E2524" s="75">
        <f>IF($C2524="","",IFERROR(INDEX(CAT_GRUPO,MATCH($C2524,CAT_NOME,0)),"Sem categoria"))</f>
        <v/>
      </c>
      <c r="F2524" s="76" t="n"/>
      <c r="G2524" s="74" t="n"/>
      <c r="H2524" s="74" t="n"/>
      <c r="I2524" s="74" t="n"/>
      <c r="J2524" s="77" t="n"/>
      <c r="K2524" s="77" t="n"/>
      <c r="L2524" s="74" t="n"/>
      <c r="M2524" s="74" t="n"/>
      <c r="O2524" s="78">
        <f>IF($A2524="","",YEAR($A2524)*100+MONTH($A2524))</f>
        <v/>
      </c>
      <c r="P2524" s="79">
        <f>IF(OR($F2524="",$D2524=""),"",IF($D2524="Receita",$F2524,IF($D2524="Transferência",0,-$F2524)))</f>
        <v/>
      </c>
    </row>
    <row r="2525">
      <c r="A2525" s="73" t="n"/>
      <c r="B2525" s="74" t="n"/>
      <c r="C2525" s="74" t="n"/>
      <c r="D2525" s="75">
        <f>IF($C2525="","",IFERROR(INDEX(CAT_TIPO,MATCH($C2525,CAT_NOME,0)),"Sem categoria"))</f>
        <v/>
      </c>
      <c r="E2525" s="75">
        <f>IF($C2525="","",IFERROR(INDEX(CAT_GRUPO,MATCH($C2525,CAT_NOME,0)),"Sem categoria"))</f>
        <v/>
      </c>
      <c r="F2525" s="76" t="n"/>
      <c r="G2525" s="74" t="n"/>
      <c r="H2525" s="74" t="n"/>
      <c r="I2525" s="74" t="n"/>
      <c r="J2525" s="77" t="n"/>
      <c r="K2525" s="77" t="n"/>
      <c r="L2525" s="74" t="n"/>
      <c r="M2525" s="74" t="n"/>
      <c r="O2525" s="78">
        <f>IF($A2525="","",YEAR($A2525)*100+MONTH($A2525))</f>
        <v/>
      </c>
      <c r="P2525" s="79">
        <f>IF(OR($F2525="",$D2525=""),"",IF($D2525="Receita",$F2525,IF($D2525="Transferência",0,-$F2525)))</f>
        <v/>
      </c>
    </row>
    <row r="2526">
      <c r="A2526" s="73" t="n"/>
      <c r="B2526" s="74" t="n"/>
      <c r="C2526" s="74" t="n"/>
      <c r="D2526" s="75">
        <f>IF($C2526="","",IFERROR(INDEX(CAT_TIPO,MATCH($C2526,CAT_NOME,0)),"Sem categoria"))</f>
        <v/>
      </c>
      <c r="E2526" s="75">
        <f>IF($C2526="","",IFERROR(INDEX(CAT_GRUPO,MATCH($C2526,CAT_NOME,0)),"Sem categoria"))</f>
        <v/>
      </c>
      <c r="F2526" s="76" t="n"/>
      <c r="G2526" s="74" t="n"/>
      <c r="H2526" s="74" t="n"/>
      <c r="I2526" s="74" t="n"/>
      <c r="J2526" s="77" t="n"/>
      <c r="K2526" s="77" t="n"/>
      <c r="L2526" s="74" t="n"/>
      <c r="M2526" s="74" t="n"/>
      <c r="O2526" s="78">
        <f>IF($A2526="","",YEAR($A2526)*100+MONTH($A2526))</f>
        <v/>
      </c>
      <c r="P2526" s="79">
        <f>IF(OR($F2526="",$D2526=""),"",IF($D2526="Receita",$F2526,IF($D2526="Transferência",0,-$F2526)))</f>
        <v/>
      </c>
    </row>
    <row r="2527">
      <c r="A2527" s="73" t="n"/>
      <c r="B2527" s="74" t="n"/>
      <c r="C2527" s="74" t="n"/>
      <c r="D2527" s="75">
        <f>IF($C2527="","",IFERROR(INDEX(CAT_TIPO,MATCH($C2527,CAT_NOME,0)),"Sem categoria"))</f>
        <v/>
      </c>
      <c r="E2527" s="75">
        <f>IF($C2527="","",IFERROR(INDEX(CAT_GRUPO,MATCH($C2527,CAT_NOME,0)),"Sem categoria"))</f>
        <v/>
      </c>
      <c r="F2527" s="76" t="n"/>
      <c r="G2527" s="74" t="n"/>
      <c r="H2527" s="74" t="n"/>
      <c r="I2527" s="74" t="n"/>
      <c r="J2527" s="77" t="n"/>
      <c r="K2527" s="77" t="n"/>
      <c r="L2527" s="74" t="n"/>
      <c r="M2527" s="74" t="n"/>
      <c r="O2527" s="78">
        <f>IF($A2527="","",YEAR($A2527)*100+MONTH($A2527))</f>
        <v/>
      </c>
      <c r="P2527" s="79">
        <f>IF(OR($F2527="",$D2527=""),"",IF($D2527="Receita",$F2527,IF($D2527="Transferência",0,-$F2527)))</f>
        <v/>
      </c>
    </row>
    <row r="2528">
      <c r="A2528" s="73" t="n"/>
      <c r="B2528" s="74" t="n"/>
      <c r="C2528" s="74" t="n"/>
      <c r="D2528" s="75">
        <f>IF($C2528="","",IFERROR(INDEX(CAT_TIPO,MATCH($C2528,CAT_NOME,0)),"Sem categoria"))</f>
        <v/>
      </c>
      <c r="E2528" s="75">
        <f>IF($C2528="","",IFERROR(INDEX(CAT_GRUPO,MATCH($C2528,CAT_NOME,0)),"Sem categoria"))</f>
        <v/>
      </c>
      <c r="F2528" s="76" t="n"/>
      <c r="G2528" s="74" t="n"/>
      <c r="H2528" s="74" t="n"/>
      <c r="I2528" s="74" t="n"/>
      <c r="J2528" s="77" t="n"/>
      <c r="K2528" s="77" t="n"/>
      <c r="L2528" s="74" t="n"/>
      <c r="M2528" s="74" t="n"/>
      <c r="O2528" s="78">
        <f>IF($A2528="","",YEAR($A2528)*100+MONTH($A2528))</f>
        <v/>
      </c>
      <c r="P2528" s="79">
        <f>IF(OR($F2528="",$D2528=""),"",IF($D2528="Receita",$F2528,IF($D2528="Transferência",0,-$F2528)))</f>
        <v/>
      </c>
    </row>
    <row r="2529">
      <c r="A2529" s="73" t="n"/>
      <c r="B2529" s="74" t="n"/>
      <c r="C2529" s="74" t="n"/>
      <c r="D2529" s="75">
        <f>IF($C2529="","",IFERROR(INDEX(CAT_TIPO,MATCH($C2529,CAT_NOME,0)),"Sem categoria"))</f>
        <v/>
      </c>
      <c r="E2529" s="75">
        <f>IF($C2529="","",IFERROR(INDEX(CAT_GRUPO,MATCH($C2529,CAT_NOME,0)),"Sem categoria"))</f>
        <v/>
      </c>
      <c r="F2529" s="76" t="n"/>
      <c r="G2529" s="74" t="n"/>
      <c r="H2529" s="74" t="n"/>
      <c r="I2529" s="74" t="n"/>
      <c r="J2529" s="77" t="n"/>
      <c r="K2529" s="77" t="n"/>
      <c r="L2529" s="74" t="n"/>
      <c r="M2529" s="74" t="n"/>
      <c r="O2529" s="78">
        <f>IF($A2529="","",YEAR($A2529)*100+MONTH($A2529))</f>
        <v/>
      </c>
      <c r="P2529" s="79">
        <f>IF(OR($F2529="",$D2529=""),"",IF($D2529="Receita",$F2529,IF($D2529="Transferência",0,-$F2529)))</f>
        <v/>
      </c>
    </row>
    <row r="2530">
      <c r="A2530" s="73" t="n"/>
      <c r="B2530" s="74" t="n"/>
      <c r="C2530" s="74" t="n"/>
      <c r="D2530" s="75">
        <f>IF($C2530="","",IFERROR(INDEX(CAT_TIPO,MATCH($C2530,CAT_NOME,0)),"Sem categoria"))</f>
        <v/>
      </c>
      <c r="E2530" s="75">
        <f>IF($C2530="","",IFERROR(INDEX(CAT_GRUPO,MATCH($C2530,CAT_NOME,0)),"Sem categoria"))</f>
        <v/>
      </c>
      <c r="F2530" s="76" t="n"/>
      <c r="G2530" s="74" t="n"/>
      <c r="H2530" s="74" t="n"/>
      <c r="I2530" s="74" t="n"/>
      <c r="J2530" s="77" t="n"/>
      <c r="K2530" s="77" t="n"/>
      <c r="L2530" s="74" t="n"/>
      <c r="M2530" s="74" t="n"/>
      <c r="O2530" s="78">
        <f>IF($A2530="","",YEAR($A2530)*100+MONTH($A2530))</f>
        <v/>
      </c>
      <c r="P2530" s="79">
        <f>IF(OR($F2530="",$D2530=""),"",IF($D2530="Receita",$F2530,IF($D2530="Transferência",0,-$F2530)))</f>
        <v/>
      </c>
    </row>
    <row r="2531">
      <c r="A2531" s="73" t="n"/>
      <c r="B2531" s="74" t="n"/>
      <c r="C2531" s="74" t="n"/>
      <c r="D2531" s="75">
        <f>IF($C2531="","",IFERROR(INDEX(CAT_TIPO,MATCH($C2531,CAT_NOME,0)),"Sem categoria"))</f>
        <v/>
      </c>
      <c r="E2531" s="75">
        <f>IF($C2531="","",IFERROR(INDEX(CAT_GRUPO,MATCH($C2531,CAT_NOME,0)),"Sem categoria"))</f>
        <v/>
      </c>
      <c r="F2531" s="76" t="n"/>
      <c r="G2531" s="74" t="n"/>
      <c r="H2531" s="74" t="n"/>
      <c r="I2531" s="74" t="n"/>
      <c r="J2531" s="77" t="n"/>
      <c r="K2531" s="77" t="n"/>
      <c r="L2531" s="74" t="n"/>
      <c r="M2531" s="74" t="n"/>
      <c r="O2531" s="78">
        <f>IF($A2531="","",YEAR($A2531)*100+MONTH($A2531))</f>
        <v/>
      </c>
      <c r="P2531" s="79">
        <f>IF(OR($F2531="",$D2531=""),"",IF($D2531="Receita",$F2531,IF($D2531="Transferência",0,-$F2531)))</f>
        <v/>
      </c>
    </row>
    <row r="2532">
      <c r="A2532" s="73" t="n"/>
      <c r="B2532" s="74" t="n"/>
      <c r="C2532" s="74" t="n"/>
      <c r="D2532" s="75">
        <f>IF($C2532="","",IFERROR(INDEX(CAT_TIPO,MATCH($C2532,CAT_NOME,0)),"Sem categoria"))</f>
        <v/>
      </c>
      <c r="E2532" s="75">
        <f>IF($C2532="","",IFERROR(INDEX(CAT_GRUPO,MATCH($C2532,CAT_NOME,0)),"Sem categoria"))</f>
        <v/>
      </c>
      <c r="F2532" s="76" t="n"/>
      <c r="G2532" s="74" t="n"/>
      <c r="H2532" s="74" t="n"/>
      <c r="I2532" s="74" t="n"/>
      <c r="J2532" s="77" t="n"/>
      <c r="K2532" s="77" t="n"/>
      <c r="L2532" s="74" t="n"/>
      <c r="M2532" s="74" t="n"/>
      <c r="O2532" s="78">
        <f>IF($A2532="","",YEAR($A2532)*100+MONTH($A2532))</f>
        <v/>
      </c>
      <c r="P2532" s="79">
        <f>IF(OR($F2532="",$D2532=""),"",IF($D2532="Receita",$F2532,IF($D2532="Transferência",0,-$F2532)))</f>
        <v/>
      </c>
    </row>
    <row r="2533">
      <c r="A2533" s="73" t="n"/>
      <c r="B2533" s="74" t="n"/>
      <c r="C2533" s="74" t="n"/>
      <c r="D2533" s="75">
        <f>IF($C2533="","",IFERROR(INDEX(CAT_TIPO,MATCH($C2533,CAT_NOME,0)),"Sem categoria"))</f>
        <v/>
      </c>
      <c r="E2533" s="75">
        <f>IF($C2533="","",IFERROR(INDEX(CAT_GRUPO,MATCH($C2533,CAT_NOME,0)),"Sem categoria"))</f>
        <v/>
      </c>
      <c r="F2533" s="76" t="n"/>
      <c r="G2533" s="74" t="n"/>
      <c r="H2533" s="74" t="n"/>
      <c r="I2533" s="74" t="n"/>
      <c r="J2533" s="77" t="n"/>
      <c r="K2533" s="77" t="n"/>
      <c r="L2533" s="74" t="n"/>
      <c r="M2533" s="74" t="n"/>
      <c r="O2533" s="78">
        <f>IF($A2533="","",YEAR($A2533)*100+MONTH($A2533))</f>
        <v/>
      </c>
      <c r="P2533" s="79">
        <f>IF(OR($F2533="",$D2533=""),"",IF($D2533="Receita",$F2533,IF($D2533="Transferência",0,-$F2533)))</f>
        <v/>
      </c>
    </row>
    <row r="2534">
      <c r="A2534" s="73" t="n"/>
      <c r="B2534" s="74" t="n"/>
      <c r="C2534" s="74" t="n"/>
      <c r="D2534" s="75">
        <f>IF($C2534="","",IFERROR(INDEX(CAT_TIPO,MATCH($C2534,CAT_NOME,0)),"Sem categoria"))</f>
        <v/>
      </c>
      <c r="E2534" s="75">
        <f>IF($C2534="","",IFERROR(INDEX(CAT_GRUPO,MATCH($C2534,CAT_NOME,0)),"Sem categoria"))</f>
        <v/>
      </c>
      <c r="F2534" s="76" t="n"/>
      <c r="G2534" s="74" t="n"/>
      <c r="H2534" s="74" t="n"/>
      <c r="I2534" s="74" t="n"/>
      <c r="J2534" s="77" t="n"/>
      <c r="K2534" s="77" t="n"/>
      <c r="L2534" s="74" t="n"/>
      <c r="M2534" s="74" t="n"/>
      <c r="O2534" s="78">
        <f>IF($A2534="","",YEAR($A2534)*100+MONTH($A2534))</f>
        <v/>
      </c>
      <c r="P2534" s="79">
        <f>IF(OR($F2534="",$D2534=""),"",IF($D2534="Receita",$F2534,IF($D2534="Transferência",0,-$F2534)))</f>
        <v/>
      </c>
    </row>
    <row r="2535">
      <c r="A2535" s="73" t="n"/>
      <c r="B2535" s="74" t="n"/>
      <c r="C2535" s="74" t="n"/>
      <c r="D2535" s="75">
        <f>IF($C2535="","",IFERROR(INDEX(CAT_TIPO,MATCH($C2535,CAT_NOME,0)),"Sem categoria"))</f>
        <v/>
      </c>
      <c r="E2535" s="75">
        <f>IF($C2535="","",IFERROR(INDEX(CAT_GRUPO,MATCH($C2535,CAT_NOME,0)),"Sem categoria"))</f>
        <v/>
      </c>
      <c r="F2535" s="76" t="n"/>
      <c r="G2535" s="74" t="n"/>
      <c r="H2535" s="74" t="n"/>
      <c r="I2535" s="74" t="n"/>
      <c r="J2535" s="77" t="n"/>
      <c r="K2535" s="77" t="n"/>
      <c r="L2535" s="74" t="n"/>
      <c r="M2535" s="74" t="n"/>
      <c r="O2535" s="78">
        <f>IF($A2535="","",YEAR($A2535)*100+MONTH($A2535))</f>
        <v/>
      </c>
      <c r="P2535" s="79">
        <f>IF(OR($F2535="",$D2535=""),"",IF($D2535="Receita",$F2535,IF($D2535="Transferência",0,-$F2535)))</f>
        <v/>
      </c>
    </row>
    <row r="2536">
      <c r="A2536" s="73" t="n"/>
      <c r="B2536" s="74" t="n"/>
      <c r="C2536" s="74" t="n"/>
      <c r="D2536" s="75">
        <f>IF($C2536="","",IFERROR(INDEX(CAT_TIPO,MATCH($C2536,CAT_NOME,0)),"Sem categoria"))</f>
        <v/>
      </c>
      <c r="E2536" s="75">
        <f>IF($C2536="","",IFERROR(INDEX(CAT_GRUPO,MATCH($C2536,CAT_NOME,0)),"Sem categoria"))</f>
        <v/>
      </c>
      <c r="F2536" s="76" t="n"/>
      <c r="G2536" s="74" t="n"/>
      <c r="H2536" s="74" t="n"/>
      <c r="I2536" s="74" t="n"/>
      <c r="J2536" s="77" t="n"/>
      <c r="K2536" s="77" t="n"/>
      <c r="L2536" s="74" t="n"/>
      <c r="M2536" s="74" t="n"/>
      <c r="O2536" s="78">
        <f>IF($A2536="","",YEAR($A2536)*100+MONTH($A2536))</f>
        <v/>
      </c>
      <c r="P2536" s="79">
        <f>IF(OR($F2536="",$D2536=""),"",IF($D2536="Receita",$F2536,IF($D2536="Transferência",0,-$F2536)))</f>
        <v/>
      </c>
    </row>
    <row r="2537">
      <c r="A2537" s="73" t="n"/>
      <c r="B2537" s="74" t="n"/>
      <c r="C2537" s="74" t="n"/>
      <c r="D2537" s="75">
        <f>IF($C2537="","",IFERROR(INDEX(CAT_TIPO,MATCH($C2537,CAT_NOME,0)),"Sem categoria"))</f>
        <v/>
      </c>
      <c r="E2537" s="75">
        <f>IF($C2537="","",IFERROR(INDEX(CAT_GRUPO,MATCH($C2537,CAT_NOME,0)),"Sem categoria"))</f>
        <v/>
      </c>
      <c r="F2537" s="76" t="n"/>
      <c r="G2537" s="74" t="n"/>
      <c r="H2537" s="74" t="n"/>
      <c r="I2537" s="74" t="n"/>
      <c r="J2537" s="77" t="n"/>
      <c r="K2537" s="77" t="n"/>
      <c r="L2537" s="74" t="n"/>
      <c r="M2537" s="74" t="n"/>
      <c r="O2537" s="78">
        <f>IF($A2537="","",YEAR($A2537)*100+MONTH($A2537))</f>
        <v/>
      </c>
      <c r="P2537" s="79">
        <f>IF(OR($F2537="",$D2537=""),"",IF($D2537="Receita",$F2537,IF($D2537="Transferência",0,-$F2537)))</f>
        <v/>
      </c>
    </row>
    <row r="2538">
      <c r="A2538" s="73" t="n"/>
      <c r="B2538" s="74" t="n"/>
      <c r="C2538" s="74" t="n"/>
      <c r="D2538" s="75">
        <f>IF($C2538="","",IFERROR(INDEX(CAT_TIPO,MATCH($C2538,CAT_NOME,0)),"Sem categoria"))</f>
        <v/>
      </c>
      <c r="E2538" s="75">
        <f>IF($C2538="","",IFERROR(INDEX(CAT_GRUPO,MATCH($C2538,CAT_NOME,0)),"Sem categoria"))</f>
        <v/>
      </c>
      <c r="F2538" s="76" t="n"/>
      <c r="G2538" s="74" t="n"/>
      <c r="H2538" s="74" t="n"/>
      <c r="I2538" s="74" t="n"/>
      <c r="J2538" s="77" t="n"/>
      <c r="K2538" s="77" t="n"/>
      <c r="L2538" s="74" t="n"/>
      <c r="M2538" s="74" t="n"/>
      <c r="O2538" s="78">
        <f>IF($A2538="","",YEAR($A2538)*100+MONTH($A2538))</f>
        <v/>
      </c>
      <c r="P2538" s="79">
        <f>IF(OR($F2538="",$D2538=""),"",IF($D2538="Receita",$F2538,IF($D2538="Transferência",0,-$F2538)))</f>
        <v/>
      </c>
    </row>
    <row r="2539">
      <c r="A2539" s="73" t="n"/>
      <c r="B2539" s="74" t="n"/>
      <c r="C2539" s="74" t="n"/>
      <c r="D2539" s="75">
        <f>IF($C2539="","",IFERROR(INDEX(CAT_TIPO,MATCH($C2539,CAT_NOME,0)),"Sem categoria"))</f>
        <v/>
      </c>
      <c r="E2539" s="75">
        <f>IF($C2539="","",IFERROR(INDEX(CAT_GRUPO,MATCH($C2539,CAT_NOME,0)),"Sem categoria"))</f>
        <v/>
      </c>
      <c r="F2539" s="76" t="n"/>
      <c r="G2539" s="74" t="n"/>
      <c r="H2539" s="74" t="n"/>
      <c r="I2539" s="74" t="n"/>
      <c r="J2539" s="77" t="n"/>
      <c r="K2539" s="77" t="n"/>
      <c r="L2539" s="74" t="n"/>
      <c r="M2539" s="74" t="n"/>
      <c r="O2539" s="78">
        <f>IF($A2539="","",YEAR($A2539)*100+MONTH($A2539))</f>
        <v/>
      </c>
      <c r="P2539" s="79">
        <f>IF(OR($F2539="",$D2539=""),"",IF($D2539="Receita",$F2539,IF($D2539="Transferência",0,-$F2539)))</f>
        <v/>
      </c>
    </row>
    <row r="2540">
      <c r="A2540" s="73" t="n"/>
      <c r="B2540" s="74" t="n"/>
      <c r="C2540" s="74" t="n"/>
      <c r="D2540" s="75">
        <f>IF($C2540="","",IFERROR(INDEX(CAT_TIPO,MATCH($C2540,CAT_NOME,0)),"Sem categoria"))</f>
        <v/>
      </c>
      <c r="E2540" s="75">
        <f>IF($C2540="","",IFERROR(INDEX(CAT_GRUPO,MATCH($C2540,CAT_NOME,0)),"Sem categoria"))</f>
        <v/>
      </c>
      <c r="F2540" s="76" t="n"/>
      <c r="G2540" s="74" t="n"/>
      <c r="H2540" s="74" t="n"/>
      <c r="I2540" s="74" t="n"/>
      <c r="J2540" s="77" t="n"/>
      <c r="K2540" s="77" t="n"/>
      <c r="L2540" s="74" t="n"/>
      <c r="M2540" s="74" t="n"/>
      <c r="O2540" s="78">
        <f>IF($A2540="","",YEAR($A2540)*100+MONTH($A2540))</f>
        <v/>
      </c>
      <c r="P2540" s="79">
        <f>IF(OR($F2540="",$D2540=""),"",IF($D2540="Receita",$F2540,IF($D2540="Transferência",0,-$F2540)))</f>
        <v/>
      </c>
    </row>
    <row r="2541">
      <c r="A2541" s="73" t="n"/>
      <c r="B2541" s="74" t="n"/>
      <c r="C2541" s="74" t="n"/>
      <c r="D2541" s="75">
        <f>IF($C2541="","",IFERROR(INDEX(CAT_TIPO,MATCH($C2541,CAT_NOME,0)),"Sem categoria"))</f>
        <v/>
      </c>
      <c r="E2541" s="75">
        <f>IF($C2541="","",IFERROR(INDEX(CAT_GRUPO,MATCH($C2541,CAT_NOME,0)),"Sem categoria"))</f>
        <v/>
      </c>
      <c r="F2541" s="76" t="n"/>
      <c r="G2541" s="74" t="n"/>
      <c r="H2541" s="74" t="n"/>
      <c r="I2541" s="74" t="n"/>
      <c r="J2541" s="77" t="n"/>
      <c r="K2541" s="77" t="n"/>
      <c r="L2541" s="74" t="n"/>
      <c r="M2541" s="74" t="n"/>
      <c r="O2541" s="78">
        <f>IF($A2541="","",YEAR($A2541)*100+MONTH($A2541))</f>
        <v/>
      </c>
      <c r="P2541" s="79">
        <f>IF(OR($F2541="",$D2541=""),"",IF($D2541="Receita",$F2541,IF($D2541="Transferência",0,-$F2541)))</f>
        <v/>
      </c>
    </row>
    <row r="2542">
      <c r="A2542" s="73" t="n"/>
      <c r="B2542" s="74" t="n"/>
      <c r="C2542" s="74" t="n"/>
      <c r="D2542" s="75">
        <f>IF($C2542="","",IFERROR(INDEX(CAT_TIPO,MATCH($C2542,CAT_NOME,0)),"Sem categoria"))</f>
        <v/>
      </c>
      <c r="E2542" s="75">
        <f>IF($C2542="","",IFERROR(INDEX(CAT_GRUPO,MATCH($C2542,CAT_NOME,0)),"Sem categoria"))</f>
        <v/>
      </c>
      <c r="F2542" s="76" t="n"/>
      <c r="G2542" s="74" t="n"/>
      <c r="H2542" s="74" t="n"/>
      <c r="I2542" s="74" t="n"/>
      <c r="J2542" s="77" t="n"/>
      <c r="K2542" s="77" t="n"/>
      <c r="L2542" s="74" t="n"/>
      <c r="M2542" s="74" t="n"/>
      <c r="O2542" s="78">
        <f>IF($A2542="","",YEAR($A2542)*100+MONTH($A2542))</f>
        <v/>
      </c>
      <c r="P2542" s="79">
        <f>IF(OR($F2542="",$D2542=""),"",IF($D2542="Receita",$F2542,IF($D2542="Transferência",0,-$F2542)))</f>
        <v/>
      </c>
    </row>
    <row r="2543">
      <c r="A2543" s="73" t="n"/>
      <c r="B2543" s="74" t="n"/>
      <c r="C2543" s="74" t="n"/>
      <c r="D2543" s="75">
        <f>IF($C2543="","",IFERROR(INDEX(CAT_TIPO,MATCH($C2543,CAT_NOME,0)),"Sem categoria"))</f>
        <v/>
      </c>
      <c r="E2543" s="75">
        <f>IF($C2543="","",IFERROR(INDEX(CAT_GRUPO,MATCH($C2543,CAT_NOME,0)),"Sem categoria"))</f>
        <v/>
      </c>
      <c r="F2543" s="76" t="n"/>
      <c r="G2543" s="74" t="n"/>
      <c r="H2543" s="74" t="n"/>
      <c r="I2543" s="74" t="n"/>
      <c r="J2543" s="77" t="n"/>
      <c r="K2543" s="77" t="n"/>
      <c r="L2543" s="74" t="n"/>
      <c r="M2543" s="74" t="n"/>
      <c r="O2543" s="78">
        <f>IF($A2543="","",YEAR($A2543)*100+MONTH($A2543))</f>
        <v/>
      </c>
      <c r="P2543" s="79">
        <f>IF(OR($F2543="",$D2543=""),"",IF($D2543="Receita",$F2543,IF($D2543="Transferência",0,-$F2543)))</f>
        <v/>
      </c>
    </row>
    <row r="2544">
      <c r="A2544" s="73" t="n"/>
      <c r="B2544" s="74" t="n"/>
      <c r="C2544" s="74" t="n"/>
      <c r="D2544" s="75">
        <f>IF($C2544="","",IFERROR(INDEX(CAT_TIPO,MATCH($C2544,CAT_NOME,0)),"Sem categoria"))</f>
        <v/>
      </c>
      <c r="E2544" s="75">
        <f>IF($C2544="","",IFERROR(INDEX(CAT_GRUPO,MATCH($C2544,CAT_NOME,0)),"Sem categoria"))</f>
        <v/>
      </c>
      <c r="F2544" s="76" t="n"/>
      <c r="G2544" s="74" t="n"/>
      <c r="H2544" s="74" t="n"/>
      <c r="I2544" s="74" t="n"/>
      <c r="J2544" s="77" t="n"/>
      <c r="K2544" s="77" t="n"/>
      <c r="L2544" s="74" t="n"/>
      <c r="M2544" s="74" t="n"/>
      <c r="O2544" s="78">
        <f>IF($A2544="","",YEAR($A2544)*100+MONTH($A2544))</f>
        <v/>
      </c>
      <c r="P2544" s="79">
        <f>IF(OR($F2544="",$D2544=""),"",IF($D2544="Receita",$F2544,IF($D2544="Transferência",0,-$F2544)))</f>
        <v/>
      </c>
    </row>
    <row r="2545">
      <c r="A2545" s="73" t="n"/>
      <c r="B2545" s="74" t="n"/>
      <c r="C2545" s="74" t="n"/>
      <c r="D2545" s="75">
        <f>IF($C2545="","",IFERROR(INDEX(CAT_TIPO,MATCH($C2545,CAT_NOME,0)),"Sem categoria"))</f>
        <v/>
      </c>
      <c r="E2545" s="75">
        <f>IF($C2545="","",IFERROR(INDEX(CAT_GRUPO,MATCH($C2545,CAT_NOME,0)),"Sem categoria"))</f>
        <v/>
      </c>
      <c r="F2545" s="76" t="n"/>
      <c r="G2545" s="74" t="n"/>
      <c r="H2545" s="74" t="n"/>
      <c r="I2545" s="74" t="n"/>
      <c r="J2545" s="77" t="n"/>
      <c r="K2545" s="77" t="n"/>
      <c r="L2545" s="74" t="n"/>
      <c r="M2545" s="74" t="n"/>
      <c r="O2545" s="78">
        <f>IF($A2545="","",YEAR($A2545)*100+MONTH($A2545))</f>
        <v/>
      </c>
      <c r="P2545" s="79">
        <f>IF(OR($F2545="",$D2545=""),"",IF($D2545="Receita",$F2545,IF($D2545="Transferência",0,-$F2545)))</f>
        <v/>
      </c>
    </row>
    <row r="2546">
      <c r="A2546" s="73" t="n"/>
      <c r="B2546" s="74" t="n"/>
      <c r="C2546" s="74" t="n"/>
      <c r="D2546" s="75">
        <f>IF($C2546="","",IFERROR(INDEX(CAT_TIPO,MATCH($C2546,CAT_NOME,0)),"Sem categoria"))</f>
        <v/>
      </c>
      <c r="E2546" s="75">
        <f>IF($C2546="","",IFERROR(INDEX(CAT_GRUPO,MATCH($C2546,CAT_NOME,0)),"Sem categoria"))</f>
        <v/>
      </c>
      <c r="F2546" s="76" t="n"/>
      <c r="G2546" s="74" t="n"/>
      <c r="H2546" s="74" t="n"/>
      <c r="I2546" s="74" t="n"/>
      <c r="J2546" s="77" t="n"/>
      <c r="K2546" s="77" t="n"/>
      <c r="L2546" s="74" t="n"/>
      <c r="M2546" s="74" t="n"/>
      <c r="O2546" s="78">
        <f>IF($A2546="","",YEAR($A2546)*100+MONTH($A2546))</f>
        <v/>
      </c>
      <c r="P2546" s="79">
        <f>IF(OR($F2546="",$D2546=""),"",IF($D2546="Receita",$F2546,IF($D2546="Transferência",0,-$F2546)))</f>
        <v/>
      </c>
    </row>
    <row r="2547">
      <c r="A2547" s="73" t="n"/>
      <c r="B2547" s="74" t="n"/>
      <c r="C2547" s="74" t="n"/>
      <c r="D2547" s="75">
        <f>IF($C2547="","",IFERROR(INDEX(CAT_TIPO,MATCH($C2547,CAT_NOME,0)),"Sem categoria"))</f>
        <v/>
      </c>
      <c r="E2547" s="75">
        <f>IF($C2547="","",IFERROR(INDEX(CAT_GRUPO,MATCH($C2547,CAT_NOME,0)),"Sem categoria"))</f>
        <v/>
      </c>
      <c r="F2547" s="76" t="n"/>
      <c r="G2547" s="74" t="n"/>
      <c r="H2547" s="74" t="n"/>
      <c r="I2547" s="74" t="n"/>
      <c r="J2547" s="77" t="n"/>
      <c r="K2547" s="77" t="n"/>
      <c r="L2547" s="74" t="n"/>
      <c r="M2547" s="74" t="n"/>
      <c r="O2547" s="78">
        <f>IF($A2547="","",YEAR($A2547)*100+MONTH($A2547))</f>
        <v/>
      </c>
      <c r="P2547" s="79">
        <f>IF(OR($F2547="",$D2547=""),"",IF($D2547="Receita",$F2547,IF($D2547="Transferência",0,-$F2547)))</f>
        <v/>
      </c>
    </row>
    <row r="2548">
      <c r="A2548" s="73" t="n"/>
      <c r="B2548" s="74" t="n"/>
      <c r="C2548" s="74" t="n"/>
      <c r="D2548" s="75">
        <f>IF($C2548="","",IFERROR(INDEX(CAT_TIPO,MATCH($C2548,CAT_NOME,0)),"Sem categoria"))</f>
        <v/>
      </c>
      <c r="E2548" s="75">
        <f>IF($C2548="","",IFERROR(INDEX(CAT_GRUPO,MATCH($C2548,CAT_NOME,0)),"Sem categoria"))</f>
        <v/>
      </c>
      <c r="F2548" s="76" t="n"/>
      <c r="G2548" s="74" t="n"/>
      <c r="H2548" s="74" t="n"/>
      <c r="I2548" s="74" t="n"/>
      <c r="J2548" s="77" t="n"/>
      <c r="K2548" s="77" t="n"/>
      <c r="L2548" s="74" t="n"/>
      <c r="M2548" s="74" t="n"/>
      <c r="O2548" s="78">
        <f>IF($A2548="","",YEAR($A2548)*100+MONTH($A2548))</f>
        <v/>
      </c>
      <c r="P2548" s="79">
        <f>IF(OR($F2548="",$D2548=""),"",IF($D2548="Receita",$F2548,IF($D2548="Transferência",0,-$F2548)))</f>
        <v/>
      </c>
    </row>
    <row r="2549">
      <c r="A2549" s="73" t="n"/>
      <c r="B2549" s="74" t="n"/>
      <c r="C2549" s="74" t="n"/>
      <c r="D2549" s="75">
        <f>IF($C2549="","",IFERROR(INDEX(CAT_TIPO,MATCH($C2549,CAT_NOME,0)),"Sem categoria"))</f>
        <v/>
      </c>
      <c r="E2549" s="75">
        <f>IF($C2549="","",IFERROR(INDEX(CAT_GRUPO,MATCH($C2549,CAT_NOME,0)),"Sem categoria"))</f>
        <v/>
      </c>
      <c r="F2549" s="76" t="n"/>
      <c r="G2549" s="74" t="n"/>
      <c r="H2549" s="74" t="n"/>
      <c r="I2549" s="74" t="n"/>
      <c r="J2549" s="77" t="n"/>
      <c r="K2549" s="77" t="n"/>
      <c r="L2549" s="74" t="n"/>
      <c r="M2549" s="74" t="n"/>
      <c r="O2549" s="78">
        <f>IF($A2549="","",YEAR($A2549)*100+MONTH($A2549))</f>
        <v/>
      </c>
      <c r="P2549" s="79">
        <f>IF(OR($F2549="",$D2549=""),"",IF($D2549="Receita",$F2549,IF($D2549="Transferência",0,-$F2549)))</f>
        <v/>
      </c>
    </row>
    <row r="2550">
      <c r="A2550" s="73" t="n"/>
      <c r="B2550" s="74" t="n"/>
      <c r="C2550" s="74" t="n"/>
      <c r="D2550" s="75">
        <f>IF($C2550="","",IFERROR(INDEX(CAT_TIPO,MATCH($C2550,CAT_NOME,0)),"Sem categoria"))</f>
        <v/>
      </c>
      <c r="E2550" s="75">
        <f>IF($C2550="","",IFERROR(INDEX(CAT_GRUPO,MATCH($C2550,CAT_NOME,0)),"Sem categoria"))</f>
        <v/>
      </c>
      <c r="F2550" s="76" t="n"/>
      <c r="G2550" s="74" t="n"/>
      <c r="H2550" s="74" t="n"/>
      <c r="I2550" s="74" t="n"/>
      <c r="J2550" s="77" t="n"/>
      <c r="K2550" s="77" t="n"/>
      <c r="L2550" s="74" t="n"/>
      <c r="M2550" s="74" t="n"/>
      <c r="O2550" s="78">
        <f>IF($A2550="","",YEAR($A2550)*100+MONTH($A2550))</f>
        <v/>
      </c>
      <c r="P2550" s="79">
        <f>IF(OR($F2550="",$D2550=""),"",IF($D2550="Receita",$F2550,IF($D2550="Transferência",0,-$F2550)))</f>
        <v/>
      </c>
    </row>
    <row r="2551">
      <c r="A2551" s="73" t="n"/>
      <c r="B2551" s="74" t="n"/>
      <c r="C2551" s="74" t="n"/>
      <c r="D2551" s="75">
        <f>IF($C2551="","",IFERROR(INDEX(CAT_TIPO,MATCH($C2551,CAT_NOME,0)),"Sem categoria"))</f>
        <v/>
      </c>
      <c r="E2551" s="75">
        <f>IF($C2551="","",IFERROR(INDEX(CAT_GRUPO,MATCH($C2551,CAT_NOME,0)),"Sem categoria"))</f>
        <v/>
      </c>
      <c r="F2551" s="76" t="n"/>
      <c r="G2551" s="74" t="n"/>
      <c r="H2551" s="74" t="n"/>
      <c r="I2551" s="74" t="n"/>
      <c r="J2551" s="77" t="n"/>
      <c r="K2551" s="77" t="n"/>
      <c r="L2551" s="74" t="n"/>
      <c r="M2551" s="74" t="n"/>
      <c r="O2551" s="78">
        <f>IF($A2551="","",YEAR($A2551)*100+MONTH($A2551))</f>
        <v/>
      </c>
      <c r="P2551" s="79">
        <f>IF(OR($F2551="",$D2551=""),"",IF($D2551="Receita",$F2551,IF($D2551="Transferência",0,-$F2551)))</f>
        <v/>
      </c>
    </row>
    <row r="2552">
      <c r="A2552" s="73" t="n"/>
      <c r="B2552" s="74" t="n"/>
      <c r="C2552" s="74" t="n"/>
      <c r="D2552" s="75">
        <f>IF($C2552="","",IFERROR(INDEX(CAT_TIPO,MATCH($C2552,CAT_NOME,0)),"Sem categoria"))</f>
        <v/>
      </c>
      <c r="E2552" s="75">
        <f>IF($C2552="","",IFERROR(INDEX(CAT_GRUPO,MATCH($C2552,CAT_NOME,0)),"Sem categoria"))</f>
        <v/>
      </c>
      <c r="F2552" s="76" t="n"/>
      <c r="G2552" s="74" t="n"/>
      <c r="H2552" s="74" t="n"/>
      <c r="I2552" s="74" t="n"/>
      <c r="J2552" s="77" t="n"/>
      <c r="K2552" s="77" t="n"/>
      <c r="L2552" s="74" t="n"/>
      <c r="M2552" s="74" t="n"/>
      <c r="O2552" s="78">
        <f>IF($A2552="","",YEAR($A2552)*100+MONTH($A2552))</f>
        <v/>
      </c>
      <c r="P2552" s="79">
        <f>IF(OR($F2552="",$D2552=""),"",IF($D2552="Receita",$F2552,IF($D2552="Transferência",0,-$F2552)))</f>
        <v/>
      </c>
    </row>
    <row r="2553">
      <c r="A2553" s="73" t="n"/>
      <c r="B2553" s="74" t="n"/>
      <c r="C2553" s="74" t="n"/>
      <c r="D2553" s="75">
        <f>IF($C2553="","",IFERROR(INDEX(CAT_TIPO,MATCH($C2553,CAT_NOME,0)),"Sem categoria"))</f>
        <v/>
      </c>
      <c r="E2553" s="75">
        <f>IF($C2553="","",IFERROR(INDEX(CAT_GRUPO,MATCH($C2553,CAT_NOME,0)),"Sem categoria"))</f>
        <v/>
      </c>
      <c r="F2553" s="76" t="n"/>
      <c r="G2553" s="74" t="n"/>
      <c r="H2553" s="74" t="n"/>
      <c r="I2553" s="74" t="n"/>
      <c r="J2553" s="77" t="n"/>
      <c r="K2553" s="77" t="n"/>
      <c r="L2553" s="74" t="n"/>
      <c r="M2553" s="74" t="n"/>
      <c r="O2553" s="78">
        <f>IF($A2553="","",YEAR($A2553)*100+MONTH($A2553))</f>
        <v/>
      </c>
      <c r="P2553" s="79">
        <f>IF(OR($F2553="",$D2553=""),"",IF($D2553="Receita",$F2553,IF($D2553="Transferência",0,-$F2553)))</f>
        <v/>
      </c>
    </row>
    <row r="2554">
      <c r="A2554" s="73" t="n"/>
      <c r="B2554" s="74" t="n"/>
      <c r="C2554" s="74" t="n"/>
      <c r="D2554" s="75">
        <f>IF($C2554="","",IFERROR(INDEX(CAT_TIPO,MATCH($C2554,CAT_NOME,0)),"Sem categoria"))</f>
        <v/>
      </c>
      <c r="E2554" s="75">
        <f>IF($C2554="","",IFERROR(INDEX(CAT_GRUPO,MATCH($C2554,CAT_NOME,0)),"Sem categoria"))</f>
        <v/>
      </c>
      <c r="F2554" s="76" t="n"/>
      <c r="G2554" s="74" t="n"/>
      <c r="H2554" s="74" t="n"/>
      <c r="I2554" s="74" t="n"/>
      <c r="J2554" s="77" t="n"/>
      <c r="K2554" s="77" t="n"/>
      <c r="L2554" s="74" t="n"/>
      <c r="M2554" s="74" t="n"/>
      <c r="O2554" s="78">
        <f>IF($A2554="","",YEAR($A2554)*100+MONTH($A2554))</f>
        <v/>
      </c>
      <c r="P2554" s="79">
        <f>IF(OR($F2554="",$D2554=""),"",IF($D2554="Receita",$F2554,IF($D2554="Transferência",0,-$F2554)))</f>
        <v/>
      </c>
    </row>
    <row r="2555">
      <c r="A2555" s="73" t="n"/>
      <c r="B2555" s="74" t="n"/>
      <c r="C2555" s="74" t="n"/>
      <c r="D2555" s="75">
        <f>IF($C2555="","",IFERROR(INDEX(CAT_TIPO,MATCH($C2555,CAT_NOME,0)),"Sem categoria"))</f>
        <v/>
      </c>
      <c r="E2555" s="75">
        <f>IF($C2555="","",IFERROR(INDEX(CAT_GRUPO,MATCH($C2555,CAT_NOME,0)),"Sem categoria"))</f>
        <v/>
      </c>
      <c r="F2555" s="76" t="n"/>
      <c r="G2555" s="74" t="n"/>
      <c r="H2555" s="74" t="n"/>
      <c r="I2555" s="74" t="n"/>
      <c r="J2555" s="77" t="n"/>
      <c r="K2555" s="77" t="n"/>
      <c r="L2555" s="74" t="n"/>
      <c r="M2555" s="74" t="n"/>
      <c r="O2555" s="78">
        <f>IF($A2555="","",YEAR($A2555)*100+MONTH($A2555))</f>
        <v/>
      </c>
      <c r="P2555" s="79">
        <f>IF(OR($F2555="",$D2555=""),"",IF($D2555="Receita",$F2555,IF($D2555="Transferência",0,-$F2555)))</f>
        <v/>
      </c>
    </row>
    <row r="2556">
      <c r="A2556" s="73" t="n"/>
      <c r="B2556" s="74" t="n"/>
      <c r="C2556" s="74" t="n"/>
      <c r="D2556" s="75">
        <f>IF($C2556="","",IFERROR(INDEX(CAT_TIPO,MATCH($C2556,CAT_NOME,0)),"Sem categoria"))</f>
        <v/>
      </c>
      <c r="E2556" s="75">
        <f>IF($C2556="","",IFERROR(INDEX(CAT_GRUPO,MATCH($C2556,CAT_NOME,0)),"Sem categoria"))</f>
        <v/>
      </c>
      <c r="F2556" s="76" t="n"/>
      <c r="G2556" s="74" t="n"/>
      <c r="H2556" s="74" t="n"/>
      <c r="I2556" s="74" t="n"/>
      <c r="J2556" s="77" t="n"/>
      <c r="K2556" s="77" t="n"/>
      <c r="L2556" s="74" t="n"/>
      <c r="M2556" s="74" t="n"/>
      <c r="O2556" s="78">
        <f>IF($A2556="","",YEAR($A2556)*100+MONTH($A2556))</f>
        <v/>
      </c>
      <c r="P2556" s="79">
        <f>IF(OR($F2556="",$D2556=""),"",IF($D2556="Receita",$F2556,IF($D2556="Transferência",0,-$F2556)))</f>
        <v/>
      </c>
    </row>
    <row r="2557">
      <c r="A2557" s="73" t="n"/>
      <c r="B2557" s="74" t="n"/>
      <c r="C2557" s="74" t="n"/>
      <c r="D2557" s="75">
        <f>IF($C2557="","",IFERROR(INDEX(CAT_TIPO,MATCH($C2557,CAT_NOME,0)),"Sem categoria"))</f>
        <v/>
      </c>
      <c r="E2557" s="75">
        <f>IF($C2557="","",IFERROR(INDEX(CAT_GRUPO,MATCH($C2557,CAT_NOME,0)),"Sem categoria"))</f>
        <v/>
      </c>
      <c r="F2557" s="76" t="n"/>
      <c r="G2557" s="74" t="n"/>
      <c r="H2557" s="74" t="n"/>
      <c r="I2557" s="74" t="n"/>
      <c r="J2557" s="77" t="n"/>
      <c r="K2557" s="77" t="n"/>
      <c r="L2557" s="74" t="n"/>
      <c r="M2557" s="74" t="n"/>
      <c r="O2557" s="78">
        <f>IF($A2557="","",YEAR($A2557)*100+MONTH($A2557))</f>
        <v/>
      </c>
      <c r="P2557" s="79">
        <f>IF(OR($F2557="",$D2557=""),"",IF($D2557="Receita",$F2557,IF($D2557="Transferência",0,-$F2557)))</f>
        <v/>
      </c>
    </row>
    <row r="2558">
      <c r="A2558" s="73" t="n"/>
      <c r="B2558" s="74" t="n"/>
      <c r="C2558" s="74" t="n"/>
      <c r="D2558" s="75">
        <f>IF($C2558="","",IFERROR(INDEX(CAT_TIPO,MATCH($C2558,CAT_NOME,0)),"Sem categoria"))</f>
        <v/>
      </c>
      <c r="E2558" s="75">
        <f>IF($C2558="","",IFERROR(INDEX(CAT_GRUPO,MATCH($C2558,CAT_NOME,0)),"Sem categoria"))</f>
        <v/>
      </c>
      <c r="F2558" s="76" t="n"/>
      <c r="G2558" s="74" t="n"/>
      <c r="H2558" s="74" t="n"/>
      <c r="I2558" s="74" t="n"/>
      <c r="J2558" s="77" t="n"/>
      <c r="K2558" s="77" t="n"/>
      <c r="L2558" s="74" t="n"/>
      <c r="M2558" s="74" t="n"/>
      <c r="O2558" s="78">
        <f>IF($A2558="","",YEAR($A2558)*100+MONTH($A2558))</f>
        <v/>
      </c>
      <c r="P2558" s="79">
        <f>IF(OR($F2558="",$D2558=""),"",IF($D2558="Receita",$F2558,IF($D2558="Transferência",0,-$F2558)))</f>
        <v/>
      </c>
    </row>
    <row r="2559">
      <c r="A2559" s="73" t="n"/>
      <c r="B2559" s="74" t="n"/>
      <c r="C2559" s="74" t="n"/>
      <c r="D2559" s="75">
        <f>IF($C2559="","",IFERROR(INDEX(CAT_TIPO,MATCH($C2559,CAT_NOME,0)),"Sem categoria"))</f>
        <v/>
      </c>
      <c r="E2559" s="75">
        <f>IF($C2559="","",IFERROR(INDEX(CAT_GRUPO,MATCH($C2559,CAT_NOME,0)),"Sem categoria"))</f>
        <v/>
      </c>
      <c r="F2559" s="76" t="n"/>
      <c r="G2559" s="74" t="n"/>
      <c r="H2559" s="74" t="n"/>
      <c r="I2559" s="74" t="n"/>
      <c r="J2559" s="77" t="n"/>
      <c r="K2559" s="77" t="n"/>
      <c r="L2559" s="74" t="n"/>
      <c r="M2559" s="74" t="n"/>
      <c r="O2559" s="78">
        <f>IF($A2559="","",YEAR($A2559)*100+MONTH($A2559))</f>
        <v/>
      </c>
      <c r="P2559" s="79">
        <f>IF(OR($F2559="",$D2559=""),"",IF($D2559="Receita",$F2559,IF($D2559="Transferência",0,-$F2559)))</f>
        <v/>
      </c>
    </row>
    <row r="2560">
      <c r="A2560" s="73" t="n"/>
      <c r="B2560" s="74" t="n"/>
      <c r="C2560" s="74" t="n"/>
      <c r="D2560" s="75">
        <f>IF($C2560="","",IFERROR(INDEX(CAT_TIPO,MATCH($C2560,CAT_NOME,0)),"Sem categoria"))</f>
        <v/>
      </c>
      <c r="E2560" s="75">
        <f>IF($C2560="","",IFERROR(INDEX(CAT_GRUPO,MATCH($C2560,CAT_NOME,0)),"Sem categoria"))</f>
        <v/>
      </c>
      <c r="F2560" s="76" t="n"/>
      <c r="G2560" s="74" t="n"/>
      <c r="H2560" s="74" t="n"/>
      <c r="I2560" s="74" t="n"/>
      <c r="J2560" s="77" t="n"/>
      <c r="K2560" s="77" t="n"/>
      <c r="L2560" s="74" t="n"/>
      <c r="M2560" s="74" t="n"/>
      <c r="O2560" s="78">
        <f>IF($A2560="","",YEAR($A2560)*100+MONTH($A2560))</f>
        <v/>
      </c>
      <c r="P2560" s="79">
        <f>IF(OR($F2560="",$D2560=""),"",IF($D2560="Receita",$F2560,IF($D2560="Transferência",0,-$F2560)))</f>
        <v/>
      </c>
    </row>
    <row r="2561">
      <c r="A2561" s="73" t="n"/>
      <c r="B2561" s="74" t="n"/>
      <c r="C2561" s="74" t="n"/>
      <c r="D2561" s="75">
        <f>IF($C2561="","",IFERROR(INDEX(CAT_TIPO,MATCH($C2561,CAT_NOME,0)),"Sem categoria"))</f>
        <v/>
      </c>
      <c r="E2561" s="75">
        <f>IF($C2561="","",IFERROR(INDEX(CAT_GRUPO,MATCH($C2561,CAT_NOME,0)),"Sem categoria"))</f>
        <v/>
      </c>
      <c r="F2561" s="76" t="n"/>
      <c r="G2561" s="74" t="n"/>
      <c r="H2561" s="74" t="n"/>
      <c r="I2561" s="74" t="n"/>
      <c r="J2561" s="77" t="n"/>
      <c r="K2561" s="77" t="n"/>
      <c r="L2561" s="74" t="n"/>
      <c r="M2561" s="74" t="n"/>
      <c r="O2561" s="78">
        <f>IF($A2561="","",YEAR($A2561)*100+MONTH($A2561))</f>
        <v/>
      </c>
      <c r="P2561" s="79">
        <f>IF(OR($F2561="",$D2561=""),"",IF($D2561="Receita",$F2561,IF($D2561="Transferência",0,-$F2561)))</f>
        <v/>
      </c>
    </row>
    <row r="2562">
      <c r="A2562" s="73" t="n"/>
      <c r="B2562" s="74" t="n"/>
      <c r="C2562" s="74" t="n"/>
      <c r="D2562" s="75">
        <f>IF($C2562="","",IFERROR(INDEX(CAT_TIPO,MATCH($C2562,CAT_NOME,0)),"Sem categoria"))</f>
        <v/>
      </c>
      <c r="E2562" s="75">
        <f>IF($C2562="","",IFERROR(INDEX(CAT_GRUPO,MATCH($C2562,CAT_NOME,0)),"Sem categoria"))</f>
        <v/>
      </c>
      <c r="F2562" s="76" t="n"/>
      <c r="G2562" s="74" t="n"/>
      <c r="H2562" s="74" t="n"/>
      <c r="I2562" s="74" t="n"/>
      <c r="J2562" s="77" t="n"/>
      <c r="K2562" s="77" t="n"/>
      <c r="L2562" s="74" t="n"/>
      <c r="M2562" s="74" t="n"/>
      <c r="O2562" s="78">
        <f>IF($A2562="","",YEAR($A2562)*100+MONTH($A2562))</f>
        <v/>
      </c>
      <c r="P2562" s="79">
        <f>IF(OR($F2562="",$D2562=""),"",IF($D2562="Receita",$F2562,IF($D2562="Transferência",0,-$F2562)))</f>
        <v/>
      </c>
    </row>
    <row r="2563">
      <c r="A2563" s="73" t="n"/>
      <c r="B2563" s="74" t="n"/>
      <c r="C2563" s="74" t="n"/>
      <c r="D2563" s="75">
        <f>IF($C2563="","",IFERROR(INDEX(CAT_TIPO,MATCH($C2563,CAT_NOME,0)),"Sem categoria"))</f>
        <v/>
      </c>
      <c r="E2563" s="75">
        <f>IF($C2563="","",IFERROR(INDEX(CAT_GRUPO,MATCH($C2563,CAT_NOME,0)),"Sem categoria"))</f>
        <v/>
      </c>
      <c r="F2563" s="76" t="n"/>
      <c r="G2563" s="74" t="n"/>
      <c r="H2563" s="74" t="n"/>
      <c r="I2563" s="74" t="n"/>
      <c r="J2563" s="77" t="n"/>
      <c r="K2563" s="77" t="n"/>
      <c r="L2563" s="74" t="n"/>
      <c r="M2563" s="74" t="n"/>
      <c r="O2563" s="78">
        <f>IF($A2563="","",YEAR($A2563)*100+MONTH($A2563))</f>
        <v/>
      </c>
      <c r="P2563" s="79">
        <f>IF(OR($F2563="",$D2563=""),"",IF($D2563="Receita",$F2563,IF($D2563="Transferência",0,-$F2563)))</f>
        <v/>
      </c>
    </row>
    <row r="2564">
      <c r="A2564" s="73" t="n"/>
      <c r="B2564" s="74" t="n"/>
      <c r="C2564" s="74" t="n"/>
      <c r="D2564" s="75">
        <f>IF($C2564="","",IFERROR(INDEX(CAT_TIPO,MATCH($C2564,CAT_NOME,0)),"Sem categoria"))</f>
        <v/>
      </c>
      <c r="E2564" s="75">
        <f>IF($C2564="","",IFERROR(INDEX(CAT_GRUPO,MATCH($C2564,CAT_NOME,0)),"Sem categoria"))</f>
        <v/>
      </c>
      <c r="F2564" s="76" t="n"/>
      <c r="G2564" s="74" t="n"/>
      <c r="H2564" s="74" t="n"/>
      <c r="I2564" s="74" t="n"/>
      <c r="J2564" s="77" t="n"/>
      <c r="K2564" s="77" t="n"/>
      <c r="L2564" s="74" t="n"/>
      <c r="M2564" s="74" t="n"/>
      <c r="O2564" s="78">
        <f>IF($A2564="","",YEAR($A2564)*100+MONTH($A2564))</f>
        <v/>
      </c>
      <c r="P2564" s="79">
        <f>IF(OR($F2564="",$D2564=""),"",IF($D2564="Receita",$F2564,IF($D2564="Transferência",0,-$F2564)))</f>
        <v/>
      </c>
    </row>
    <row r="2565">
      <c r="A2565" s="73" t="n"/>
      <c r="B2565" s="74" t="n"/>
      <c r="C2565" s="74" t="n"/>
      <c r="D2565" s="75">
        <f>IF($C2565="","",IFERROR(INDEX(CAT_TIPO,MATCH($C2565,CAT_NOME,0)),"Sem categoria"))</f>
        <v/>
      </c>
      <c r="E2565" s="75">
        <f>IF($C2565="","",IFERROR(INDEX(CAT_GRUPO,MATCH($C2565,CAT_NOME,0)),"Sem categoria"))</f>
        <v/>
      </c>
      <c r="F2565" s="76" t="n"/>
      <c r="G2565" s="74" t="n"/>
      <c r="H2565" s="74" t="n"/>
      <c r="I2565" s="74" t="n"/>
      <c r="J2565" s="77" t="n"/>
      <c r="K2565" s="77" t="n"/>
      <c r="L2565" s="74" t="n"/>
      <c r="M2565" s="74" t="n"/>
      <c r="O2565" s="78">
        <f>IF($A2565="","",YEAR($A2565)*100+MONTH($A2565))</f>
        <v/>
      </c>
      <c r="P2565" s="79">
        <f>IF(OR($F2565="",$D2565=""),"",IF($D2565="Receita",$F2565,IF($D2565="Transferência",0,-$F2565)))</f>
        <v/>
      </c>
    </row>
    <row r="2566">
      <c r="A2566" s="73" t="n"/>
      <c r="B2566" s="74" t="n"/>
      <c r="C2566" s="74" t="n"/>
      <c r="D2566" s="75">
        <f>IF($C2566="","",IFERROR(INDEX(CAT_TIPO,MATCH($C2566,CAT_NOME,0)),"Sem categoria"))</f>
        <v/>
      </c>
      <c r="E2566" s="75">
        <f>IF($C2566="","",IFERROR(INDEX(CAT_GRUPO,MATCH($C2566,CAT_NOME,0)),"Sem categoria"))</f>
        <v/>
      </c>
      <c r="F2566" s="76" t="n"/>
      <c r="G2566" s="74" t="n"/>
      <c r="H2566" s="74" t="n"/>
      <c r="I2566" s="74" t="n"/>
      <c r="J2566" s="77" t="n"/>
      <c r="K2566" s="77" t="n"/>
      <c r="L2566" s="74" t="n"/>
      <c r="M2566" s="74" t="n"/>
      <c r="O2566" s="78">
        <f>IF($A2566="","",YEAR($A2566)*100+MONTH($A2566))</f>
        <v/>
      </c>
      <c r="P2566" s="79">
        <f>IF(OR($F2566="",$D2566=""),"",IF($D2566="Receita",$F2566,IF($D2566="Transferência",0,-$F2566)))</f>
        <v/>
      </c>
    </row>
    <row r="2567">
      <c r="A2567" s="73" t="n"/>
      <c r="B2567" s="74" t="n"/>
      <c r="C2567" s="74" t="n"/>
      <c r="D2567" s="75">
        <f>IF($C2567="","",IFERROR(INDEX(CAT_TIPO,MATCH($C2567,CAT_NOME,0)),"Sem categoria"))</f>
        <v/>
      </c>
      <c r="E2567" s="75">
        <f>IF($C2567="","",IFERROR(INDEX(CAT_GRUPO,MATCH($C2567,CAT_NOME,0)),"Sem categoria"))</f>
        <v/>
      </c>
      <c r="F2567" s="76" t="n"/>
      <c r="G2567" s="74" t="n"/>
      <c r="H2567" s="74" t="n"/>
      <c r="I2567" s="74" t="n"/>
      <c r="J2567" s="77" t="n"/>
      <c r="K2567" s="77" t="n"/>
      <c r="L2567" s="74" t="n"/>
      <c r="M2567" s="74" t="n"/>
      <c r="O2567" s="78">
        <f>IF($A2567="","",YEAR($A2567)*100+MONTH($A2567))</f>
        <v/>
      </c>
      <c r="P2567" s="79">
        <f>IF(OR($F2567="",$D2567=""),"",IF($D2567="Receita",$F2567,IF($D2567="Transferência",0,-$F2567)))</f>
        <v/>
      </c>
    </row>
    <row r="2568">
      <c r="A2568" s="73" t="n"/>
      <c r="B2568" s="74" t="n"/>
      <c r="C2568" s="74" t="n"/>
      <c r="D2568" s="75">
        <f>IF($C2568="","",IFERROR(INDEX(CAT_TIPO,MATCH($C2568,CAT_NOME,0)),"Sem categoria"))</f>
        <v/>
      </c>
      <c r="E2568" s="75">
        <f>IF($C2568="","",IFERROR(INDEX(CAT_GRUPO,MATCH($C2568,CAT_NOME,0)),"Sem categoria"))</f>
        <v/>
      </c>
      <c r="F2568" s="76" t="n"/>
      <c r="G2568" s="74" t="n"/>
      <c r="H2568" s="74" t="n"/>
      <c r="I2568" s="74" t="n"/>
      <c r="J2568" s="77" t="n"/>
      <c r="K2568" s="77" t="n"/>
      <c r="L2568" s="74" t="n"/>
      <c r="M2568" s="74" t="n"/>
      <c r="O2568" s="78">
        <f>IF($A2568="","",YEAR($A2568)*100+MONTH($A2568))</f>
        <v/>
      </c>
      <c r="P2568" s="79">
        <f>IF(OR($F2568="",$D2568=""),"",IF($D2568="Receita",$F2568,IF($D2568="Transferência",0,-$F2568)))</f>
        <v/>
      </c>
    </row>
    <row r="2569">
      <c r="A2569" s="73" t="n"/>
      <c r="B2569" s="74" t="n"/>
      <c r="C2569" s="74" t="n"/>
      <c r="D2569" s="75">
        <f>IF($C2569="","",IFERROR(INDEX(CAT_TIPO,MATCH($C2569,CAT_NOME,0)),"Sem categoria"))</f>
        <v/>
      </c>
      <c r="E2569" s="75">
        <f>IF($C2569="","",IFERROR(INDEX(CAT_GRUPO,MATCH($C2569,CAT_NOME,0)),"Sem categoria"))</f>
        <v/>
      </c>
      <c r="F2569" s="76" t="n"/>
      <c r="G2569" s="74" t="n"/>
      <c r="H2569" s="74" t="n"/>
      <c r="I2569" s="74" t="n"/>
      <c r="J2569" s="77" t="n"/>
      <c r="K2569" s="77" t="n"/>
      <c r="L2569" s="74" t="n"/>
      <c r="M2569" s="74" t="n"/>
      <c r="O2569" s="78">
        <f>IF($A2569="","",YEAR($A2569)*100+MONTH($A2569))</f>
        <v/>
      </c>
      <c r="P2569" s="79">
        <f>IF(OR($F2569="",$D2569=""),"",IF($D2569="Receita",$F2569,IF($D2569="Transferência",0,-$F2569)))</f>
        <v/>
      </c>
    </row>
    <row r="2570">
      <c r="A2570" s="73" t="n"/>
      <c r="B2570" s="74" t="n"/>
      <c r="C2570" s="74" t="n"/>
      <c r="D2570" s="75">
        <f>IF($C2570="","",IFERROR(INDEX(CAT_TIPO,MATCH($C2570,CAT_NOME,0)),"Sem categoria"))</f>
        <v/>
      </c>
      <c r="E2570" s="75">
        <f>IF($C2570="","",IFERROR(INDEX(CAT_GRUPO,MATCH($C2570,CAT_NOME,0)),"Sem categoria"))</f>
        <v/>
      </c>
      <c r="F2570" s="76" t="n"/>
      <c r="G2570" s="74" t="n"/>
      <c r="H2570" s="74" t="n"/>
      <c r="I2570" s="74" t="n"/>
      <c r="J2570" s="77" t="n"/>
      <c r="K2570" s="77" t="n"/>
      <c r="L2570" s="74" t="n"/>
      <c r="M2570" s="74" t="n"/>
      <c r="O2570" s="78">
        <f>IF($A2570="","",YEAR($A2570)*100+MONTH($A2570))</f>
        <v/>
      </c>
      <c r="P2570" s="79">
        <f>IF(OR($F2570="",$D2570=""),"",IF($D2570="Receita",$F2570,IF($D2570="Transferência",0,-$F2570)))</f>
        <v/>
      </c>
    </row>
    <row r="2571">
      <c r="A2571" s="73" t="n"/>
      <c r="B2571" s="74" t="n"/>
      <c r="C2571" s="74" t="n"/>
      <c r="D2571" s="75">
        <f>IF($C2571="","",IFERROR(INDEX(CAT_TIPO,MATCH($C2571,CAT_NOME,0)),"Sem categoria"))</f>
        <v/>
      </c>
      <c r="E2571" s="75">
        <f>IF($C2571="","",IFERROR(INDEX(CAT_GRUPO,MATCH($C2571,CAT_NOME,0)),"Sem categoria"))</f>
        <v/>
      </c>
      <c r="F2571" s="76" t="n"/>
      <c r="G2571" s="74" t="n"/>
      <c r="H2571" s="74" t="n"/>
      <c r="I2571" s="74" t="n"/>
      <c r="J2571" s="77" t="n"/>
      <c r="K2571" s="77" t="n"/>
      <c r="L2571" s="74" t="n"/>
      <c r="M2571" s="74" t="n"/>
      <c r="O2571" s="78">
        <f>IF($A2571="","",YEAR($A2571)*100+MONTH($A2571))</f>
        <v/>
      </c>
      <c r="P2571" s="79">
        <f>IF(OR($F2571="",$D2571=""),"",IF($D2571="Receita",$F2571,IF($D2571="Transferência",0,-$F2571)))</f>
        <v/>
      </c>
    </row>
    <row r="2572">
      <c r="A2572" s="73" t="n"/>
      <c r="B2572" s="74" t="n"/>
      <c r="C2572" s="74" t="n"/>
      <c r="D2572" s="75">
        <f>IF($C2572="","",IFERROR(INDEX(CAT_TIPO,MATCH($C2572,CAT_NOME,0)),"Sem categoria"))</f>
        <v/>
      </c>
      <c r="E2572" s="75">
        <f>IF($C2572="","",IFERROR(INDEX(CAT_GRUPO,MATCH($C2572,CAT_NOME,0)),"Sem categoria"))</f>
        <v/>
      </c>
      <c r="F2572" s="76" t="n"/>
      <c r="G2572" s="74" t="n"/>
      <c r="H2572" s="74" t="n"/>
      <c r="I2572" s="74" t="n"/>
      <c r="J2572" s="77" t="n"/>
      <c r="K2572" s="77" t="n"/>
      <c r="L2572" s="74" t="n"/>
      <c r="M2572" s="74" t="n"/>
      <c r="O2572" s="78">
        <f>IF($A2572="","",YEAR($A2572)*100+MONTH($A2572))</f>
        <v/>
      </c>
      <c r="P2572" s="79">
        <f>IF(OR($F2572="",$D2572=""),"",IF($D2572="Receita",$F2572,IF($D2572="Transferência",0,-$F2572)))</f>
        <v/>
      </c>
    </row>
    <row r="2573">
      <c r="A2573" s="73" t="n"/>
      <c r="B2573" s="74" t="n"/>
      <c r="C2573" s="74" t="n"/>
      <c r="D2573" s="75">
        <f>IF($C2573="","",IFERROR(INDEX(CAT_TIPO,MATCH($C2573,CAT_NOME,0)),"Sem categoria"))</f>
        <v/>
      </c>
      <c r="E2573" s="75">
        <f>IF($C2573="","",IFERROR(INDEX(CAT_GRUPO,MATCH($C2573,CAT_NOME,0)),"Sem categoria"))</f>
        <v/>
      </c>
      <c r="F2573" s="76" t="n"/>
      <c r="G2573" s="74" t="n"/>
      <c r="H2573" s="74" t="n"/>
      <c r="I2573" s="74" t="n"/>
      <c r="J2573" s="77" t="n"/>
      <c r="K2573" s="77" t="n"/>
      <c r="L2573" s="74" t="n"/>
      <c r="M2573" s="74" t="n"/>
      <c r="O2573" s="78">
        <f>IF($A2573="","",YEAR($A2573)*100+MONTH($A2573))</f>
        <v/>
      </c>
      <c r="P2573" s="79">
        <f>IF(OR($F2573="",$D2573=""),"",IF($D2573="Receita",$F2573,IF($D2573="Transferência",0,-$F2573)))</f>
        <v/>
      </c>
    </row>
    <row r="2574">
      <c r="A2574" s="73" t="n"/>
      <c r="B2574" s="74" t="n"/>
      <c r="C2574" s="74" t="n"/>
      <c r="D2574" s="75">
        <f>IF($C2574="","",IFERROR(INDEX(CAT_TIPO,MATCH($C2574,CAT_NOME,0)),"Sem categoria"))</f>
        <v/>
      </c>
      <c r="E2574" s="75">
        <f>IF($C2574="","",IFERROR(INDEX(CAT_GRUPO,MATCH($C2574,CAT_NOME,0)),"Sem categoria"))</f>
        <v/>
      </c>
      <c r="F2574" s="76" t="n"/>
      <c r="G2574" s="74" t="n"/>
      <c r="H2574" s="74" t="n"/>
      <c r="I2574" s="74" t="n"/>
      <c r="J2574" s="77" t="n"/>
      <c r="K2574" s="77" t="n"/>
      <c r="L2574" s="74" t="n"/>
      <c r="M2574" s="74" t="n"/>
      <c r="O2574" s="78">
        <f>IF($A2574="","",YEAR($A2574)*100+MONTH($A2574))</f>
        <v/>
      </c>
      <c r="P2574" s="79">
        <f>IF(OR($F2574="",$D2574=""),"",IF($D2574="Receita",$F2574,IF($D2574="Transferência",0,-$F2574)))</f>
        <v/>
      </c>
    </row>
    <row r="2575">
      <c r="A2575" s="73" t="n"/>
      <c r="B2575" s="74" t="n"/>
      <c r="C2575" s="74" t="n"/>
      <c r="D2575" s="75">
        <f>IF($C2575="","",IFERROR(INDEX(CAT_TIPO,MATCH($C2575,CAT_NOME,0)),"Sem categoria"))</f>
        <v/>
      </c>
      <c r="E2575" s="75">
        <f>IF($C2575="","",IFERROR(INDEX(CAT_GRUPO,MATCH($C2575,CAT_NOME,0)),"Sem categoria"))</f>
        <v/>
      </c>
      <c r="F2575" s="76" t="n"/>
      <c r="G2575" s="74" t="n"/>
      <c r="H2575" s="74" t="n"/>
      <c r="I2575" s="74" t="n"/>
      <c r="J2575" s="77" t="n"/>
      <c r="K2575" s="77" t="n"/>
      <c r="L2575" s="74" t="n"/>
      <c r="M2575" s="74" t="n"/>
      <c r="O2575" s="78">
        <f>IF($A2575="","",YEAR($A2575)*100+MONTH($A2575))</f>
        <v/>
      </c>
      <c r="P2575" s="79">
        <f>IF(OR($F2575="",$D2575=""),"",IF($D2575="Receita",$F2575,IF($D2575="Transferência",0,-$F2575)))</f>
        <v/>
      </c>
    </row>
    <row r="2576">
      <c r="A2576" s="73" t="n"/>
      <c r="B2576" s="74" t="n"/>
      <c r="C2576" s="74" t="n"/>
      <c r="D2576" s="75">
        <f>IF($C2576="","",IFERROR(INDEX(CAT_TIPO,MATCH($C2576,CAT_NOME,0)),"Sem categoria"))</f>
        <v/>
      </c>
      <c r="E2576" s="75">
        <f>IF($C2576="","",IFERROR(INDEX(CAT_GRUPO,MATCH($C2576,CAT_NOME,0)),"Sem categoria"))</f>
        <v/>
      </c>
      <c r="F2576" s="76" t="n"/>
      <c r="G2576" s="74" t="n"/>
      <c r="H2576" s="74" t="n"/>
      <c r="I2576" s="74" t="n"/>
      <c r="J2576" s="77" t="n"/>
      <c r="K2576" s="77" t="n"/>
      <c r="L2576" s="74" t="n"/>
      <c r="M2576" s="74" t="n"/>
      <c r="O2576" s="78">
        <f>IF($A2576="","",YEAR($A2576)*100+MONTH($A2576))</f>
        <v/>
      </c>
      <c r="P2576" s="79">
        <f>IF(OR($F2576="",$D2576=""),"",IF($D2576="Receita",$F2576,IF($D2576="Transferência",0,-$F2576)))</f>
        <v/>
      </c>
    </row>
    <row r="2577">
      <c r="A2577" s="73" t="n"/>
      <c r="B2577" s="74" t="n"/>
      <c r="C2577" s="74" t="n"/>
      <c r="D2577" s="75">
        <f>IF($C2577="","",IFERROR(INDEX(CAT_TIPO,MATCH($C2577,CAT_NOME,0)),"Sem categoria"))</f>
        <v/>
      </c>
      <c r="E2577" s="75">
        <f>IF($C2577="","",IFERROR(INDEX(CAT_GRUPO,MATCH($C2577,CAT_NOME,0)),"Sem categoria"))</f>
        <v/>
      </c>
      <c r="F2577" s="76" t="n"/>
      <c r="G2577" s="74" t="n"/>
      <c r="H2577" s="74" t="n"/>
      <c r="I2577" s="74" t="n"/>
      <c r="J2577" s="77" t="n"/>
      <c r="K2577" s="77" t="n"/>
      <c r="L2577" s="74" t="n"/>
      <c r="M2577" s="74" t="n"/>
      <c r="O2577" s="78">
        <f>IF($A2577="","",YEAR($A2577)*100+MONTH($A2577))</f>
        <v/>
      </c>
      <c r="P2577" s="79">
        <f>IF(OR($F2577="",$D2577=""),"",IF($D2577="Receita",$F2577,IF($D2577="Transferência",0,-$F2577)))</f>
        <v/>
      </c>
    </row>
    <row r="2578">
      <c r="A2578" s="73" t="n"/>
      <c r="B2578" s="74" t="n"/>
      <c r="C2578" s="74" t="n"/>
      <c r="D2578" s="75">
        <f>IF($C2578="","",IFERROR(INDEX(CAT_TIPO,MATCH($C2578,CAT_NOME,0)),"Sem categoria"))</f>
        <v/>
      </c>
      <c r="E2578" s="75">
        <f>IF($C2578="","",IFERROR(INDEX(CAT_GRUPO,MATCH($C2578,CAT_NOME,0)),"Sem categoria"))</f>
        <v/>
      </c>
      <c r="F2578" s="76" t="n"/>
      <c r="G2578" s="74" t="n"/>
      <c r="H2578" s="74" t="n"/>
      <c r="I2578" s="74" t="n"/>
      <c r="J2578" s="77" t="n"/>
      <c r="K2578" s="77" t="n"/>
      <c r="L2578" s="74" t="n"/>
      <c r="M2578" s="74" t="n"/>
      <c r="O2578" s="78">
        <f>IF($A2578="","",YEAR($A2578)*100+MONTH($A2578))</f>
        <v/>
      </c>
      <c r="P2578" s="79">
        <f>IF(OR($F2578="",$D2578=""),"",IF($D2578="Receita",$F2578,IF($D2578="Transferência",0,-$F2578)))</f>
        <v/>
      </c>
    </row>
    <row r="2579">
      <c r="A2579" s="73" t="n"/>
      <c r="B2579" s="74" t="n"/>
      <c r="C2579" s="74" t="n"/>
      <c r="D2579" s="75">
        <f>IF($C2579="","",IFERROR(INDEX(CAT_TIPO,MATCH($C2579,CAT_NOME,0)),"Sem categoria"))</f>
        <v/>
      </c>
      <c r="E2579" s="75">
        <f>IF($C2579="","",IFERROR(INDEX(CAT_GRUPO,MATCH($C2579,CAT_NOME,0)),"Sem categoria"))</f>
        <v/>
      </c>
      <c r="F2579" s="76" t="n"/>
      <c r="G2579" s="74" t="n"/>
      <c r="H2579" s="74" t="n"/>
      <c r="I2579" s="74" t="n"/>
      <c r="J2579" s="77" t="n"/>
      <c r="K2579" s="77" t="n"/>
      <c r="L2579" s="74" t="n"/>
      <c r="M2579" s="74" t="n"/>
      <c r="O2579" s="78">
        <f>IF($A2579="","",YEAR($A2579)*100+MONTH($A2579))</f>
        <v/>
      </c>
      <c r="P2579" s="79">
        <f>IF(OR($F2579="",$D2579=""),"",IF($D2579="Receita",$F2579,IF($D2579="Transferência",0,-$F2579)))</f>
        <v/>
      </c>
    </row>
    <row r="2580">
      <c r="A2580" s="73" t="n"/>
      <c r="B2580" s="74" t="n"/>
      <c r="C2580" s="74" t="n"/>
      <c r="D2580" s="75">
        <f>IF($C2580="","",IFERROR(INDEX(CAT_TIPO,MATCH($C2580,CAT_NOME,0)),"Sem categoria"))</f>
        <v/>
      </c>
      <c r="E2580" s="75">
        <f>IF($C2580="","",IFERROR(INDEX(CAT_GRUPO,MATCH($C2580,CAT_NOME,0)),"Sem categoria"))</f>
        <v/>
      </c>
      <c r="F2580" s="76" t="n"/>
      <c r="G2580" s="74" t="n"/>
      <c r="H2580" s="74" t="n"/>
      <c r="I2580" s="74" t="n"/>
      <c r="J2580" s="77" t="n"/>
      <c r="K2580" s="77" t="n"/>
      <c r="L2580" s="74" t="n"/>
      <c r="M2580" s="74" t="n"/>
      <c r="O2580" s="78">
        <f>IF($A2580="","",YEAR($A2580)*100+MONTH($A2580))</f>
        <v/>
      </c>
      <c r="P2580" s="79">
        <f>IF(OR($F2580="",$D2580=""),"",IF($D2580="Receita",$F2580,IF($D2580="Transferência",0,-$F2580)))</f>
        <v/>
      </c>
    </row>
    <row r="2581">
      <c r="A2581" s="73" t="n"/>
      <c r="B2581" s="74" t="n"/>
      <c r="C2581" s="74" t="n"/>
      <c r="D2581" s="75">
        <f>IF($C2581="","",IFERROR(INDEX(CAT_TIPO,MATCH($C2581,CAT_NOME,0)),"Sem categoria"))</f>
        <v/>
      </c>
      <c r="E2581" s="75">
        <f>IF($C2581="","",IFERROR(INDEX(CAT_GRUPO,MATCH($C2581,CAT_NOME,0)),"Sem categoria"))</f>
        <v/>
      </c>
      <c r="F2581" s="76" t="n"/>
      <c r="G2581" s="74" t="n"/>
      <c r="H2581" s="74" t="n"/>
      <c r="I2581" s="74" t="n"/>
      <c r="J2581" s="77" t="n"/>
      <c r="K2581" s="77" t="n"/>
      <c r="L2581" s="74" t="n"/>
      <c r="M2581" s="74" t="n"/>
      <c r="O2581" s="78">
        <f>IF($A2581="","",YEAR($A2581)*100+MONTH($A2581))</f>
        <v/>
      </c>
      <c r="P2581" s="79">
        <f>IF(OR($F2581="",$D2581=""),"",IF($D2581="Receita",$F2581,IF($D2581="Transferência",0,-$F2581)))</f>
        <v/>
      </c>
    </row>
    <row r="2582">
      <c r="A2582" s="73" t="n"/>
      <c r="B2582" s="74" t="n"/>
      <c r="C2582" s="74" t="n"/>
      <c r="D2582" s="75">
        <f>IF($C2582="","",IFERROR(INDEX(CAT_TIPO,MATCH($C2582,CAT_NOME,0)),"Sem categoria"))</f>
        <v/>
      </c>
      <c r="E2582" s="75">
        <f>IF($C2582="","",IFERROR(INDEX(CAT_GRUPO,MATCH($C2582,CAT_NOME,0)),"Sem categoria"))</f>
        <v/>
      </c>
      <c r="F2582" s="76" t="n"/>
      <c r="G2582" s="74" t="n"/>
      <c r="H2582" s="74" t="n"/>
      <c r="I2582" s="74" t="n"/>
      <c r="J2582" s="77" t="n"/>
      <c r="K2582" s="77" t="n"/>
      <c r="L2582" s="74" t="n"/>
      <c r="M2582" s="74" t="n"/>
      <c r="O2582" s="78">
        <f>IF($A2582="","",YEAR($A2582)*100+MONTH($A2582))</f>
        <v/>
      </c>
      <c r="P2582" s="79">
        <f>IF(OR($F2582="",$D2582=""),"",IF($D2582="Receita",$F2582,IF($D2582="Transferência",0,-$F2582)))</f>
        <v/>
      </c>
    </row>
    <row r="2583">
      <c r="A2583" s="73" t="n"/>
      <c r="B2583" s="74" t="n"/>
      <c r="C2583" s="74" t="n"/>
      <c r="D2583" s="75">
        <f>IF($C2583="","",IFERROR(INDEX(CAT_TIPO,MATCH($C2583,CAT_NOME,0)),"Sem categoria"))</f>
        <v/>
      </c>
      <c r="E2583" s="75">
        <f>IF($C2583="","",IFERROR(INDEX(CAT_GRUPO,MATCH($C2583,CAT_NOME,0)),"Sem categoria"))</f>
        <v/>
      </c>
      <c r="F2583" s="76" t="n"/>
      <c r="G2583" s="74" t="n"/>
      <c r="H2583" s="74" t="n"/>
      <c r="I2583" s="74" t="n"/>
      <c r="J2583" s="77" t="n"/>
      <c r="K2583" s="77" t="n"/>
      <c r="L2583" s="74" t="n"/>
      <c r="M2583" s="74" t="n"/>
      <c r="O2583" s="78">
        <f>IF($A2583="","",YEAR($A2583)*100+MONTH($A2583))</f>
        <v/>
      </c>
      <c r="P2583" s="79">
        <f>IF(OR($F2583="",$D2583=""),"",IF($D2583="Receita",$F2583,IF($D2583="Transferência",0,-$F2583)))</f>
        <v/>
      </c>
    </row>
    <row r="2584">
      <c r="A2584" s="73" t="n"/>
      <c r="B2584" s="74" t="n"/>
      <c r="C2584" s="74" t="n"/>
      <c r="D2584" s="75">
        <f>IF($C2584="","",IFERROR(INDEX(CAT_TIPO,MATCH($C2584,CAT_NOME,0)),"Sem categoria"))</f>
        <v/>
      </c>
      <c r="E2584" s="75">
        <f>IF($C2584="","",IFERROR(INDEX(CAT_GRUPO,MATCH($C2584,CAT_NOME,0)),"Sem categoria"))</f>
        <v/>
      </c>
      <c r="F2584" s="76" t="n"/>
      <c r="G2584" s="74" t="n"/>
      <c r="H2584" s="74" t="n"/>
      <c r="I2584" s="74" t="n"/>
      <c r="J2584" s="77" t="n"/>
      <c r="K2584" s="77" t="n"/>
      <c r="L2584" s="74" t="n"/>
      <c r="M2584" s="74" t="n"/>
      <c r="O2584" s="78">
        <f>IF($A2584="","",YEAR($A2584)*100+MONTH($A2584))</f>
        <v/>
      </c>
      <c r="P2584" s="79">
        <f>IF(OR($F2584="",$D2584=""),"",IF($D2584="Receita",$F2584,IF($D2584="Transferência",0,-$F2584)))</f>
        <v/>
      </c>
    </row>
    <row r="2585">
      <c r="A2585" s="73" t="n"/>
      <c r="B2585" s="74" t="n"/>
      <c r="C2585" s="74" t="n"/>
      <c r="D2585" s="75">
        <f>IF($C2585="","",IFERROR(INDEX(CAT_TIPO,MATCH($C2585,CAT_NOME,0)),"Sem categoria"))</f>
        <v/>
      </c>
      <c r="E2585" s="75">
        <f>IF($C2585="","",IFERROR(INDEX(CAT_GRUPO,MATCH($C2585,CAT_NOME,0)),"Sem categoria"))</f>
        <v/>
      </c>
      <c r="F2585" s="76" t="n"/>
      <c r="G2585" s="74" t="n"/>
      <c r="H2585" s="74" t="n"/>
      <c r="I2585" s="74" t="n"/>
      <c r="J2585" s="77" t="n"/>
      <c r="K2585" s="77" t="n"/>
      <c r="L2585" s="74" t="n"/>
      <c r="M2585" s="74" t="n"/>
      <c r="O2585" s="78">
        <f>IF($A2585="","",YEAR($A2585)*100+MONTH($A2585))</f>
        <v/>
      </c>
      <c r="P2585" s="79">
        <f>IF(OR($F2585="",$D2585=""),"",IF($D2585="Receita",$F2585,IF($D2585="Transferência",0,-$F2585)))</f>
        <v/>
      </c>
    </row>
    <row r="2586">
      <c r="A2586" s="73" t="n"/>
      <c r="B2586" s="74" t="n"/>
      <c r="C2586" s="74" t="n"/>
      <c r="D2586" s="75">
        <f>IF($C2586="","",IFERROR(INDEX(CAT_TIPO,MATCH($C2586,CAT_NOME,0)),"Sem categoria"))</f>
        <v/>
      </c>
      <c r="E2586" s="75">
        <f>IF($C2586="","",IFERROR(INDEX(CAT_GRUPO,MATCH($C2586,CAT_NOME,0)),"Sem categoria"))</f>
        <v/>
      </c>
      <c r="F2586" s="76" t="n"/>
      <c r="G2586" s="74" t="n"/>
      <c r="H2586" s="74" t="n"/>
      <c r="I2586" s="74" t="n"/>
      <c r="J2586" s="77" t="n"/>
      <c r="K2586" s="77" t="n"/>
      <c r="L2586" s="74" t="n"/>
      <c r="M2586" s="74" t="n"/>
      <c r="O2586" s="78">
        <f>IF($A2586="","",YEAR($A2586)*100+MONTH($A2586))</f>
        <v/>
      </c>
      <c r="P2586" s="79">
        <f>IF(OR($F2586="",$D2586=""),"",IF($D2586="Receita",$F2586,IF($D2586="Transferência",0,-$F2586)))</f>
        <v/>
      </c>
    </row>
    <row r="2587">
      <c r="A2587" s="73" t="n"/>
      <c r="B2587" s="74" t="n"/>
      <c r="C2587" s="74" t="n"/>
      <c r="D2587" s="75">
        <f>IF($C2587="","",IFERROR(INDEX(CAT_TIPO,MATCH($C2587,CAT_NOME,0)),"Sem categoria"))</f>
        <v/>
      </c>
      <c r="E2587" s="75">
        <f>IF($C2587="","",IFERROR(INDEX(CAT_GRUPO,MATCH($C2587,CAT_NOME,0)),"Sem categoria"))</f>
        <v/>
      </c>
      <c r="F2587" s="76" t="n"/>
      <c r="G2587" s="74" t="n"/>
      <c r="H2587" s="74" t="n"/>
      <c r="I2587" s="74" t="n"/>
      <c r="J2587" s="77" t="n"/>
      <c r="K2587" s="77" t="n"/>
      <c r="L2587" s="74" t="n"/>
      <c r="M2587" s="74" t="n"/>
      <c r="O2587" s="78">
        <f>IF($A2587="","",YEAR($A2587)*100+MONTH($A2587))</f>
        <v/>
      </c>
      <c r="P2587" s="79">
        <f>IF(OR($F2587="",$D2587=""),"",IF($D2587="Receita",$F2587,IF($D2587="Transferência",0,-$F2587)))</f>
        <v/>
      </c>
    </row>
    <row r="2588">
      <c r="A2588" s="73" t="n"/>
      <c r="B2588" s="74" t="n"/>
      <c r="C2588" s="74" t="n"/>
      <c r="D2588" s="75">
        <f>IF($C2588="","",IFERROR(INDEX(CAT_TIPO,MATCH($C2588,CAT_NOME,0)),"Sem categoria"))</f>
        <v/>
      </c>
      <c r="E2588" s="75">
        <f>IF($C2588="","",IFERROR(INDEX(CAT_GRUPO,MATCH($C2588,CAT_NOME,0)),"Sem categoria"))</f>
        <v/>
      </c>
      <c r="F2588" s="76" t="n"/>
      <c r="G2588" s="74" t="n"/>
      <c r="H2588" s="74" t="n"/>
      <c r="I2588" s="74" t="n"/>
      <c r="J2588" s="77" t="n"/>
      <c r="K2588" s="77" t="n"/>
      <c r="L2588" s="74" t="n"/>
      <c r="M2588" s="74" t="n"/>
      <c r="O2588" s="78">
        <f>IF($A2588="","",YEAR($A2588)*100+MONTH($A2588))</f>
        <v/>
      </c>
      <c r="P2588" s="79">
        <f>IF(OR($F2588="",$D2588=""),"",IF($D2588="Receita",$F2588,IF($D2588="Transferência",0,-$F2588)))</f>
        <v/>
      </c>
    </row>
    <row r="2589">
      <c r="A2589" s="73" t="n"/>
      <c r="B2589" s="74" t="n"/>
      <c r="C2589" s="74" t="n"/>
      <c r="D2589" s="75">
        <f>IF($C2589="","",IFERROR(INDEX(CAT_TIPO,MATCH($C2589,CAT_NOME,0)),"Sem categoria"))</f>
        <v/>
      </c>
      <c r="E2589" s="75">
        <f>IF($C2589="","",IFERROR(INDEX(CAT_GRUPO,MATCH($C2589,CAT_NOME,0)),"Sem categoria"))</f>
        <v/>
      </c>
      <c r="F2589" s="76" t="n"/>
      <c r="G2589" s="74" t="n"/>
      <c r="H2589" s="74" t="n"/>
      <c r="I2589" s="74" t="n"/>
      <c r="J2589" s="77" t="n"/>
      <c r="K2589" s="77" t="n"/>
      <c r="L2589" s="74" t="n"/>
      <c r="M2589" s="74" t="n"/>
      <c r="O2589" s="78">
        <f>IF($A2589="","",YEAR($A2589)*100+MONTH($A2589))</f>
        <v/>
      </c>
      <c r="P2589" s="79">
        <f>IF(OR($F2589="",$D2589=""),"",IF($D2589="Receita",$F2589,IF($D2589="Transferência",0,-$F2589)))</f>
        <v/>
      </c>
    </row>
    <row r="2590">
      <c r="A2590" s="73" t="n"/>
      <c r="B2590" s="74" t="n"/>
      <c r="C2590" s="74" t="n"/>
      <c r="D2590" s="75">
        <f>IF($C2590="","",IFERROR(INDEX(CAT_TIPO,MATCH($C2590,CAT_NOME,0)),"Sem categoria"))</f>
        <v/>
      </c>
      <c r="E2590" s="75">
        <f>IF($C2590="","",IFERROR(INDEX(CAT_GRUPO,MATCH($C2590,CAT_NOME,0)),"Sem categoria"))</f>
        <v/>
      </c>
      <c r="F2590" s="76" t="n"/>
      <c r="G2590" s="74" t="n"/>
      <c r="H2590" s="74" t="n"/>
      <c r="I2590" s="74" t="n"/>
      <c r="J2590" s="77" t="n"/>
      <c r="K2590" s="77" t="n"/>
      <c r="L2590" s="74" t="n"/>
      <c r="M2590" s="74" t="n"/>
      <c r="O2590" s="78">
        <f>IF($A2590="","",YEAR($A2590)*100+MONTH($A2590))</f>
        <v/>
      </c>
      <c r="P2590" s="79">
        <f>IF(OR($F2590="",$D2590=""),"",IF($D2590="Receita",$F2590,IF($D2590="Transferência",0,-$F2590)))</f>
        <v/>
      </c>
    </row>
    <row r="2591">
      <c r="A2591" s="73" t="n"/>
      <c r="B2591" s="74" t="n"/>
      <c r="C2591" s="74" t="n"/>
      <c r="D2591" s="75">
        <f>IF($C2591="","",IFERROR(INDEX(CAT_TIPO,MATCH($C2591,CAT_NOME,0)),"Sem categoria"))</f>
        <v/>
      </c>
      <c r="E2591" s="75">
        <f>IF($C2591="","",IFERROR(INDEX(CAT_GRUPO,MATCH($C2591,CAT_NOME,0)),"Sem categoria"))</f>
        <v/>
      </c>
      <c r="F2591" s="76" t="n"/>
      <c r="G2591" s="74" t="n"/>
      <c r="H2591" s="74" t="n"/>
      <c r="I2591" s="74" t="n"/>
      <c r="J2591" s="77" t="n"/>
      <c r="K2591" s="77" t="n"/>
      <c r="L2591" s="74" t="n"/>
      <c r="M2591" s="74" t="n"/>
      <c r="O2591" s="78">
        <f>IF($A2591="","",YEAR($A2591)*100+MONTH($A2591))</f>
        <v/>
      </c>
      <c r="P2591" s="79">
        <f>IF(OR($F2591="",$D2591=""),"",IF($D2591="Receita",$F2591,IF($D2591="Transferência",0,-$F2591)))</f>
        <v/>
      </c>
    </row>
    <row r="2592">
      <c r="A2592" s="73" t="n"/>
      <c r="B2592" s="74" t="n"/>
      <c r="C2592" s="74" t="n"/>
      <c r="D2592" s="75">
        <f>IF($C2592="","",IFERROR(INDEX(CAT_TIPO,MATCH($C2592,CAT_NOME,0)),"Sem categoria"))</f>
        <v/>
      </c>
      <c r="E2592" s="75">
        <f>IF($C2592="","",IFERROR(INDEX(CAT_GRUPO,MATCH($C2592,CAT_NOME,0)),"Sem categoria"))</f>
        <v/>
      </c>
      <c r="F2592" s="76" t="n"/>
      <c r="G2592" s="74" t="n"/>
      <c r="H2592" s="74" t="n"/>
      <c r="I2592" s="74" t="n"/>
      <c r="J2592" s="77" t="n"/>
      <c r="K2592" s="77" t="n"/>
      <c r="L2592" s="74" t="n"/>
      <c r="M2592" s="74" t="n"/>
      <c r="O2592" s="78">
        <f>IF($A2592="","",YEAR($A2592)*100+MONTH($A2592))</f>
        <v/>
      </c>
      <c r="P2592" s="79">
        <f>IF(OR($F2592="",$D2592=""),"",IF($D2592="Receita",$F2592,IF($D2592="Transferência",0,-$F2592)))</f>
        <v/>
      </c>
    </row>
    <row r="2593">
      <c r="A2593" s="73" t="n"/>
      <c r="B2593" s="74" t="n"/>
      <c r="C2593" s="74" t="n"/>
      <c r="D2593" s="75">
        <f>IF($C2593="","",IFERROR(INDEX(CAT_TIPO,MATCH($C2593,CAT_NOME,0)),"Sem categoria"))</f>
        <v/>
      </c>
      <c r="E2593" s="75">
        <f>IF($C2593="","",IFERROR(INDEX(CAT_GRUPO,MATCH($C2593,CAT_NOME,0)),"Sem categoria"))</f>
        <v/>
      </c>
      <c r="F2593" s="76" t="n"/>
      <c r="G2593" s="74" t="n"/>
      <c r="H2593" s="74" t="n"/>
      <c r="I2593" s="74" t="n"/>
      <c r="J2593" s="77" t="n"/>
      <c r="K2593" s="77" t="n"/>
      <c r="L2593" s="74" t="n"/>
      <c r="M2593" s="74" t="n"/>
      <c r="O2593" s="78">
        <f>IF($A2593="","",YEAR($A2593)*100+MONTH($A2593))</f>
        <v/>
      </c>
      <c r="P2593" s="79">
        <f>IF(OR($F2593="",$D2593=""),"",IF($D2593="Receita",$F2593,IF($D2593="Transferência",0,-$F2593)))</f>
        <v/>
      </c>
    </row>
    <row r="2594">
      <c r="A2594" s="73" t="n"/>
      <c r="B2594" s="74" t="n"/>
      <c r="C2594" s="74" t="n"/>
      <c r="D2594" s="75">
        <f>IF($C2594="","",IFERROR(INDEX(CAT_TIPO,MATCH($C2594,CAT_NOME,0)),"Sem categoria"))</f>
        <v/>
      </c>
      <c r="E2594" s="75">
        <f>IF($C2594="","",IFERROR(INDEX(CAT_GRUPO,MATCH($C2594,CAT_NOME,0)),"Sem categoria"))</f>
        <v/>
      </c>
      <c r="F2594" s="76" t="n"/>
      <c r="G2594" s="74" t="n"/>
      <c r="H2594" s="74" t="n"/>
      <c r="I2594" s="74" t="n"/>
      <c r="J2594" s="77" t="n"/>
      <c r="K2594" s="77" t="n"/>
      <c r="L2594" s="74" t="n"/>
      <c r="M2594" s="74" t="n"/>
      <c r="O2594" s="78">
        <f>IF($A2594="","",YEAR($A2594)*100+MONTH($A2594))</f>
        <v/>
      </c>
      <c r="P2594" s="79">
        <f>IF(OR($F2594="",$D2594=""),"",IF($D2594="Receita",$F2594,IF($D2594="Transferência",0,-$F2594)))</f>
        <v/>
      </c>
    </row>
    <row r="2595">
      <c r="A2595" s="73" t="n"/>
      <c r="B2595" s="74" t="n"/>
      <c r="C2595" s="74" t="n"/>
      <c r="D2595" s="75">
        <f>IF($C2595="","",IFERROR(INDEX(CAT_TIPO,MATCH($C2595,CAT_NOME,0)),"Sem categoria"))</f>
        <v/>
      </c>
      <c r="E2595" s="75">
        <f>IF($C2595="","",IFERROR(INDEX(CAT_GRUPO,MATCH($C2595,CAT_NOME,0)),"Sem categoria"))</f>
        <v/>
      </c>
      <c r="F2595" s="76" t="n"/>
      <c r="G2595" s="74" t="n"/>
      <c r="H2595" s="74" t="n"/>
      <c r="I2595" s="74" t="n"/>
      <c r="J2595" s="77" t="n"/>
      <c r="K2595" s="77" t="n"/>
      <c r="L2595" s="74" t="n"/>
      <c r="M2595" s="74" t="n"/>
      <c r="O2595" s="78">
        <f>IF($A2595="","",YEAR($A2595)*100+MONTH($A2595))</f>
        <v/>
      </c>
      <c r="P2595" s="79">
        <f>IF(OR($F2595="",$D2595=""),"",IF($D2595="Receita",$F2595,IF($D2595="Transferência",0,-$F2595)))</f>
        <v/>
      </c>
    </row>
    <row r="2596">
      <c r="A2596" s="73" t="n"/>
      <c r="B2596" s="74" t="n"/>
      <c r="C2596" s="74" t="n"/>
      <c r="D2596" s="75">
        <f>IF($C2596="","",IFERROR(INDEX(CAT_TIPO,MATCH($C2596,CAT_NOME,0)),"Sem categoria"))</f>
        <v/>
      </c>
      <c r="E2596" s="75">
        <f>IF($C2596="","",IFERROR(INDEX(CAT_GRUPO,MATCH($C2596,CAT_NOME,0)),"Sem categoria"))</f>
        <v/>
      </c>
      <c r="F2596" s="76" t="n"/>
      <c r="G2596" s="74" t="n"/>
      <c r="H2596" s="74" t="n"/>
      <c r="I2596" s="74" t="n"/>
      <c r="J2596" s="77" t="n"/>
      <c r="K2596" s="77" t="n"/>
      <c r="L2596" s="74" t="n"/>
      <c r="M2596" s="74" t="n"/>
      <c r="O2596" s="78">
        <f>IF($A2596="","",YEAR($A2596)*100+MONTH($A2596))</f>
        <v/>
      </c>
      <c r="P2596" s="79">
        <f>IF(OR($F2596="",$D2596=""),"",IF($D2596="Receita",$F2596,IF($D2596="Transferência",0,-$F2596)))</f>
        <v/>
      </c>
    </row>
    <row r="2597">
      <c r="A2597" s="73" t="n"/>
      <c r="B2597" s="74" t="n"/>
      <c r="C2597" s="74" t="n"/>
      <c r="D2597" s="75">
        <f>IF($C2597="","",IFERROR(INDEX(CAT_TIPO,MATCH($C2597,CAT_NOME,0)),"Sem categoria"))</f>
        <v/>
      </c>
      <c r="E2597" s="75">
        <f>IF($C2597="","",IFERROR(INDEX(CAT_GRUPO,MATCH($C2597,CAT_NOME,0)),"Sem categoria"))</f>
        <v/>
      </c>
      <c r="F2597" s="76" t="n"/>
      <c r="G2597" s="74" t="n"/>
      <c r="H2597" s="74" t="n"/>
      <c r="I2597" s="74" t="n"/>
      <c r="J2597" s="77" t="n"/>
      <c r="K2597" s="77" t="n"/>
      <c r="L2597" s="74" t="n"/>
      <c r="M2597" s="74" t="n"/>
      <c r="O2597" s="78">
        <f>IF($A2597="","",YEAR($A2597)*100+MONTH($A2597))</f>
        <v/>
      </c>
      <c r="P2597" s="79">
        <f>IF(OR($F2597="",$D2597=""),"",IF($D2597="Receita",$F2597,IF($D2597="Transferência",0,-$F2597)))</f>
        <v/>
      </c>
    </row>
    <row r="2598">
      <c r="A2598" s="73" t="n"/>
      <c r="B2598" s="74" t="n"/>
      <c r="C2598" s="74" t="n"/>
      <c r="D2598" s="75">
        <f>IF($C2598="","",IFERROR(INDEX(CAT_TIPO,MATCH($C2598,CAT_NOME,0)),"Sem categoria"))</f>
        <v/>
      </c>
      <c r="E2598" s="75">
        <f>IF($C2598="","",IFERROR(INDEX(CAT_GRUPO,MATCH($C2598,CAT_NOME,0)),"Sem categoria"))</f>
        <v/>
      </c>
      <c r="F2598" s="76" t="n"/>
      <c r="G2598" s="74" t="n"/>
      <c r="H2598" s="74" t="n"/>
      <c r="I2598" s="74" t="n"/>
      <c r="J2598" s="77" t="n"/>
      <c r="K2598" s="77" t="n"/>
      <c r="L2598" s="74" t="n"/>
      <c r="M2598" s="74" t="n"/>
      <c r="O2598" s="78">
        <f>IF($A2598="","",YEAR($A2598)*100+MONTH($A2598))</f>
        <v/>
      </c>
      <c r="P2598" s="79">
        <f>IF(OR($F2598="",$D2598=""),"",IF($D2598="Receita",$F2598,IF($D2598="Transferência",0,-$F2598)))</f>
        <v/>
      </c>
    </row>
    <row r="2599">
      <c r="A2599" s="73" t="n"/>
      <c r="B2599" s="74" t="n"/>
      <c r="C2599" s="74" t="n"/>
      <c r="D2599" s="75">
        <f>IF($C2599="","",IFERROR(INDEX(CAT_TIPO,MATCH($C2599,CAT_NOME,0)),"Sem categoria"))</f>
        <v/>
      </c>
      <c r="E2599" s="75">
        <f>IF($C2599="","",IFERROR(INDEX(CAT_GRUPO,MATCH($C2599,CAT_NOME,0)),"Sem categoria"))</f>
        <v/>
      </c>
      <c r="F2599" s="76" t="n"/>
      <c r="G2599" s="74" t="n"/>
      <c r="H2599" s="74" t="n"/>
      <c r="I2599" s="74" t="n"/>
      <c r="J2599" s="77" t="n"/>
      <c r="K2599" s="77" t="n"/>
      <c r="L2599" s="74" t="n"/>
      <c r="M2599" s="74" t="n"/>
      <c r="O2599" s="78">
        <f>IF($A2599="","",YEAR($A2599)*100+MONTH($A2599))</f>
        <v/>
      </c>
      <c r="P2599" s="79">
        <f>IF(OR($F2599="",$D2599=""),"",IF($D2599="Receita",$F2599,IF($D2599="Transferência",0,-$F2599)))</f>
        <v/>
      </c>
    </row>
    <row r="2600">
      <c r="A2600" s="73" t="n"/>
      <c r="B2600" s="74" t="n"/>
      <c r="C2600" s="74" t="n"/>
      <c r="D2600" s="75">
        <f>IF($C2600="","",IFERROR(INDEX(CAT_TIPO,MATCH($C2600,CAT_NOME,0)),"Sem categoria"))</f>
        <v/>
      </c>
      <c r="E2600" s="75">
        <f>IF($C2600="","",IFERROR(INDEX(CAT_GRUPO,MATCH($C2600,CAT_NOME,0)),"Sem categoria"))</f>
        <v/>
      </c>
      <c r="F2600" s="76" t="n"/>
      <c r="G2600" s="74" t="n"/>
      <c r="H2600" s="74" t="n"/>
      <c r="I2600" s="74" t="n"/>
      <c r="J2600" s="77" t="n"/>
      <c r="K2600" s="77" t="n"/>
      <c r="L2600" s="74" t="n"/>
      <c r="M2600" s="74" t="n"/>
      <c r="O2600" s="78">
        <f>IF($A2600="","",YEAR($A2600)*100+MONTH($A2600))</f>
        <v/>
      </c>
      <c r="P2600" s="79">
        <f>IF(OR($F2600="",$D2600=""),"",IF($D2600="Receita",$F2600,IF($D2600="Transferência",0,-$F2600)))</f>
        <v/>
      </c>
    </row>
    <row r="2601">
      <c r="A2601" s="73" t="n"/>
      <c r="B2601" s="74" t="n"/>
      <c r="C2601" s="74" t="n"/>
      <c r="D2601" s="75">
        <f>IF($C2601="","",IFERROR(INDEX(CAT_TIPO,MATCH($C2601,CAT_NOME,0)),"Sem categoria"))</f>
        <v/>
      </c>
      <c r="E2601" s="75">
        <f>IF($C2601="","",IFERROR(INDEX(CAT_GRUPO,MATCH($C2601,CAT_NOME,0)),"Sem categoria"))</f>
        <v/>
      </c>
      <c r="F2601" s="76" t="n"/>
      <c r="G2601" s="74" t="n"/>
      <c r="H2601" s="74" t="n"/>
      <c r="I2601" s="74" t="n"/>
      <c r="J2601" s="77" t="n"/>
      <c r="K2601" s="77" t="n"/>
      <c r="L2601" s="74" t="n"/>
      <c r="M2601" s="74" t="n"/>
      <c r="O2601" s="78">
        <f>IF($A2601="","",YEAR($A2601)*100+MONTH($A2601))</f>
        <v/>
      </c>
      <c r="P2601" s="79">
        <f>IF(OR($F2601="",$D2601=""),"",IF($D2601="Receita",$F2601,IF($D2601="Transferência",0,-$F2601)))</f>
        <v/>
      </c>
    </row>
    <row r="2602">
      <c r="A2602" s="73" t="n"/>
      <c r="B2602" s="74" t="n"/>
      <c r="C2602" s="74" t="n"/>
      <c r="D2602" s="75">
        <f>IF($C2602="","",IFERROR(INDEX(CAT_TIPO,MATCH($C2602,CAT_NOME,0)),"Sem categoria"))</f>
        <v/>
      </c>
      <c r="E2602" s="75">
        <f>IF($C2602="","",IFERROR(INDEX(CAT_GRUPO,MATCH($C2602,CAT_NOME,0)),"Sem categoria"))</f>
        <v/>
      </c>
      <c r="F2602" s="76" t="n"/>
      <c r="G2602" s="74" t="n"/>
      <c r="H2602" s="74" t="n"/>
      <c r="I2602" s="74" t="n"/>
      <c r="J2602" s="77" t="n"/>
      <c r="K2602" s="77" t="n"/>
      <c r="L2602" s="74" t="n"/>
      <c r="M2602" s="74" t="n"/>
      <c r="O2602" s="78">
        <f>IF($A2602="","",YEAR($A2602)*100+MONTH($A2602))</f>
        <v/>
      </c>
      <c r="P2602" s="79">
        <f>IF(OR($F2602="",$D2602=""),"",IF($D2602="Receita",$F2602,IF($D2602="Transferência",0,-$F2602)))</f>
        <v/>
      </c>
    </row>
    <row r="2603">
      <c r="A2603" s="73" t="n"/>
      <c r="B2603" s="74" t="n"/>
      <c r="C2603" s="74" t="n"/>
      <c r="D2603" s="75">
        <f>IF($C2603="","",IFERROR(INDEX(CAT_TIPO,MATCH($C2603,CAT_NOME,0)),"Sem categoria"))</f>
        <v/>
      </c>
      <c r="E2603" s="75">
        <f>IF($C2603="","",IFERROR(INDEX(CAT_GRUPO,MATCH($C2603,CAT_NOME,0)),"Sem categoria"))</f>
        <v/>
      </c>
      <c r="F2603" s="76" t="n"/>
      <c r="G2603" s="74" t="n"/>
      <c r="H2603" s="74" t="n"/>
      <c r="I2603" s="74" t="n"/>
      <c r="J2603" s="77" t="n"/>
      <c r="K2603" s="77" t="n"/>
      <c r="L2603" s="74" t="n"/>
      <c r="M2603" s="74" t="n"/>
      <c r="O2603" s="78">
        <f>IF($A2603="","",YEAR($A2603)*100+MONTH($A2603))</f>
        <v/>
      </c>
      <c r="P2603" s="79">
        <f>IF(OR($F2603="",$D2603=""),"",IF($D2603="Receita",$F2603,IF($D2603="Transferência",0,-$F2603)))</f>
        <v/>
      </c>
    </row>
    <row r="2604">
      <c r="A2604" s="73" t="n"/>
      <c r="B2604" s="74" t="n"/>
      <c r="C2604" s="74" t="n"/>
      <c r="D2604" s="75">
        <f>IF($C2604="","",IFERROR(INDEX(CAT_TIPO,MATCH($C2604,CAT_NOME,0)),"Sem categoria"))</f>
        <v/>
      </c>
      <c r="E2604" s="75">
        <f>IF($C2604="","",IFERROR(INDEX(CAT_GRUPO,MATCH($C2604,CAT_NOME,0)),"Sem categoria"))</f>
        <v/>
      </c>
      <c r="F2604" s="76" t="n"/>
      <c r="G2604" s="74" t="n"/>
      <c r="H2604" s="74" t="n"/>
      <c r="I2604" s="74" t="n"/>
      <c r="J2604" s="77" t="n"/>
      <c r="K2604" s="77" t="n"/>
      <c r="L2604" s="74" t="n"/>
      <c r="M2604" s="74" t="n"/>
      <c r="O2604" s="78">
        <f>IF($A2604="","",YEAR($A2604)*100+MONTH($A2604))</f>
        <v/>
      </c>
      <c r="P2604" s="79">
        <f>IF(OR($F2604="",$D2604=""),"",IF($D2604="Receita",$F2604,IF($D2604="Transferência",0,-$F2604)))</f>
        <v/>
      </c>
    </row>
    <row r="2605">
      <c r="A2605" s="73" t="n"/>
      <c r="B2605" s="74" t="n"/>
      <c r="C2605" s="74" t="n"/>
      <c r="D2605" s="75">
        <f>IF($C2605="","",IFERROR(INDEX(CAT_TIPO,MATCH($C2605,CAT_NOME,0)),"Sem categoria"))</f>
        <v/>
      </c>
      <c r="E2605" s="75">
        <f>IF($C2605="","",IFERROR(INDEX(CAT_GRUPO,MATCH($C2605,CAT_NOME,0)),"Sem categoria"))</f>
        <v/>
      </c>
      <c r="F2605" s="76" t="n"/>
      <c r="G2605" s="74" t="n"/>
      <c r="H2605" s="74" t="n"/>
      <c r="I2605" s="74" t="n"/>
      <c r="J2605" s="77" t="n"/>
      <c r="K2605" s="77" t="n"/>
      <c r="L2605" s="74" t="n"/>
      <c r="M2605" s="74" t="n"/>
      <c r="O2605" s="78">
        <f>IF($A2605="","",YEAR($A2605)*100+MONTH($A2605))</f>
        <v/>
      </c>
      <c r="P2605" s="79">
        <f>IF(OR($F2605="",$D2605=""),"",IF($D2605="Receita",$F2605,IF($D2605="Transferência",0,-$F2605)))</f>
        <v/>
      </c>
    </row>
    <row r="2606">
      <c r="A2606" s="73" t="n"/>
      <c r="B2606" s="74" t="n"/>
      <c r="C2606" s="74" t="n"/>
      <c r="D2606" s="75">
        <f>IF($C2606="","",IFERROR(INDEX(CAT_TIPO,MATCH($C2606,CAT_NOME,0)),"Sem categoria"))</f>
        <v/>
      </c>
      <c r="E2606" s="75">
        <f>IF($C2606="","",IFERROR(INDEX(CAT_GRUPO,MATCH($C2606,CAT_NOME,0)),"Sem categoria"))</f>
        <v/>
      </c>
      <c r="F2606" s="76" t="n"/>
      <c r="G2606" s="74" t="n"/>
      <c r="H2606" s="74" t="n"/>
      <c r="I2606" s="74" t="n"/>
      <c r="J2606" s="77" t="n"/>
      <c r="K2606" s="77" t="n"/>
      <c r="L2606" s="74" t="n"/>
      <c r="M2606" s="74" t="n"/>
      <c r="O2606" s="78">
        <f>IF($A2606="","",YEAR($A2606)*100+MONTH($A2606))</f>
        <v/>
      </c>
      <c r="P2606" s="79">
        <f>IF(OR($F2606="",$D2606=""),"",IF($D2606="Receita",$F2606,IF($D2606="Transferência",0,-$F2606)))</f>
        <v/>
      </c>
    </row>
    <row r="2607">
      <c r="A2607" s="73" t="n"/>
      <c r="B2607" s="74" t="n"/>
      <c r="C2607" s="74" t="n"/>
      <c r="D2607" s="75">
        <f>IF($C2607="","",IFERROR(INDEX(CAT_TIPO,MATCH($C2607,CAT_NOME,0)),"Sem categoria"))</f>
        <v/>
      </c>
      <c r="E2607" s="75">
        <f>IF($C2607="","",IFERROR(INDEX(CAT_GRUPO,MATCH($C2607,CAT_NOME,0)),"Sem categoria"))</f>
        <v/>
      </c>
      <c r="F2607" s="76" t="n"/>
      <c r="G2607" s="74" t="n"/>
      <c r="H2607" s="74" t="n"/>
      <c r="I2607" s="74" t="n"/>
      <c r="J2607" s="77" t="n"/>
      <c r="K2607" s="77" t="n"/>
      <c r="L2607" s="74" t="n"/>
      <c r="M2607" s="74" t="n"/>
      <c r="O2607" s="78">
        <f>IF($A2607="","",YEAR($A2607)*100+MONTH($A2607))</f>
        <v/>
      </c>
      <c r="P2607" s="79">
        <f>IF(OR($F2607="",$D2607=""),"",IF($D2607="Receita",$F2607,IF($D2607="Transferência",0,-$F2607)))</f>
        <v/>
      </c>
    </row>
    <row r="2608">
      <c r="A2608" s="73" t="n"/>
      <c r="B2608" s="74" t="n"/>
      <c r="C2608" s="74" t="n"/>
      <c r="D2608" s="75">
        <f>IF($C2608="","",IFERROR(INDEX(CAT_TIPO,MATCH($C2608,CAT_NOME,0)),"Sem categoria"))</f>
        <v/>
      </c>
      <c r="E2608" s="75">
        <f>IF($C2608="","",IFERROR(INDEX(CAT_GRUPO,MATCH($C2608,CAT_NOME,0)),"Sem categoria"))</f>
        <v/>
      </c>
      <c r="F2608" s="76" t="n"/>
      <c r="G2608" s="74" t="n"/>
      <c r="H2608" s="74" t="n"/>
      <c r="I2608" s="74" t="n"/>
      <c r="J2608" s="77" t="n"/>
      <c r="K2608" s="77" t="n"/>
      <c r="L2608" s="74" t="n"/>
      <c r="M2608" s="74" t="n"/>
      <c r="O2608" s="78">
        <f>IF($A2608="","",YEAR($A2608)*100+MONTH($A2608))</f>
        <v/>
      </c>
      <c r="P2608" s="79">
        <f>IF(OR($F2608="",$D2608=""),"",IF($D2608="Receita",$F2608,IF($D2608="Transferência",0,-$F2608)))</f>
        <v/>
      </c>
    </row>
    <row r="2609">
      <c r="A2609" s="73" t="n"/>
      <c r="B2609" s="74" t="n"/>
      <c r="C2609" s="74" t="n"/>
      <c r="D2609" s="75">
        <f>IF($C2609="","",IFERROR(INDEX(CAT_TIPO,MATCH($C2609,CAT_NOME,0)),"Sem categoria"))</f>
        <v/>
      </c>
      <c r="E2609" s="75">
        <f>IF($C2609="","",IFERROR(INDEX(CAT_GRUPO,MATCH($C2609,CAT_NOME,0)),"Sem categoria"))</f>
        <v/>
      </c>
      <c r="F2609" s="76" t="n"/>
      <c r="G2609" s="74" t="n"/>
      <c r="H2609" s="74" t="n"/>
      <c r="I2609" s="74" t="n"/>
      <c r="J2609" s="77" t="n"/>
      <c r="K2609" s="77" t="n"/>
      <c r="L2609" s="74" t="n"/>
      <c r="M2609" s="74" t="n"/>
      <c r="O2609" s="78">
        <f>IF($A2609="","",YEAR($A2609)*100+MONTH($A2609))</f>
        <v/>
      </c>
      <c r="P2609" s="79">
        <f>IF(OR($F2609="",$D2609=""),"",IF($D2609="Receita",$F2609,IF($D2609="Transferência",0,-$F2609)))</f>
        <v/>
      </c>
    </row>
    <row r="2610">
      <c r="A2610" s="73" t="n"/>
      <c r="B2610" s="74" t="n"/>
      <c r="C2610" s="74" t="n"/>
      <c r="D2610" s="75">
        <f>IF($C2610="","",IFERROR(INDEX(CAT_TIPO,MATCH($C2610,CAT_NOME,0)),"Sem categoria"))</f>
        <v/>
      </c>
      <c r="E2610" s="75">
        <f>IF($C2610="","",IFERROR(INDEX(CAT_GRUPO,MATCH($C2610,CAT_NOME,0)),"Sem categoria"))</f>
        <v/>
      </c>
      <c r="F2610" s="76" t="n"/>
      <c r="G2610" s="74" t="n"/>
      <c r="H2610" s="74" t="n"/>
      <c r="I2610" s="74" t="n"/>
      <c r="J2610" s="77" t="n"/>
      <c r="K2610" s="77" t="n"/>
      <c r="L2610" s="74" t="n"/>
      <c r="M2610" s="74" t="n"/>
      <c r="O2610" s="78">
        <f>IF($A2610="","",YEAR($A2610)*100+MONTH($A2610))</f>
        <v/>
      </c>
      <c r="P2610" s="79">
        <f>IF(OR($F2610="",$D2610=""),"",IF($D2610="Receita",$F2610,IF($D2610="Transferência",0,-$F2610)))</f>
        <v/>
      </c>
    </row>
    <row r="2611">
      <c r="A2611" s="73" t="n"/>
      <c r="B2611" s="74" t="n"/>
      <c r="C2611" s="74" t="n"/>
      <c r="D2611" s="75">
        <f>IF($C2611="","",IFERROR(INDEX(CAT_TIPO,MATCH($C2611,CAT_NOME,0)),"Sem categoria"))</f>
        <v/>
      </c>
      <c r="E2611" s="75">
        <f>IF($C2611="","",IFERROR(INDEX(CAT_GRUPO,MATCH($C2611,CAT_NOME,0)),"Sem categoria"))</f>
        <v/>
      </c>
      <c r="F2611" s="76" t="n"/>
      <c r="G2611" s="74" t="n"/>
      <c r="H2611" s="74" t="n"/>
      <c r="I2611" s="74" t="n"/>
      <c r="J2611" s="77" t="n"/>
      <c r="K2611" s="77" t="n"/>
      <c r="L2611" s="74" t="n"/>
      <c r="M2611" s="74" t="n"/>
      <c r="O2611" s="78">
        <f>IF($A2611="","",YEAR($A2611)*100+MONTH($A2611))</f>
        <v/>
      </c>
      <c r="P2611" s="79">
        <f>IF(OR($F2611="",$D2611=""),"",IF($D2611="Receita",$F2611,IF($D2611="Transferência",0,-$F2611)))</f>
        <v/>
      </c>
    </row>
    <row r="2612">
      <c r="A2612" s="73" t="n"/>
      <c r="B2612" s="74" t="n"/>
      <c r="C2612" s="74" t="n"/>
      <c r="D2612" s="75">
        <f>IF($C2612="","",IFERROR(INDEX(CAT_TIPO,MATCH($C2612,CAT_NOME,0)),"Sem categoria"))</f>
        <v/>
      </c>
      <c r="E2612" s="75">
        <f>IF($C2612="","",IFERROR(INDEX(CAT_GRUPO,MATCH($C2612,CAT_NOME,0)),"Sem categoria"))</f>
        <v/>
      </c>
      <c r="F2612" s="76" t="n"/>
      <c r="G2612" s="74" t="n"/>
      <c r="H2612" s="74" t="n"/>
      <c r="I2612" s="74" t="n"/>
      <c r="J2612" s="77" t="n"/>
      <c r="K2612" s="77" t="n"/>
      <c r="L2612" s="74" t="n"/>
      <c r="M2612" s="74" t="n"/>
      <c r="O2612" s="78">
        <f>IF($A2612="","",YEAR($A2612)*100+MONTH($A2612))</f>
        <v/>
      </c>
      <c r="P2612" s="79">
        <f>IF(OR($F2612="",$D2612=""),"",IF($D2612="Receita",$F2612,IF($D2612="Transferência",0,-$F2612)))</f>
        <v/>
      </c>
    </row>
    <row r="2613">
      <c r="A2613" s="73" t="n"/>
      <c r="B2613" s="74" t="n"/>
      <c r="C2613" s="74" t="n"/>
      <c r="D2613" s="75">
        <f>IF($C2613="","",IFERROR(INDEX(CAT_TIPO,MATCH($C2613,CAT_NOME,0)),"Sem categoria"))</f>
        <v/>
      </c>
      <c r="E2613" s="75">
        <f>IF($C2613="","",IFERROR(INDEX(CAT_GRUPO,MATCH($C2613,CAT_NOME,0)),"Sem categoria"))</f>
        <v/>
      </c>
      <c r="F2613" s="76" t="n"/>
      <c r="G2613" s="74" t="n"/>
      <c r="H2613" s="74" t="n"/>
      <c r="I2613" s="74" t="n"/>
      <c r="J2613" s="77" t="n"/>
      <c r="K2613" s="77" t="n"/>
      <c r="L2613" s="74" t="n"/>
      <c r="M2613" s="74" t="n"/>
      <c r="O2613" s="78">
        <f>IF($A2613="","",YEAR($A2613)*100+MONTH($A2613))</f>
        <v/>
      </c>
      <c r="P2613" s="79">
        <f>IF(OR($F2613="",$D2613=""),"",IF($D2613="Receita",$F2613,IF($D2613="Transferência",0,-$F2613)))</f>
        <v/>
      </c>
    </row>
    <row r="2614">
      <c r="A2614" s="73" t="n"/>
      <c r="B2614" s="74" t="n"/>
      <c r="C2614" s="74" t="n"/>
      <c r="D2614" s="75">
        <f>IF($C2614="","",IFERROR(INDEX(CAT_TIPO,MATCH($C2614,CAT_NOME,0)),"Sem categoria"))</f>
        <v/>
      </c>
      <c r="E2614" s="75">
        <f>IF($C2614="","",IFERROR(INDEX(CAT_GRUPO,MATCH($C2614,CAT_NOME,0)),"Sem categoria"))</f>
        <v/>
      </c>
      <c r="F2614" s="76" t="n"/>
      <c r="G2614" s="74" t="n"/>
      <c r="H2614" s="74" t="n"/>
      <c r="I2614" s="74" t="n"/>
      <c r="J2614" s="77" t="n"/>
      <c r="K2614" s="77" t="n"/>
      <c r="L2614" s="74" t="n"/>
      <c r="M2614" s="74" t="n"/>
      <c r="O2614" s="78">
        <f>IF($A2614="","",YEAR($A2614)*100+MONTH($A2614))</f>
        <v/>
      </c>
      <c r="P2614" s="79">
        <f>IF(OR($F2614="",$D2614=""),"",IF($D2614="Receita",$F2614,IF($D2614="Transferência",0,-$F2614)))</f>
        <v/>
      </c>
    </row>
    <row r="2615">
      <c r="A2615" s="73" t="n"/>
      <c r="B2615" s="74" t="n"/>
      <c r="C2615" s="74" t="n"/>
      <c r="D2615" s="75">
        <f>IF($C2615="","",IFERROR(INDEX(CAT_TIPO,MATCH($C2615,CAT_NOME,0)),"Sem categoria"))</f>
        <v/>
      </c>
      <c r="E2615" s="75">
        <f>IF($C2615="","",IFERROR(INDEX(CAT_GRUPO,MATCH($C2615,CAT_NOME,0)),"Sem categoria"))</f>
        <v/>
      </c>
      <c r="F2615" s="76" t="n"/>
      <c r="G2615" s="74" t="n"/>
      <c r="H2615" s="74" t="n"/>
      <c r="I2615" s="74" t="n"/>
      <c r="J2615" s="77" t="n"/>
      <c r="K2615" s="77" t="n"/>
      <c r="L2615" s="74" t="n"/>
      <c r="M2615" s="74" t="n"/>
      <c r="O2615" s="78">
        <f>IF($A2615="","",YEAR($A2615)*100+MONTH($A2615))</f>
        <v/>
      </c>
      <c r="P2615" s="79">
        <f>IF(OR($F2615="",$D2615=""),"",IF($D2615="Receita",$F2615,IF($D2615="Transferência",0,-$F2615)))</f>
        <v/>
      </c>
    </row>
    <row r="2616">
      <c r="A2616" s="73" t="n"/>
      <c r="B2616" s="74" t="n"/>
      <c r="C2616" s="74" t="n"/>
      <c r="D2616" s="75">
        <f>IF($C2616="","",IFERROR(INDEX(CAT_TIPO,MATCH($C2616,CAT_NOME,0)),"Sem categoria"))</f>
        <v/>
      </c>
      <c r="E2616" s="75">
        <f>IF($C2616="","",IFERROR(INDEX(CAT_GRUPO,MATCH($C2616,CAT_NOME,0)),"Sem categoria"))</f>
        <v/>
      </c>
      <c r="F2616" s="76" t="n"/>
      <c r="G2616" s="74" t="n"/>
      <c r="H2616" s="74" t="n"/>
      <c r="I2616" s="74" t="n"/>
      <c r="J2616" s="77" t="n"/>
      <c r="K2616" s="77" t="n"/>
      <c r="L2616" s="74" t="n"/>
      <c r="M2616" s="74" t="n"/>
      <c r="O2616" s="78">
        <f>IF($A2616="","",YEAR($A2616)*100+MONTH($A2616))</f>
        <v/>
      </c>
      <c r="P2616" s="79">
        <f>IF(OR($F2616="",$D2616=""),"",IF($D2616="Receita",$F2616,IF($D2616="Transferência",0,-$F2616)))</f>
        <v/>
      </c>
    </row>
    <row r="2617">
      <c r="A2617" s="73" t="n"/>
      <c r="B2617" s="74" t="n"/>
      <c r="C2617" s="74" t="n"/>
      <c r="D2617" s="75">
        <f>IF($C2617="","",IFERROR(INDEX(CAT_TIPO,MATCH($C2617,CAT_NOME,0)),"Sem categoria"))</f>
        <v/>
      </c>
      <c r="E2617" s="75">
        <f>IF($C2617="","",IFERROR(INDEX(CAT_GRUPO,MATCH($C2617,CAT_NOME,0)),"Sem categoria"))</f>
        <v/>
      </c>
      <c r="F2617" s="76" t="n"/>
      <c r="G2617" s="74" t="n"/>
      <c r="H2617" s="74" t="n"/>
      <c r="I2617" s="74" t="n"/>
      <c r="J2617" s="77" t="n"/>
      <c r="K2617" s="77" t="n"/>
      <c r="L2617" s="74" t="n"/>
      <c r="M2617" s="74" t="n"/>
      <c r="O2617" s="78">
        <f>IF($A2617="","",YEAR($A2617)*100+MONTH($A2617))</f>
        <v/>
      </c>
      <c r="P2617" s="79">
        <f>IF(OR($F2617="",$D2617=""),"",IF($D2617="Receita",$F2617,IF($D2617="Transferência",0,-$F2617)))</f>
        <v/>
      </c>
    </row>
    <row r="2618">
      <c r="A2618" s="73" t="n"/>
      <c r="B2618" s="74" t="n"/>
      <c r="C2618" s="74" t="n"/>
      <c r="D2618" s="75">
        <f>IF($C2618="","",IFERROR(INDEX(CAT_TIPO,MATCH($C2618,CAT_NOME,0)),"Sem categoria"))</f>
        <v/>
      </c>
      <c r="E2618" s="75">
        <f>IF($C2618="","",IFERROR(INDEX(CAT_GRUPO,MATCH($C2618,CAT_NOME,0)),"Sem categoria"))</f>
        <v/>
      </c>
      <c r="F2618" s="76" t="n"/>
      <c r="G2618" s="74" t="n"/>
      <c r="H2618" s="74" t="n"/>
      <c r="I2618" s="74" t="n"/>
      <c r="J2618" s="77" t="n"/>
      <c r="K2618" s="77" t="n"/>
      <c r="L2618" s="74" t="n"/>
      <c r="M2618" s="74" t="n"/>
      <c r="O2618" s="78">
        <f>IF($A2618="","",YEAR($A2618)*100+MONTH($A2618))</f>
        <v/>
      </c>
      <c r="P2618" s="79">
        <f>IF(OR($F2618="",$D2618=""),"",IF($D2618="Receita",$F2618,IF($D2618="Transferência",0,-$F2618)))</f>
        <v/>
      </c>
    </row>
    <row r="2619">
      <c r="A2619" s="73" t="n"/>
      <c r="B2619" s="74" t="n"/>
      <c r="C2619" s="74" t="n"/>
      <c r="D2619" s="75">
        <f>IF($C2619="","",IFERROR(INDEX(CAT_TIPO,MATCH($C2619,CAT_NOME,0)),"Sem categoria"))</f>
        <v/>
      </c>
      <c r="E2619" s="75">
        <f>IF($C2619="","",IFERROR(INDEX(CAT_GRUPO,MATCH($C2619,CAT_NOME,0)),"Sem categoria"))</f>
        <v/>
      </c>
      <c r="F2619" s="76" t="n"/>
      <c r="G2619" s="74" t="n"/>
      <c r="H2619" s="74" t="n"/>
      <c r="I2619" s="74" t="n"/>
      <c r="J2619" s="77" t="n"/>
      <c r="K2619" s="77" t="n"/>
      <c r="L2619" s="74" t="n"/>
      <c r="M2619" s="74" t="n"/>
      <c r="O2619" s="78">
        <f>IF($A2619="","",YEAR($A2619)*100+MONTH($A2619))</f>
        <v/>
      </c>
      <c r="P2619" s="79">
        <f>IF(OR($F2619="",$D2619=""),"",IF($D2619="Receita",$F2619,IF($D2619="Transferência",0,-$F2619)))</f>
        <v/>
      </c>
    </row>
    <row r="2620">
      <c r="A2620" s="73" t="n"/>
      <c r="B2620" s="74" t="n"/>
      <c r="C2620" s="74" t="n"/>
      <c r="D2620" s="75">
        <f>IF($C2620="","",IFERROR(INDEX(CAT_TIPO,MATCH($C2620,CAT_NOME,0)),"Sem categoria"))</f>
        <v/>
      </c>
      <c r="E2620" s="75">
        <f>IF($C2620="","",IFERROR(INDEX(CAT_GRUPO,MATCH($C2620,CAT_NOME,0)),"Sem categoria"))</f>
        <v/>
      </c>
      <c r="F2620" s="76" t="n"/>
      <c r="G2620" s="74" t="n"/>
      <c r="H2620" s="74" t="n"/>
      <c r="I2620" s="74" t="n"/>
      <c r="J2620" s="77" t="n"/>
      <c r="K2620" s="77" t="n"/>
      <c r="L2620" s="74" t="n"/>
      <c r="M2620" s="74" t="n"/>
      <c r="O2620" s="78">
        <f>IF($A2620="","",YEAR($A2620)*100+MONTH($A2620))</f>
        <v/>
      </c>
      <c r="P2620" s="79">
        <f>IF(OR($F2620="",$D2620=""),"",IF($D2620="Receita",$F2620,IF($D2620="Transferência",0,-$F2620)))</f>
        <v/>
      </c>
    </row>
    <row r="2621">
      <c r="A2621" s="73" t="n"/>
      <c r="B2621" s="74" t="n"/>
      <c r="C2621" s="74" t="n"/>
      <c r="D2621" s="75">
        <f>IF($C2621="","",IFERROR(INDEX(CAT_TIPO,MATCH($C2621,CAT_NOME,0)),"Sem categoria"))</f>
        <v/>
      </c>
      <c r="E2621" s="75">
        <f>IF($C2621="","",IFERROR(INDEX(CAT_GRUPO,MATCH($C2621,CAT_NOME,0)),"Sem categoria"))</f>
        <v/>
      </c>
      <c r="F2621" s="76" t="n"/>
      <c r="G2621" s="74" t="n"/>
      <c r="H2621" s="74" t="n"/>
      <c r="I2621" s="74" t="n"/>
      <c r="J2621" s="77" t="n"/>
      <c r="K2621" s="77" t="n"/>
      <c r="L2621" s="74" t="n"/>
      <c r="M2621" s="74" t="n"/>
      <c r="O2621" s="78">
        <f>IF($A2621="","",YEAR($A2621)*100+MONTH($A2621))</f>
        <v/>
      </c>
      <c r="P2621" s="79">
        <f>IF(OR($F2621="",$D2621=""),"",IF($D2621="Receita",$F2621,IF($D2621="Transferência",0,-$F2621)))</f>
        <v/>
      </c>
    </row>
    <row r="2622">
      <c r="A2622" s="73" t="n"/>
      <c r="B2622" s="74" t="n"/>
      <c r="C2622" s="74" t="n"/>
      <c r="D2622" s="75">
        <f>IF($C2622="","",IFERROR(INDEX(CAT_TIPO,MATCH($C2622,CAT_NOME,0)),"Sem categoria"))</f>
        <v/>
      </c>
      <c r="E2622" s="75">
        <f>IF($C2622="","",IFERROR(INDEX(CAT_GRUPO,MATCH($C2622,CAT_NOME,0)),"Sem categoria"))</f>
        <v/>
      </c>
      <c r="F2622" s="76" t="n"/>
      <c r="G2622" s="74" t="n"/>
      <c r="H2622" s="74" t="n"/>
      <c r="I2622" s="74" t="n"/>
      <c r="J2622" s="77" t="n"/>
      <c r="K2622" s="77" t="n"/>
      <c r="L2622" s="74" t="n"/>
      <c r="M2622" s="74" t="n"/>
      <c r="O2622" s="78">
        <f>IF($A2622="","",YEAR($A2622)*100+MONTH($A2622))</f>
        <v/>
      </c>
      <c r="P2622" s="79">
        <f>IF(OR($F2622="",$D2622=""),"",IF($D2622="Receita",$F2622,IF($D2622="Transferência",0,-$F2622)))</f>
        <v/>
      </c>
    </row>
    <row r="2623">
      <c r="A2623" s="73" t="n"/>
      <c r="B2623" s="74" t="n"/>
      <c r="C2623" s="74" t="n"/>
      <c r="D2623" s="75">
        <f>IF($C2623="","",IFERROR(INDEX(CAT_TIPO,MATCH($C2623,CAT_NOME,0)),"Sem categoria"))</f>
        <v/>
      </c>
      <c r="E2623" s="75">
        <f>IF($C2623="","",IFERROR(INDEX(CAT_GRUPO,MATCH($C2623,CAT_NOME,0)),"Sem categoria"))</f>
        <v/>
      </c>
      <c r="F2623" s="76" t="n"/>
      <c r="G2623" s="74" t="n"/>
      <c r="H2623" s="74" t="n"/>
      <c r="I2623" s="74" t="n"/>
      <c r="J2623" s="77" t="n"/>
      <c r="K2623" s="77" t="n"/>
      <c r="L2623" s="74" t="n"/>
      <c r="M2623" s="74" t="n"/>
      <c r="O2623" s="78">
        <f>IF($A2623="","",YEAR($A2623)*100+MONTH($A2623))</f>
        <v/>
      </c>
      <c r="P2623" s="79">
        <f>IF(OR($F2623="",$D2623=""),"",IF($D2623="Receita",$F2623,IF($D2623="Transferência",0,-$F2623)))</f>
        <v/>
      </c>
    </row>
    <row r="2624">
      <c r="A2624" s="73" t="n"/>
      <c r="B2624" s="74" t="n"/>
      <c r="C2624" s="74" t="n"/>
      <c r="D2624" s="75">
        <f>IF($C2624="","",IFERROR(INDEX(CAT_TIPO,MATCH($C2624,CAT_NOME,0)),"Sem categoria"))</f>
        <v/>
      </c>
      <c r="E2624" s="75">
        <f>IF($C2624="","",IFERROR(INDEX(CAT_GRUPO,MATCH($C2624,CAT_NOME,0)),"Sem categoria"))</f>
        <v/>
      </c>
      <c r="F2624" s="76" t="n"/>
      <c r="G2624" s="74" t="n"/>
      <c r="H2624" s="74" t="n"/>
      <c r="I2624" s="74" t="n"/>
      <c r="J2624" s="77" t="n"/>
      <c r="K2624" s="77" t="n"/>
      <c r="L2624" s="74" t="n"/>
      <c r="M2624" s="74" t="n"/>
      <c r="O2624" s="78">
        <f>IF($A2624="","",YEAR($A2624)*100+MONTH($A2624))</f>
        <v/>
      </c>
      <c r="P2624" s="79">
        <f>IF(OR($F2624="",$D2624=""),"",IF($D2624="Receita",$F2624,IF($D2624="Transferência",0,-$F2624)))</f>
        <v/>
      </c>
    </row>
    <row r="2625">
      <c r="A2625" s="73" t="n"/>
      <c r="B2625" s="74" t="n"/>
      <c r="C2625" s="74" t="n"/>
      <c r="D2625" s="75">
        <f>IF($C2625="","",IFERROR(INDEX(CAT_TIPO,MATCH($C2625,CAT_NOME,0)),"Sem categoria"))</f>
        <v/>
      </c>
      <c r="E2625" s="75">
        <f>IF($C2625="","",IFERROR(INDEX(CAT_GRUPO,MATCH($C2625,CAT_NOME,0)),"Sem categoria"))</f>
        <v/>
      </c>
      <c r="F2625" s="76" t="n"/>
      <c r="G2625" s="74" t="n"/>
      <c r="H2625" s="74" t="n"/>
      <c r="I2625" s="74" t="n"/>
      <c r="J2625" s="77" t="n"/>
      <c r="K2625" s="77" t="n"/>
      <c r="L2625" s="74" t="n"/>
      <c r="M2625" s="74" t="n"/>
      <c r="O2625" s="78">
        <f>IF($A2625="","",YEAR($A2625)*100+MONTH($A2625))</f>
        <v/>
      </c>
      <c r="P2625" s="79">
        <f>IF(OR($F2625="",$D2625=""),"",IF($D2625="Receita",$F2625,IF($D2625="Transferência",0,-$F2625)))</f>
        <v/>
      </c>
    </row>
    <row r="2626">
      <c r="A2626" s="73" t="n"/>
      <c r="B2626" s="74" t="n"/>
      <c r="C2626" s="74" t="n"/>
      <c r="D2626" s="75">
        <f>IF($C2626="","",IFERROR(INDEX(CAT_TIPO,MATCH($C2626,CAT_NOME,0)),"Sem categoria"))</f>
        <v/>
      </c>
      <c r="E2626" s="75">
        <f>IF($C2626="","",IFERROR(INDEX(CAT_GRUPO,MATCH($C2626,CAT_NOME,0)),"Sem categoria"))</f>
        <v/>
      </c>
      <c r="F2626" s="76" t="n"/>
      <c r="G2626" s="74" t="n"/>
      <c r="H2626" s="74" t="n"/>
      <c r="I2626" s="74" t="n"/>
      <c r="J2626" s="77" t="n"/>
      <c r="K2626" s="77" t="n"/>
      <c r="L2626" s="74" t="n"/>
      <c r="M2626" s="74" t="n"/>
      <c r="O2626" s="78">
        <f>IF($A2626="","",YEAR($A2626)*100+MONTH($A2626))</f>
        <v/>
      </c>
      <c r="P2626" s="79">
        <f>IF(OR($F2626="",$D2626=""),"",IF($D2626="Receita",$F2626,IF($D2626="Transferência",0,-$F2626)))</f>
        <v/>
      </c>
    </row>
    <row r="2627">
      <c r="A2627" s="73" t="n"/>
      <c r="B2627" s="74" t="n"/>
      <c r="C2627" s="74" t="n"/>
      <c r="D2627" s="75">
        <f>IF($C2627="","",IFERROR(INDEX(CAT_TIPO,MATCH($C2627,CAT_NOME,0)),"Sem categoria"))</f>
        <v/>
      </c>
      <c r="E2627" s="75">
        <f>IF($C2627="","",IFERROR(INDEX(CAT_GRUPO,MATCH($C2627,CAT_NOME,0)),"Sem categoria"))</f>
        <v/>
      </c>
      <c r="F2627" s="76" t="n"/>
      <c r="G2627" s="74" t="n"/>
      <c r="H2627" s="74" t="n"/>
      <c r="I2627" s="74" t="n"/>
      <c r="J2627" s="77" t="n"/>
      <c r="K2627" s="77" t="n"/>
      <c r="L2627" s="74" t="n"/>
      <c r="M2627" s="74" t="n"/>
      <c r="O2627" s="78">
        <f>IF($A2627="","",YEAR($A2627)*100+MONTH($A2627))</f>
        <v/>
      </c>
      <c r="P2627" s="79">
        <f>IF(OR($F2627="",$D2627=""),"",IF($D2627="Receita",$F2627,IF($D2627="Transferência",0,-$F2627)))</f>
        <v/>
      </c>
    </row>
    <row r="2628">
      <c r="A2628" s="73" t="n"/>
      <c r="B2628" s="74" t="n"/>
      <c r="C2628" s="74" t="n"/>
      <c r="D2628" s="75">
        <f>IF($C2628="","",IFERROR(INDEX(CAT_TIPO,MATCH($C2628,CAT_NOME,0)),"Sem categoria"))</f>
        <v/>
      </c>
      <c r="E2628" s="75">
        <f>IF($C2628="","",IFERROR(INDEX(CAT_GRUPO,MATCH($C2628,CAT_NOME,0)),"Sem categoria"))</f>
        <v/>
      </c>
      <c r="F2628" s="76" t="n"/>
      <c r="G2628" s="74" t="n"/>
      <c r="H2628" s="74" t="n"/>
      <c r="I2628" s="74" t="n"/>
      <c r="J2628" s="77" t="n"/>
      <c r="K2628" s="77" t="n"/>
      <c r="L2628" s="74" t="n"/>
      <c r="M2628" s="74" t="n"/>
      <c r="O2628" s="78">
        <f>IF($A2628="","",YEAR($A2628)*100+MONTH($A2628))</f>
        <v/>
      </c>
      <c r="P2628" s="79">
        <f>IF(OR($F2628="",$D2628=""),"",IF($D2628="Receita",$F2628,IF($D2628="Transferência",0,-$F2628)))</f>
        <v/>
      </c>
    </row>
    <row r="2629">
      <c r="A2629" s="73" t="n"/>
      <c r="B2629" s="74" t="n"/>
      <c r="C2629" s="74" t="n"/>
      <c r="D2629" s="75">
        <f>IF($C2629="","",IFERROR(INDEX(CAT_TIPO,MATCH($C2629,CAT_NOME,0)),"Sem categoria"))</f>
        <v/>
      </c>
      <c r="E2629" s="75">
        <f>IF($C2629="","",IFERROR(INDEX(CAT_GRUPO,MATCH($C2629,CAT_NOME,0)),"Sem categoria"))</f>
        <v/>
      </c>
      <c r="F2629" s="76" t="n"/>
      <c r="G2629" s="74" t="n"/>
      <c r="H2629" s="74" t="n"/>
      <c r="I2629" s="74" t="n"/>
      <c r="J2629" s="77" t="n"/>
      <c r="K2629" s="77" t="n"/>
      <c r="L2629" s="74" t="n"/>
      <c r="M2629" s="74" t="n"/>
      <c r="O2629" s="78">
        <f>IF($A2629="","",YEAR($A2629)*100+MONTH($A2629))</f>
        <v/>
      </c>
      <c r="P2629" s="79">
        <f>IF(OR($F2629="",$D2629=""),"",IF($D2629="Receita",$F2629,IF($D2629="Transferência",0,-$F2629)))</f>
        <v/>
      </c>
    </row>
    <row r="2630">
      <c r="A2630" s="73" t="n"/>
      <c r="B2630" s="74" t="n"/>
      <c r="C2630" s="74" t="n"/>
      <c r="D2630" s="75">
        <f>IF($C2630="","",IFERROR(INDEX(CAT_TIPO,MATCH($C2630,CAT_NOME,0)),"Sem categoria"))</f>
        <v/>
      </c>
      <c r="E2630" s="75">
        <f>IF($C2630="","",IFERROR(INDEX(CAT_GRUPO,MATCH($C2630,CAT_NOME,0)),"Sem categoria"))</f>
        <v/>
      </c>
      <c r="F2630" s="76" t="n"/>
      <c r="G2630" s="74" t="n"/>
      <c r="H2630" s="74" t="n"/>
      <c r="I2630" s="74" t="n"/>
      <c r="J2630" s="77" t="n"/>
      <c r="K2630" s="77" t="n"/>
      <c r="L2630" s="74" t="n"/>
      <c r="M2630" s="74" t="n"/>
      <c r="O2630" s="78">
        <f>IF($A2630="","",YEAR($A2630)*100+MONTH($A2630))</f>
        <v/>
      </c>
      <c r="P2630" s="79">
        <f>IF(OR($F2630="",$D2630=""),"",IF($D2630="Receita",$F2630,IF($D2630="Transferência",0,-$F2630)))</f>
        <v/>
      </c>
    </row>
    <row r="2631">
      <c r="A2631" s="73" t="n"/>
      <c r="B2631" s="74" t="n"/>
      <c r="C2631" s="74" t="n"/>
      <c r="D2631" s="75">
        <f>IF($C2631="","",IFERROR(INDEX(CAT_TIPO,MATCH($C2631,CAT_NOME,0)),"Sem categoria"))</f>
        <v/>
      </c>
      <c r="E2631" s="75">
        <f>IF($C2631="","",IFERROR(INDEX(CAT_GRUPO,MATCH($C2631,CAT_NOME,0)),"Sem categoria"))</f>
        <v/>
      </c>
      <c r="F2631" s="76" t="n"/>
      <c r="G2631" s="74" t="n"/>
      <c r="H2631" s="74" t="n"/>
      <c r="I2631" s="74" t="n"/>
      <c r="J2631" s="77" t="n"/>
      <c r="K2631" s="77" t="n"/>
      <c r="L2631" s="74" t="n"/>
      <c r="M2631" s="74" t="n"/>
      <c r="O2631" s="78">
        <f>IF($A2631="","",YEAR($A2631)*100+MONTH($A2631))</f>
        <v/>
      </c>
      <c r="P2631" s="79">
        <f>IF(OR($F2631="",$D2631=""),"",IF($D2631="Receita",$F2631,IF($D2631="Transferência",0,-$F2631)))</f>
        <v/>
      </c>
    </row>
    <row r="2632">
      <c r="A2632" s="73" t="n"/>
      <c r="B2632" s="74" t="n"/>
      <c r="C2632" s="74" t="n"/>
      <c r="D2632" s="75">
        <f>IF($C2632="","",IFERROR(INDEX(CAT_TIPO,MATCH($C2632,CAT_NOME,0)),"Sem categoria"))</f>
        <v/>
      </c>
      <c r="E2632" s="75">
        <f>IF($C2632="","",IFERROR(INDEX(CAT_GRUPO,MATCH($C2632,CAT_NOME,0)),"Sem categoria"))</f>
        <v/>
      </c>
      <c r="F2632" s="76" t="n"/>
      <c r="G2632" s="74" t="n"/>
      <c r="H2632" s="74" t="n"/>
      <c r="I2632" s="74" t="n"/>
      <c r="J2632" s="77" t="n"/>
      <c r="K2632" s="77" t="n"/>
      <c r="L2632" s="74" t="n"/>
      <c r="M2632" s="74" t="n"/>
      <c r="O2632" s="78">
        <f>IF($A2632="","",YEAR($A2632)*100+MONTH($A2632))</f>
        <v/>
      </c>
      <c r="P2632" s="79">
        <f>IF(OR($F2632="",$D2632=""),"",IF($D2632="Receita",$F2632,IF($D2632="Transferência",0,-$F2632)))</f>
        <v/>
      </c>
    </row>
    <row r="2633">
      <c r="A2633" s="73" t="n"/>
      <c r="B2633" s="74" t="n"/>
      <c r="C2633" s="74" t="n"/>
      <c r="D2633" s="75">
        <f>IF($C2633="","",IFERROR(INDEX(CAT_TIPO,MATCH($C2633,CAT_NOME,0)),"Sem categoria"))</f>
        <v/>
      </c>
      <c r="E2633" s="75">
        <f>IF($C2633="","",IFERROR(INDEX(CAT_GRUPO,MATCH($C2633,CAT_NOME,0)),"Sem categoria"))</f>
        <v/>
      </c>
      <c r="F2633" s="76" t="n"/>
      <c r="G2633" s="74" t="n"/>
      <c r="H2633" s="74" t="n"/>
      <c r="I2633" s="74" t="n"/>
      <c r="J2633" s="77" t="n"/>
      <c r="K2633" s="77" t="n"/>
      <c r="L2633" s="74" t="n"/>
      <c r="M2633" s="74" t="n"/>
      <c r="O2633" s="78">
        <f>IF($A2633="","",YEAR($A2633)*100+MONTH($A2633))</f>
        <v/>
      </c>
      <c r="P2633" s="79">
        <f>IF(OR($F2633="",$D2633=""),"",IF($D2633="Receita",$F2633,IF($D2633="Transferência",0,-$F2633)))</f>
        <v/>
      </c>
    </row>
    <row r="2634">
      <c r="A2634" s="73" t="n"/>
      <c r="B2634" s="74" t="n"/>
      <c r="C2634" s="74" t="n"/>
      <c r="D2634" s="75">
        <f>IF($C2634="","",IFERROR(INDEX(CAT_TIPO,MATCH($C2634,CAT_NOME,0)),"Sem categoria"))</f>
        <v/>
      </c>
      <c r="E2634" s="75">
        <f>IF($C2634="","",IFERROR(INDEX(CAT_GRUPO,MATCH($C2634,CAT_NOME,0)),"Sem categoria"))</f>
        <v/>
      </c>
      <c r="F2634" s="76" t="n"/>
      <c r="G2634" s="74" t="n"/>
      <c r="H2634" s="74" t="n"/>
      <c r="I2634" s="74" t="n"/>
      <c r="J2634" s="77" t="n"/>
      <c r="K2634" s="77" t="n"/>
      <c r="L2634" s="74" t="n"/>
      <c r="M2634" s="74" t="n"/>
      <c r="O2634" s="78">
        <f>IF($A2634="","",YEAR($A2634)*100+MONTH($A2634))</f>
        <v/>
      </c>
      <c r="P2634" s="79">
        <f>IF(OR($F2634="",$D2634=""),"",IF($D2634="Receita",$F2634,IF($D2634="Transferência",0,-$F2634)))</f>
        <v/>
      </c>
    </row>
    <row r="2635">
      <c r="A2635" s="73" t="n"/>
      <c r="B2635" s="74" t="n"/>
      <c r="C2635" s="74" t="n"/>
      <c r="D2635" s="75">
        <f>IF($C2635="","",IFERROR(INDEX(CAT_TIPO,MATCH($C2635,CAT_NOME,0)),"Sem categoria"))</f>
        <v/>
      </c>
      <c r="E2635" s="75">
        <f>IF($C2635="","",IFERROR(INDEX(CAT_GRUPO,MATCH($C2635,CAT_NOME,0)),"Sem categoria"))</f>
        <v/>
      </c>
      <c r="F2635" s="76" t="n"/>
      <c r="G2635" s="74" t="n"/>
      <c r="H2635" s="74" t="n"/>
      <c r="I2635" s="74" t="n"/>
      <c r="J2635" s="77" t="n"/>
      <c r="K2635" s="77" t="n"/>
      <c r="L2635" s="74" t="n"/>
      <c r="M2635" s="74" t="n"/>
      <c r="O2635" s="78">
        <f>IF($A2635="","",YEAR($A2635)*100+MONTH($A2635))</f>
        <v/>
      </c>
      <c r="P2635" s="79">
        <f>IF(OR($F2635="",$D2635=""),"",IF($D2635="Receita",$F2635,IF($D2635="Transferência",0,-$F2635)))</f>
        <v/>
      </c>
    </row>
    <row r="2636">
      <c r="A2636" s="73" t="n"/>
      <c r="B2636" s="74" t="n"/>
      <c r="C2636" s="74" t="n"/>
      <c r="D2636" s="75">
        <f>IF($C2636="","",IFERROR(INDEX(CAT_TIPO,MATCH($C2636,CAT_NOME,0)),"Sem categoria"))</f>
        <v/>
      </c>
      <c r="E2636" s="75">
        <f>IF($C2636="","",IFERROR(INDEX(CAT_GRUPO,MATCH($C2636,CAT_NOME,0)),"Sem categoria"))</f>
        <v/>
      </c>
      <c r="F2636" s="76" t="n"/>
      <c r="G2636" s="74" t="n"/>
      <c r="H2636" s="74" t="n"/>
      <c r="I2636" s="74" t="n"/>
      <c r="J2636" s="77" t="n"/>
      <c r="K2636" s="77" t="n"/>
      <c r="L2636" s="74" t="n"/>
      <c r="M2636" s="74" t="n"/>
      <c r="O2636" s="78">
        <f>IF($A2636="","",YEAR($A2636)*100+MONTH($A2636))</f>
        <v/>
      </c>
      <c r="P2636" s="79">
        <f>IF(OR($F2636="",$D2636=""),"",IF($D2636="Receita",$F2636,IF($D2636="Transferência",0,-$F2636)))</f>
        <v/>
      </c>
    </row>
    <row r="2637">
      <c r="A2637" s="73" t="n"/>
      <c r="B2637" s="74" t="n"/>
      <c r="C2637" s="74" t="n"/>
      <c r="D2637" s="75">
        <f>IF($C2637="","",IFERROR(INDEX(CAT_TIPO,MATCH($C2637,CAT_NOME,0)),"Sem categoria"))</f>
        <v/>
      </c>
      <c r="E2637" s="75">
        <f>IF($C2637="","",IFERROR(INDEX(CAT_GRUPO,MATCH($C2637,CAT_NOME,0)),"Sem categoria"))</f>
        <v/>
      </c>
      <c r="F2637" s="76" t="n"/>
      <c r="G2637" s="74" t="n"/>
      <c r="H2637" s="74" t="n"/>
      <c r="I2637" s="74" t="n"/>
      <c r="J2637" s="77" t="n"/>
      <c r="K2637" s="77" t="n"/>
      <c r="L2637" s="74" t="n"/>
      <c r="M2637" s="74" t="n"/>
      <c r="O2637" s="78">
        <f>IF($A2637="","",YEAR($A2637)*100+MONTH($A2637))</f>
        <v/>
      </c>
      <c r="P2637" s="79">
        <f>IF(OR($F2637="",$D2637=""),"",IF($D2637="Receita",$F2637,IF($D2637="Transferência",0,-$F2637)))</f>
        <v/>
      </c>
    </row>
    <row r="2638">
      <c r="A2638" s="73" t="n"/>
      <c r="B2638" s="74" t="n"/>
      <c r="C2638" s="74" t="n"/>
      <c r="D2638" s="75">
        <f>IF($C2638="","",IFERROR(INDEX(CAT_TIPO,MATCH($C2638,CAT_NOME,0)),"Sem categoria"))</f>
        <v/>
      </c>
      <c r="E2638" s="75">
        <f>IF($C2638="","",IFERROR(INDEX(CAT_GRUPO,MATCH($C2638,CAT_NOME,0)),"Sem categoria"))</f>
        <v/>
      </c>
      <c r="F2638" s="76" t="n"/>
      <c r="G2638" s="74" t="n"/>
      <c r="H2638" s="74" t="n"/>
      <c r="I2638" s="74" t="n"/>
      <c r="J2638" s="77" t="n"/>
      <c r="K2638" s="77" t="n"/>
      <c r="L2638" s="74" t="n"/>
      <c r="M2638" s="74" t="n"/>
      <c r="O2638" s="78">
        <f>IF($A2638="","",YEAR($A2638)*100+MONTH($A2638))</f>
        <v/>
      </c>
      <c r="P2638" s="79">
        <f>IF(OR($F2638="",$D2638=""),"",IF($D2638="Receita",$F2638,IF($D2638="Transferência",0,-$F2638)))</f>
        <v/>
      </c>
    </row>
    <row r="2639">
      <c r="A2639" s="73" t="n"/>
      <c r="B2639" s="74" t="n"/>
      <c r="C2639" s="74" t="n"/>
      <c r="D2639" s="75">
        <f>IF($C2639="","",IFERROR(INDEX(CAT_TIPO,MATCH($C2639,CAT_NOME,0)),"Sem categoria"))</f>
        <v/>
      </c>
      <c r="E2639" s="75">
        <f>IF($C2639="","",IFERROR(INDEX(CAT_GRUPO,MATCH($C2639,CAT_NOME,0)),"Sem categoria"))</f>
        <v/>
      </c>
      <c r="F2639" s="76" t="n"/>
      <c r="G2639" s="74" t="n"/>
      <c r="H2639" s="74" t="n"/>
      <c r="I2639" s="74" t="n"/>
      <c r="J2639" s="77" t="n"/>
      <c r="K2639" s="77" t="n"/>
      <c r="L2639" s="74" t="n"/>
      <c r="M2639" s="74" t="n"/>
      <c r="O2639" s="78">
        <f>IF($A2639="","",YEAR($A2639)*100+MONTH($A2639))</f>
        <v/>
      </c>
      <c r="P2639" s="79">
        <f>IF(OR($F2639="",$D2639=""),"",IF($D2639="Receita",$F2639,IF($D2639="Transferência",0,-$F2639)))</f>
        <v/>
      </c>
    </row>
    <row r="2640">
      <c r="A2640" s="73" t="n"/>
      <c r="B2640" s="74" t="n"/>
      <c r="C2640" s="74" t="n"/>
      <c r="D2640" s="75">
        <f>IF($C2640="","",IFERROR(INDEX(CAT_TIPO,MATCH($C2640,CAT_NOME,0)),"Sem categoria"))</f>
        <v/>
      </c>
      <c r="E2640" s="75">
        <f>IF($C2640="","",IFERROR(INDEX(CAT_GRUPO,MATCH($C2640,CAT_NOME,0)),"Sem categoria"))</f>
        <v/>
      </c>
      <c r="F2640" s="76" t="n"/>
      <c r="G2640" s="74" t="n"/>
      <c r="H2640" s="74" t="n"/>
      <c r="I2640" s="74" t="n"/>
      <c r="J2640" s="77" t="n"/>
      <c r="K2640" s="77" t="n"/>
      <c r="L2640" s="74" t="n"/>
      <c r="M2640" s="74" t="n"/>
      <c r="O2640" s="78">
        <f>IF($A2640="","",YEAR($A2640)*100+MONTH($A2640))</f>
        <v/>
      </c>
      <c r="P2640" s="79">
        <f>IF(OR($F2640="",$D2640=""),"",IF($D2640="Receita",$F2640,IF($D2640="Transferência",0,-$F2640)))</f>
        <v/>
      </c>
    </row>
    <row r="2641">
      <c r="A2641" s="73" t="n"/>
      <c r="B2641" s="74" t="n"/>
      <c r="C2641" s="74" t="n"/>
      <c r="D2641" s="75">
        <f>IF($C2641="","",IFERROR(INDEX(CAT_TIPO,MATCH($C2641,CAT_NOME,0)),"Sem categoria"))</f>
        <v/>
      </c>
      <c r="E2641" s="75">
        <f>IF($C2641="","",IFERROR(INDEX(CAT_GRUPO,MATCH($C2641,CAT_NOME,0)),"Sem categoria"))</f>
        <v/>
      </c>
      <c r="F2641" s="76" t="n"/>
      <c r="G2641" s="74" t="n"/>
      <c r="H2641" s="74" t="n"/>
      <c r="I2641" s="74" t="n"/>
      <c r="J2641" s="77" t="n"/>
      <c r="K2641" s="77" t="n"/>
      <c r="L2641" s="74" t="n"/>
      <c r="M2641" s="74" t="n"/>
      <c r="O2641" s="78">
        <f>IF($A2641="","",YEAR($A2641)*100+MONTH($A2641))</f>
        <v/>
      </c>
      <c r="P2641" s="79">
        <f>IF(OR($F2641="",$D2641=""),"",IF($D2641="Receita",$F2641,IF($D2641="Transferência",0,-$F2641)))</f>
        <v/>
      </c>
    </row>
    <row r="2642">
      <c r="A2642" s="73" t="n"/>
      <c r="B2642" s="74" t="n"/>
      <c r="C2642" s="74" t="n"/>
      <c r="D2642" s="75">
        <f>IF($C2642="","",IFERROR(INDEX(CAT_TIPO,MATCH($C2642,CAT_NOME,0)),"Sem categoria"))</f>
        <v/>
      </c>
      <c r="E2642" s="75">
        <f>IF($C2642="","",IFERROR(INDEX(CAT_GRUPO,MATCH($C2642,CAT_NOME,0)),"Sem categoria"))</f>
        <v/>
      </c>
      <c r="F2642" s="76" t="n"/>
      <c r="G2642" s="74" t="n"/>
      <c r="H2642" s="74" t="n"/>
      <c r="I2642" s="74" t="n"/>
      <c r="J2642" s="77" t="n"/>
      <c r="K2642" s="77" t="n"/>
      <c r="L2642" s="74" t="n"/>
      <c r="M2642" s="74" t="n"/>
      <c r="O2642" s="78">
        <f>IF($A2642="","",YEAR($A2642)*100+MONTH($A2642))</f>
        <v/>
      </c>
      <c r="P2642" s="79">
        <f>IF(OR($F2642="",$D2642=""),"",IF($D2642="Receita",$F2642,IF($D2642="Transferência",0,-$F2642)))</f>
        <v/>
      </c>
    </row>
    <row r="2643">
      <c r="A2643" s="73" t="n"/>
      <c r="B2643" s="74" t="n"/>
      <c r="C2643" s="74" t="n"/>
      <c r="D2643" s="75">
        <f>IF($C2643="","",IFERROR(INDEX(CAT_TIPO,MATCH($C2643,CAT_NOME,0)),"Sem categoria"))</f>
        <v/>
      </c>
      <c r="E2643" s="75">
        <f>IF($C2643="","",IFERROR(INDEX(CAT_GRUPO,MATCH($C2643,CAT_NOME,0)),"Sem categoria"))</f>
        <v/>
      </c>
      <c r="F2643" s="76" t="n"/>
      <c r="G2643" s="74" t="n"/>
      <c r="H2643" s="74" t="n"/>
      <c r="I2643" s="74" t="n"/>
      <c r="J2643" s="77" t="n"/>
      <c r="K2643" s="77" t="n"/>
      <c r="L2643" s="74" t="n"/>
      <c r="M2643" s="74" t="n"/>
      <c r="O2643" s="78">
        <f>IF($A2643="","",YEAR($A2643)*100+MONTH($A2643))</f>
        <v/>
      </c>
      <c r="P2643" s="79">
        <f>IF(OR($F2643="",$D2643=""),"",IF($D2643="Receita",$F2643,IF($D2643="Transferência",0,-$F2643)))</f>
        <v/>
      </c>
    </row>
    <row r="2644">
      <c r="A2644" s="73" t="n"/>
      <c r="B2644" s="74" t="n"/>
      <c r="C2644" s="74" t="n"/>
      <c r="D2644" s="75">
        <f>IF($C2644="","",IFERROR(INDEX(CAT_TIPO,MATCH($C2644,CAT_NOME,0)),"Sem categoria"))</f>
        <v/>
      </c>
      <c r="E2644" s="75">
        <f>IF($C2644="","",IFERROR(INDEX(CAT_GRUPO,MATCH($C2644,CAT_NOME,0)),"Sem categoria"))</f>
        <v/>
      </c>
      <c r="F2644" s="76" t="n"/>
      <c r="G2644" s="74" t="n"/>
      <c r="H2644" s="74" t="n"/>
      <c r="I2644" s="74" t="n"/>
      <c r="J2644" s="77" t="n"/>
      <c r="K2644" s="77" t="n"/>
      <c r="L2644" s="74" t="n"/>
      <c r="M2644" s="74" t="n"/>
      <c r="O2644" s="78">
        <f>IF($A2644="","",YEAR($A2644)*100+MONTH($A2644))</f>
        <v/>
      </c>
      <c r="P2644" s="79">
        <f>IF(OR($F2644="",$D2644=""),"",IF($D2644="Receita",$F2644,IF($D2644="Transferência",0,-$F2644)))</f>
        <v/>
      </c>
    </row>
    <row r="2645">
      <c r="A2645" s="73" t="n"/>
      <c r="B2645" s="74" t="n"/>
      <c r="C2645" s="74" t="n"/>
      <c r="D2645" s="75">
        <f>IF($C2645="","",IFERROR(INDEX(CAT_TIPO,MATCH($C2645,CAT_NOME,0)),"Sem categoria"))</f>
        <v/>
      </c>
      <c r="E2645" s="75">
        <f>IF($C2645="","",IFERROR(INDEX(CAT_GRUPO,MATCH($C2645,CAT_NOME,0)),"Sem categoria"))</f>
        <v/>
      </c>
      <c r="F2645" s="76" t="n"/>
      <c r="G2645" s="74" t="n"/>
      <c r="H2645" s="74" t="n"/>
      <c r="I2645" s="74" t="n"/>
      <c r="J2645" s="77" t="n"/>
      <c r="K2645" s="77" t="n"/>
      <c r="L2645" s="74" t="n"/>
      <c r="M2645" s="74" t="n"/>
      <c r="O2645" s="78">
        <f>IF($A2645="","",YEAR($A2645)*100+MONTH($A2645))</f>
        <v/>
      </c>
      <c r="P2645" s="79">
        <f>IF(OR($F2645="",$D2645=""),"",IF($D2645="Receita",$F2645,IF($D2645="Transferência",0,-$F2645)))</f>
        <v/>
      </c>
    </row>
    <row r="2646">
      <c r="A2646" s="73" t="n"/>
      <c r="B2646" s="74" t="n"/>
      <c r="C2646" s="74" t="n"/>
      <c r="D2646" s="75">
        <f>IF($C2646="","",IFERROR(INDEX(CAT_TIPO,MATCH($C2646,CAT_NOME,0)),"Sem categoria"))</f>
        <v/>
      </c>
      <c r="E2646" s="75">
        <f>IF($C2646="","",IFERROR(INDEX(CAT_GRUPO,MATCH($C2646,CAT_NOME,0)),"Sem categoria"))</f>
        <v/>
      </c>
      <c r="F2646" s="76" t="n"/>
      <c r="G2646" s="74" t="n"/>
      <c r="H2646" s="74" t="n"/>
      <c r="I2646" s="74" t="n"/>
      <c r="J2646" s="77" t="n"/>
      <c r="K2646" s="77" t="n"/>
      <c r="L2646" s="74" t="n"/>
      <c r="M2646" s="74" t="n"/>
      <c r="O2646" s="78">
        <f>IF($A2646="","",YEAR($A2646)*100+MONTH($A2646))</f>
        <v/>
      </c>
      <c r="P2646" s="79">
        <f>IF(OR($F2646="",$D2646=""),"",IF($D2646="Receita",$F2646,IF($D2646="Transferência",0,-$F2646)))</f>
        <v/>
      </c>
    </row>
    <row r="2647">
      <c r="A2647" s="73" t="n"/>
      <c r="B2647" s="74" t="n"/>
      <c r="C2647" s="74" t="n"/>
      <c r="D2647" s="75">
        <f>IF($C2647="","",IFERROR(INDEX(CAT_TIPO,MATCH($C2647,CAT_NOME,0)),"Sem categoria"))</f>
        <v/>
      </c>
      <c r="E2647" s="75">
        <f>IF($C2647="","",IFERROR(INDEX(CAT_GRUPO,MATCH($C2647,CAT_NOME,0)),"Sem categoria"))</f>
        <v/>
      </c>
      <c r="F2647" s="76" t="n"/>
      <c r="G2647" s="74" t="n"/>
      <c r="H2647" s="74" t="n"/>
      <c r="I2647" s="74" t="n"/>
      <c r="J2647" s="77" t="n"/>
      <c r="K2647" s="77" t="n"/>
      <c r="L2647" s="74" t="n"/>
      <c r="M2647" s="74" t="n"/>
      <c r="O2647" s="78">
        <f>IF($A2647="","",YEAR($A2647)*100+MONTH($A2647))</f>
        <v/>
      </c>
      <c r="P2647" s="79">
        <f>IF(OR($F2647="",$D2647=""),"",IF($D2647="Receita",$F2647,IF($D2647="Transferência",0,-$F2647)))</f>
        <v/>
      </c>
    </row>
    <row r="2648">
      <c r="A2648" s="73" t="n"/>
      <c r="B2648" s="74" t="n"/>
      <c r="C2648" s="74" t="n"/>
      <c r="D2648" s="75">
        <f>IF($C2648="","",IFERROR(INDEX(CAT_TIPO,MATCH($C2648,CAT_NOME,0)),"Sem categoria"))</f>
        <v/>
      </c>
      <c r="E2648" s="75">
        <f>IF($C2648="","",IFERROR(INDEX(CAT_GRUPO,MATCH($C2648,CAT_NOME,0)),"Sem categoria"))</f>
        <v/>
      </c>
      <c r="F2648" s="76" t="n"/>
      <c r="G2648" s="74" t="n"/>
      <c r="H2648" s="74" t="n"/>
      <c r="I2648" s="74" t="n"/>
      <c r="J2648" s="77" t="n"/>
      <c r="K2648" s="77" t="n"/>
      <c r="L2648" s="74" t="n"/>
      <c r="M2648" s="74" t="n"/>
      <c r="O2648" s="78">
        <f>IF($A2648="","",YEAR($A2648)*100+MONTH($A2648))</f>
        <v/>
      </c>
      <c r="P2648" s="79">
        <f>IF(OR($F2648="",$D2648=""),"",IF($D2648="Receita",$F2648,IF($D2648="Transferência",0,-$F2648)))</f>
        <v/>
      </c>
    </row>
    <row r="2649">
      <c r="A2649" s="73" t="n"/>
      <c r="B2649" s="74" t="n"/>
      <c r="C2649" s="74" t="n"/>
      <c r="D2649" s="75">
        <f>IF($C2649="","",IFERROR(INDEX(CAT_TIPO,MATCH($C2649,CAT_NOME,0)),"Sem categoria"))</f>
        <v/>
      </c>
      <c r="E2649" s="75">
        <f>IF($C2649="","",IFERROR(INDEX(CAT_GRUPO,MATCH($C2649,CAT_NOME,0)),"Sem categoria"))</f>
        <v/>
      </c>
      <c r="F2649" s="76" t="n"/>
      <c r="G2649" s="74" t="n"/>
      <c r="H2649" s="74" t="n"/>
      <c r="I2649" s="74" t="n"/>
      <c r="J2649" s="77" t="n"/>
      <c r="K2649" s="77" t="n"/>
      <c r="L2649" s="74" t="n"/>
      <c r="M2649" s="74" t="n"/>
      <c r="O2649" s="78">
        <f>IF($A2649="","",YEAR($A2649)*100+MONTH($A2649))</f>
        <v/>
      </c>
      <c r="P2649" s="79">
        <f>IF(OR($F2649="",$D2649=""),"",IF($D2649="Receita",$F2649,IF($D2649="Transferência",0,-$F2649)))</f>
        <v/>
      </c>
    </row>
    <row r="2650">
      <c r="A2650" s="73" t="n"/>
      <c r="B2650" s="74" t="n"/>
      <c r="C2650" s="74" t="n"/>
      <c r="D2650" s="75">
        <f>IF($C2650="","",IFERROR(INDEX(CAT_TIPO,MATCH($C2650,CAT_NOME,0)),"Sem categoria"))</f>
        <v/>
      </c>
      <c r="E2650" s="75">
        <f>IF($C2650="","",IFERROR(INDEX(CAT_GRUPO,MATCH($C2650,CAT_NOME,0)),"Sem categoria"))</f>
        <v/>
      </c>
      <c r="F2650" s="76" t="n"/>
      <c r="G2650" s="74" t="n"/>
      <c r="H2650" s="74" t="n"/>
      <c r="I2650" s="74" t="n"/>
      <c r="J2650" s="77" t="n"/>
      <c r="K2650" s="77" t="n"/>
      <c r="L2650" s="74" t="n"/>
      <c r="M2650" s="74" t="n"/>
      <c r="O2650" s="78">
        <f>IF($A2650="","",YEAR($A2650)*100+MONTH($A2650))</f>
        <v/>
      </c>
      <c r="P2650" s="79">
        <f>IF(OR($F2650="",$D2650=""),"",IF($D2650="Receita",$F2650,IF($D2650="Transferência",0,-$F2650)))</f>
        <v/>
      </c>
    </row>
    <row r="2651">
      <c r="A2651" s="73" t="n"/>
      <c r="B2651" s="74" t="n"/>
      <c r="C2651" s="74" t="n"/>
      <c r="D2651" s="75">
        <f>IF($C2651="","",IFERROR(INDEX(CAT_TIPO,MATCH($C2651,CAT_NOME,0)),"Sem categoria"))</f>
        <v/>
      </c>
      <c r="E2651" s="75">
        <f>IF($C2651="","",IFERROR(INDEX(CAT_GRUPO,MATCH($C2651,CAT_NOME,0)),"Sem categoria"))</f>
        <v/>
      </c>
      <c r="F2651" s="76" t="n"/>
      <c r="G2651" s="74" t="n"/>
      <c r="H2651" s="74" t="n"/>
      <c r="I2651" s="74" t="n"/>
      <c r="J2651" s="77" t="n"/>
      <c r="K2651" s="77" t="n"/>
      <c r="L2651" s="74" t="n"/>
      <c r="M2651" s="74" t="n"/>
      <c r="O2651" s="78">
        <f>IF($A2651="","",YEAR($A2651)*100+MONTH($A2651))</f>
        <v/>
      </c>
      <c r="P2651" s="79">
        <f>IF(OR($F2651="",$D2651=""),"",IF($D2651="Receita",$F2651,IF($D2651="Transferência",0,-$F2651)))</f>
        <v/>
      </c>
    </row>
    <row r="2652">
      <c r="A2652" s="73" t="n"/>
      <c r="B2652" s="74" t="n"/>
      <c r="C2652" s="74" t="n"/>
      <c r="D2652" s="75">
        <f>IF($C2652="","",IFERROR(INDEX(CAT_TIPO,MATCH($C2652,CAT_NOME,0)),"Sem categoria"))</f>
        <v/>
      </c>
      <c r="E2652" s="75">
        <f>IF($C2652="","",IFERROR(INDEX(CAT_GRUPO,MATCH($C2652,CAT_NOME,0)),"Sem categoria"))</f>
        <v/>
      </c>
      <c r="F2652" s="76" t="n"/>
      <c r="G2652" s="74" t="n"/>
      <c r="H2652" s="74" t="n"/>
      <c r="I2652" s="74" t="n"/>
      <c r="J2652" s="77" t="n"/>
      <c r="K2652" s="77" t="n"/>
      <c r="L2652" s="74" t="n"/>
      <c r="M2652" s="74" t="n"/>
      <c r="O2652" s="78">
        <f>IF($A2652="","",YEAR($A2652)*100+MONTH($A2652))</f>
        <v/>
      </c>
      <c r="P2652" s="79">
        <f>IF(OR($F2652="",$D2652=""),"",IF($D2652="Receita",$F2652,IF($D2652="Transferência",0,-$F2652)))</f>
        <v/>
      </c>
    </row>
    <row r="2653">
      <c r="A2653" s="73" t="n"/>
      <c r="B2653" s="74" t="n"/>
      <c r="C2653" s="74" t="n"/>
      <c r="D2653" s="75">
        <f>IF($C2653="","",IFERROR(INDEX(CAT_TIPO,MATCH($C2653,CAT_NOME,0)),"Sem categoria"))</f>
        <v/>
      </c>
      <c r="E2653" s="75">
        <f>IF($C2653="","",IFERROR(INDEX(CAT_GRUPO,MATCH($C2653,CAT_NOME,0)),"Sem categoria"))</f>
        <v/>
      </c>
      <c r="F2653" s="76" t="n"/>
      <c r="G2653" s="74" t="n"/>
      <c r="H2653" s="74" t="n"/>
      <c r="I2653" s="74" t="n"/>
      <c r="J2653" s="77" t="n"/>
      <c r="K2653" s="77" t="n"/>
      <c r="L2653" s="74" t="n"/>
      <c r="M2653" s="74" t="n"/>
      <c r="O2653" s="78">
        <f>IF($A2653="","",YEAR($A2653)*100+MONTH($A2653))</f>
        <v/>
      </c>
      <c r="P2653" s="79">
        <f>IF(OR($F2653="",$D2653=""),"",IF($D2653="Receita",$F2653,IF($D2653="Transferência",0,-$F2653)))</f>
        <v/>
      </c>
    </row>
    <row r="2654">
      <c r="A2654" s="73" t="n"/>
      <c r="B2654" s="74" t="n"/>
      <c r="C2654" s="74" t="n"/>
      <c r="D2654" s="75">
        <f>IF($C2654="","",IFERROR(INDEX(CAT_TIPO,MATCH($C2654,CAT_NOME,0)),"Sem categoria"))</f>
        <v/>
      </c>
      <c r="E2654" s="75">
        <f>IF($C2654="","",IFERROR(INDEX(CAT_GRUPO,MATCH($C2654,CAT_NOME,0)),"Sem categoria"))</f>
        <v/>
      </c>
      <c r="F2654" s="76" t="n"/>
      <c r="G2654" s="74" t="n"/>
      <c r="H2654" s="74" t="n"/>
      <c r="I2654" s="74" t="n"/>
      <c r="J2654" s="77" t="n"/>
      <c r="K2654" s="77" t="n"/>
      <c r="L2654" s="74" t="n"/>
      <c r="M2654" s="74" t="n"/>
      <c r="O2654" s="78">
        <f>IF($A2654="","",YEAR($A2654)*100+MONTH($A2654))</f>
        <v/>
      </c>
      <c r="P2654" s="79">
        <f>IF(OR($F2654="",$D2654=""),"",IF($D2654="Receita",$F2654,IF($D2654="Transferência",0,-$F2654)))</f>
        <v/>
      </c>
    </row>
    <row r="2655">
      <c r="A2655" s="73" t="n"/>
      <c r="B2655" s="74" t="n"/>
      <c r="C2655" s="74" t="n"/>
      <c r="D2655" s="75">
        <f>IF($C2655="","",IFERROR(INDEX(CAT_TIPO,MATCH($C2655,CAT_NOME,0)),"Sem categoria"))</f>
        <v/>
      </c>
      <c r="E2655" s="75">
        <f>IF($C2655="","",IFERROR(INDEX(CAT_GRUPO,MATCH($C2655,CAT_NOME,0)),"Sem categoria"))</f>
        <v/>
      </c>
      <c r="F2655" s="76" t="n"/>
      <c r="G2655" s="74" t="n"/>
      <c r="H2655" s="74" t="n"/>
      <c r="I2655" s="74" t="n"/>
      <c r="J2655" s="77" t="n"/>
      <c r="K2655" s="77" t="n"/>
      <c r="L2655" s="74" t="n"/>
      <c r="M2655" s="74" t="n"/>
      <c r="O2655" s="78">
        <f>IF($A2655="","",YEAR($A2655)*100+MONTH($A2655))</f>
        <v/>
      </c>
      <c r="P2655" s="79">
        <f>IF(OR($F2655="",$D2655=""),"",IF($D2655="Receita",$F2655,IF($D2655="Transferência",0,-$F2655)))</f>
        <v/>
      </c>
    </row>
    <row r="2656">
      <c r="A2656" s="73" t="n"/>
      <c r="B2656" s="74" t="n"/>
      <c r="C2656" s="74" t="n"/>
      <c r="D2656" s="75">
        <f>IF($C2656="","",IFERROR(INDEX(CAT_TIPO,MATCH($C2656,CAT_NOME,0)),"Sem categoria"))</f>
        <v/>
      </c>
      <c r="E2656" s="75">
        <f>IF($C2656="","",IFERROR(INDEX(CAT_GRUPO,MATCH($C2656,CAT_NOME,0)),"Sem categoria"))</f>
        <v/>
      </c>
      <c r="F2656" s="76" t="n"/>
      <c r="G2656" s="74" t="n"/>
      <c r="H2656" s="74" t="n"/>
      <c r="I2656" s="74" t="n"/>
      <c r="J2656" s="77" t="n"/>
      <c r="K2656" s="77" t="n"/>
      <c r="L2656" s="74" t="n"/>
      <c r="M2656" s="74" t="n"/>
      <c r="O2656" s="78">
        <f>IF($A2656="","",YEAR($A2656)*100+MONTH($A2656))</f>
        <v/>
      </c>
      <c r="P2656" s="79">
        <f>IF(OR($F2656="",$D2656=""),"",IF($D2656="Receita",$F2656,IF($D2656="Transferência",0,-$F2656)))</f>
        <v/>
      </c>
    </row>
    <row r="2657">
      <c r="A2657" s="73" t="n"/>
      <c r="B2657" s="74" t="n"/>
      <c r="C2657" s="74" t="n"/>
      <c r="D2657" s="75">
        <f>IF($C2657="","",IFERROR(INDEX(CAT_TIPO,MATCH($C2657,CAT_NOME,0)),"Sem categoria"))</f>
        <v/>
      </c>
      <c r="E2657" s="75">
        <f>IF($C2657="","",IFERROR(INDEX(CAT_GRUPO,MATCH($C2657,CAT_NOME,0)),"Sem categoria"))</f>
        <v/>
      </c>
      <c r="F2657" s="76" t="n"/>
      <c r="G2657" s="74" t="n"/>
      <c r="H2657" s="74" t="n"/>
      <c r="I2657" s="74" t="n"/>
      <c r="J2657" s="77" t="n"/>
      <c r="K2657" s="77" t="n"/>
      <c r="L2657" s="74" t="n"/>
      <c r="M2657" s="74" t="n"/>
      <c r="O2657" s="78">
        <f>IF($A2657="","",YEAR($A2657)*100+MONTH($A2657))</f>
        <v/>
      </c>
      <c r="P2657" s="79">
        <f>IF(OR($F2657="",$D2657=""),"",IF($D2657="Receita",$F2657,IF($D2657="Transferência",0,-$F2657)))</f>
        <v/>
      </c>
    </row>
    <row r="2658">
      <c r="A2658" s="73" t="n"/>
      <c r="B2658" s="74" t="n"/>
      <c r="C2658" s="74" t="n"/>
      <c r="D2658" s="75">
        <f>IF($C2658="","",IFERROR(INDEX(CAT_TIPO,MATCH($C2658,CAT_NOME,0)),"Sem categoria"))</f>
        <v/>
      </c>
      <c r="E2658" s="75">
        <f>IF($C2658="","",IFERROR(INDEX(CAT_GRUPO,MATCH($C2658,CAT_NOME,0)),"Sem categoria"))</f>
        <v/>
      </c>
      <c r="F2658" s="76" t="n"/>
      <c r="G2658" s="74" t="n"/>
      <c r="H2658" s="74" t="n"/>
      <c r="I2658" s="74" t="n"/>
      <c r="J2658" s="77" t="n"/>
      <c r="K2658" s="77" t="n"/>
      <c r="L2658" s="74" t="n"/>
      <c r="M2658" s="74" t="n"/>
      <c r="O2658" s="78">
        <f>IF($A2658="","",YEAR($A2658)*100+MONTH($A2658))</f>
        <v/>
      </c>
      <c r="P2658" s="79">
        <f>IF(OR($F2658="",$D2658=""),"",IF($D2658="Receita",$F2658,IF($D2658="Transferência",0,-$F2658)))</f>
        <v/>
      </c>
    </row>
    <row r="2659">
      <c r="A2659" s="73" t="n"/>
      <c r="B2659" s="74" t="n"/>
      <c r="C2659" s="74" t="n"/>
      <c r="D2659" s="75">
        <f>IF($C2659="","",IFERROR(INDEX(CAT_TIPO,MATCH($C2659,CAT_NOME,0)),"Sem categoria"))</f>
        <v/>
      </c>
      <c r="E2659" s="75">
        <f>IF($C2659="","",IFERROR(INDEX(CAT_GRUPO,MATCH($C2659,CAT_NOME,0)),"Sem categoria"))</f>
        <v/>
      </c>
      <c r="F2659" s="76" t="n"/>
      <c r="G2659" s="74" t="n"/>
      <c r="H2659" s="74" t="n"/>
      <c r="I2659" s="74" t="n"/>
      <c r="J2659" s="77" t="n"/>
      <c r="K2659" s="77" t="n"/>
      <c r="L2659" s="74" t="n"/>
      <c r="M2659" s="74" t="n"/>
      <c r="O2659" s="78">
        <f>IF($A2659="","",YEAR($A2659)*100+MONTH($A2659))</f>
        <v/>
      </c>
      <c r="P2659" s="79">
        <f>IF(OR($F2659="",$D2659=""),"",IF($D2659="Receita",$F2659,IF($D2659="Transferência",0,-$F2659)))</f>
        <v/>
      </c>
    </row>
    <row r="2660">
      <c r="A2660" s="73" t="n"/>
      <c r="B2660" s="74" t="n"/>
      <c r="C2660" s="74" t="n"/>
      <c r="D2660" s="75">
        <f>IF($C2660="","",IFERROR(INDEX(CAT_TIPO,MATCH($C2660,CAT_NOME,0)),"Sem categoria"))</f>
        <v/>
      </c>
      <c r="E2660" s="75">
        <f>IF($C2660="","",IFERROR(INDEX(CAT_GRUPO,MATCH($C2660,CAT_NOME,0)),"Sem categoria"))</f>
        <v/>
      </c>
      <c r="F2660" s="76" t="n"/>
      <c r="G2660" s="74" t="n"/>
      <c r="H2660" s="74" t="n"/>
      <c r="I2660" s="74" t="n"/>
      <c r="J2660" s="77" t="n"/>
      <c r="K2660" s="77" t="n"/>
      <c r="L2660" s="74" t="n"/>
      <c r="M2660" s="74" t="n"/>
      <c r="O2660" s="78">
        <f>IF($A2660="","",YEAR($A2660)*100+MONTH($A2660))</f>
        <v/>
      </c>
      <c r="P2660" s="79">
        <f>IF(OR($F2660="",$D2660=""),"",IF($D2660="Receita",$F2660,IF($D2660="Transferência",0,-$F2660)))</f>
        <v/>
      </c>
    </row>
    <row r="2661">
      <c r="A2661" s="73" t="n"/>
      <c r="B2661" s="74" t="n"/>
      <c r="C2661" s="74" t="n"/>
      <c r="D2661" s="75">
        <f>IF($C2661="","",IFERROR(INDEX(CAT_TIPO,MATCH($C2661,CAT_NOME,0)),"Sem categoria"))</f>
        <v/>
      </c>
      <c r="E2661" s="75">
        <f>IF($C2661="","",IFERROR(INDEX(CAT_GRUPO,MATCH($C2661,CAT_NOME,0)),"Sem categoria"))</f>
        <v/>
      </c>
      <c r="F2661" s="76" t="n"/>
      <c r="G2661" s="74" t="n"/>
      <c r="H2661" s="74" t="n"/>
      <c r="I2661" s="74" t="n"/>
      <c r="J2661" s="77" t="n"/>
      <c r="K2661" s="77" t="n"/>
      <c r="L2661" s="74" t="n"/>
      <c r="M2661" s="74" t="n"/>
      <c r="O2661" s="78">
        <f>IF($A2661="","",YEAR($A2661)*100+MONTH($A2661))</f>
        <v/>
      </c>
      <c r="P2661" s="79">
        <f>IF(OR($F2661="",$D2661=""),"",IF($D2661="Receita",$F2661,IF($D2661="Transferência",0,-$F2661)))</f>
        <v/>
      </c>
    </row>
    <row r="2662">
      <c r="A2662" s="73" t="n"/>
      <c r="B2662" s="74" t="n"/>
      <c r="C2662" s="74" t="n"/>
      <c r="D2662" s="75">
        <f>IF($C2662="","",IFERROR(INDEX(CAT_TIPO,MATCH($C2662,CAT_NOME,0)),"Sem categoria"))</f>
        <v/>
      </c>
      <c r="E2662" s="75">
        <f>IF($C2662="","",IFERROR(INDEX(CAT_GRUPO,MATCH($C2662,CAT_NOME,0)),"Sem categoria"))</f>
        <v/>
      </c>
      <c r="F2662" s="76" t="n"/>
      <c r="G2662" s="74" t="n"/>
      <c r="H2662" s="74" t="n"/>
      <c r="I2662" s="74" t="n"/>
      <c r="J2662" s="77" t="n"/>
      <c r="K2662" s="77" t="n"/>
      <c r="L2662" s="74" t="n"/>
      <c r="M2662" s="74" t="n"/>
      <c r="O2662" s="78">
        <f>IF($A2662="","",YEAR($A2662)*100+MONTH($A2662))</f>
        <v/>
      </c>
      <c r="P2662" s="79">
        <f>IF(OR($F2662="",$D2662=""),"",IF($D2662="Receita",$F2662,IF($D2662="Transferência",0,-$F2662)))</f>
        <v/>
      </c>
    </row>
    <row r="2663">
      <c r="A2663" s="73" t="n"/>
      <c r="B2663" s="74" t="n"/>
      <c r="C2663" s="74" t="n"/>
      <c r="D2663" s="75">
        <f>IF($C2663="","",IFERROR(INDEX(CAT_TIPO,MATCH($C2663,CAT_NOME,0)),"Sem categoria"))</f>
        <v/>
      </c>
      <c r="E2663" s="75">
        <f>IF($C2663="","",IFERROR(INDEX(CAT_GRUPO,MATCH($C2663,CAT_NOME,0)),"Sem categoria"))</f>
        <v/>
      </c>
      <c r="F2663" s="76" t="n"/>
      <c r="G2663" s="74" t="n"/>
      <c r="H2663" s="74" t="n"/>
      <c r="I2663" s="74" t="n"/>
      <c r="J2663" s="77" t="n"/>
      <c r="K2663" s="77" t="n"/>
      <c r="L2663" s="74" t="n"/>
      <c r="M2663" s="74" t="n"/>
      <c r="O2663" s="78">
        <f>IF($A2663="","",YEAR($A2663)*100+MONTH($A2663))</f>
        <v/>
      </c>
      <c r="P2663" s="79">
        <f>IF(OR($F2663="",$D2663=""),"",IF($D2663="Receita",$F2663,IF($D2663="Transferência",0,-$F2663)))</f>
        <v/>
      </c>
    </row>
    <row r="2664">
      <c r="A2664" s="73" t="n"/>
      <c r="B2664" s="74" t="n"/>
      <c r="C2664" s="74" t="n"/>
      <c r="D2664" s="75">
        <f>IF($C2664="","",IFERROR(INDEX(CAT_TIPO,MATCH($C2664,CAT_NOME,0)),"Sem categoria"))</f>
        <v/>
      </c>
      <c r="E2664" s="75">
        <f>IF($C2664="","",IFERROR(INDEX(CAT_GRUPO,MATCH($C2664,CAT_NOME,0)),"Sem categoria"))</f>
        <v/>
      </c>
      <c r="F2664" s="76" t="n"/>
      <c r="G2664" s="74" t="n"/>
      <c r="H2664" s="74" t="n"/>
      <c r="I2664" s="74" t="n"/>
      <c r="J2664" s="77" t="n"/>
      <c r="K2664" s="77" t="n"/>
      <c r="L2664" s="74" t="n"/>
      <c r="M2664" s="74" t="n"/>
      <c r="O2664" s="78">
        <f>IF($A2664="","",YEAR($A2664)*100+MONTH($A2664))</f>
        <v/>
      </c>
      <c r="P2664" s="79">
        <f>IF(OR($F2664="",$D2664=""),"",IF($D2664="Receita",$F2664,IF($D2664="Transferência",0,-$F2664)))</f>
        <v/>
      </c>
    </row>
    <row r="2665">
      <c r="A2665" s="73" t="n"/>
      <c r="B2665" s="74" t="n"/>
      <c r="C2665" s="74" t="n"/>
      <c r="D2665" s="75">
        <f>IF($C2665="","",IFERROR(INDEX(CAT_TIPO,MATCH($C2665,CAT_NOME,0)),"Sem categoria"))</f>
        <v/>
      </c>
      <c r="E2665" s="75">
        <f>IF($C2665="","",IFERROR(INDEX(CAT_GRUPO,MATCH($C2665,CAT_NOME,0)),"Sem categoria"))</f>
        <v/>
      </c>
      <c r="F2665" s="76" t="n"/>
      <c r="G2665" s="74" t="n"/>
      <c r="H2665" s="74" t="n"/>
      <c r="I2665" s="74" t="n"/>
      <c r="J2665" s="77" t="n"/>
      <c r="K2665" s="77" t="n"/>
      <c r="L2665" s="74" t="n"/>
      <c r="M2665" s="74" t="n"/>
      <c r="O2665" s="78">
        <f>IF($A2665="","",YEAR($A2665)*100+MONTH($A2665))</f>
        <v/>
      </c>
      <c r="P2665" s="79">
        <f>IF(OR($F2665="",$D2665=""),"",IF($D2665="Receita",$F2665,IF($D2665="Transferência",0,-$F2665)))</f>
        <v/>
      </c>
    </row>
    <row r="2666">
      <c r="A2666" s="73" t="n"/>
      <c r="B2666" s="74" t="n"/>
      <c r="C2666" s="74" t="n"/>
      <c r="D2666" s="75">
        <f>IF($C2666="","",IFERROR(INDEX(CAT_TIPO,MATCH($C2666,CAT_NOME,0)),"Sem categoria"))</f>
        <v/>
      </c>
      <c r="E2666" s="75">
        <f>IF($C2666="","",IFERROR(INDEX(CAT_GRUPO,MATCH($C2666,CAT_NOME,0)),"Sem categoria"))</f>
        <v/>
      </c>
      <c r="F2666" s="76" t="n"/>
      <c r="G2666" s="74" t="n"/>
      <c r="H2666" s="74" t="n"/>
      <c r="I2666" s="74" t="n"/>
      <c r="J2666" s="77" t="n"/>
      <c r="K2666" s="77" t="n"/>
      <c r="L2666" s="74" t="n"/>
      <c r="M2666" s="74" t="n"/>
      <c r="O2666" s="78">
        <f>IF($A2666="","",YEAR($A2666)*100+MONTH($A2666))</f>
        <v/>
      </c>
      <c r="P2666" s="79">
        <f>IF(OR($F2666="",$D2666=""),"",IF($D2666="Receita",$F2666,IF($D2666="Transferência",0,-$F2666)))</f>
        <v/>
      </c>
    </row>
    <row r="2667">
      <c r="A2667" s="73" t="n"/>
      <c r="B2667" s="74" t="n"/>
      <c r="C2667" s="74" t="n"/>
      <c r="D2667" s="75">
        <f>IF($C2667="","",IFERROR(INDEX(CAT_TIPO,MATCH($C2667,CAT_NOME,0)),"Sem categoria"))</f>
        <v/>
      </c>
      <c r="E2667" s="75">
        <f>IF($C2667="","",IFERROR(INDEX(CAT_GRUPO,MATCH($C2667,CAT_NOME,0)),"Sem categoria"))</f>
        <v/>
      </c>
      <c r="F2667" s="76" t="n"/>
      <c r="G2667" s="74" t="n"/>
      <c r="H2667" s="74" t="n"/>
      <c r="I2667" s="74" t="n"/>
      <c r="J2667" s="77" t="n"/>
      <c r="K2667" s="77" t="n"/>
      <c r="L2667" s="74" t="n"/>
      <c r="M2667" s="74" t="n"/>
      <c r="O2667" s="78">
        <f>IF($A2667="","",YEAR($A2667)*100+MONTH($A2667))</f>
        <v/>
      </c>
      <c r="P2667" s="79">
        <f>IF(OR($F2667="",$D2667=""),"",IF($D2667="Receita",$F2667,IF($D2667="Transferência",0,-$F2667)))</f>
        <v/>
      </c>
    </row>
    <row r="2668">
      <c r="A2668" s="73" t="n"/>
      <c r="B2668" s="74" t="n"/>
      <c r="C2668" s="74" t="n"/>
      <c r="D2668" s="75">
        <f>IF($C2668="","",IFERROR(INDEX(CAT_TIPO,MATCH($C2668,CAT_NOME,0)),"Sem categoria"))</f>
        <v/>
      </c>
      <c r="E2668" s="75">
        <f>IF($C2668="","",IFERROR(INDEX(CAT_GRUPO,MATCH($C2668,CAT_NOME,0)),"Sem categoria"))</f>
        <v/>
      </c>
      <c r="F2668" s="76" t="n"/>
      <c r="G2668" s="74" t="n"/>
      <c r="H2668" s="74" t="n"/>
      <c r="I2668" s="74" t="n"/>
      <c r="J2668" s="77" t="n"/>
      <c r="K2668" s="77" t="n"/>
      <c r="L2668" s="74" t="n"/>
      <c r="M2668" s="74" t="n"/>
      <c r="O2668" s="78">
        <f>IF($A2668="","",YEAR($A2668)*100+MONTH($A2668))</f>
        <v/>
      </c>
      <c r="P2668" s="79">
        <f>IF(OR($F2668="",$D2668=""),"",IF($D2668="Receita",$F2668,IF($D2668="Transferência",0,-$F2668)))</f>
        <v/>
      </c>
    </row>
    <row r="2669">
      <c r="A2669" s="73" t="n"/>
      <c r="B2669" s="74" t="n"/>
      <c r="C2669" s="74" t="n"/>
      <c r="D2669" s="75">
        <f>IF($C2669="","",IFERROR(INDEX(CAT_TIPO,MATCH($C2669,CAT_NOME,0)),"Sem categoria"))</f>
        <v/>
      </c>
      <c r="E2669" s="75">
        <f>IF($C2669="","",IFERROR(INDEX(CAT_GRUPO,MATCH($C2669,CAT_NOME,0)),"Sem categoria"))</f>
        <v/>
      </c>
      <c r="F2669" s="76" t="n"/>
      <c r="G2669" s="74" t="n"/>
      <c r="H2669" s="74" t="n"/>
      <c r="I2669" s="74" t="n"/>
      <c r="J2669" s="77" t="n"/>
      <c r="K2669" s="77" t="n"/>
      <c r="L2669" s="74" t="n"/>
      <c r="M2669" s="74" t="n"/>
      <c r="O2669" s="78">
        <f>IF($A2669="","",YEAR($A2669)*100+MONTH($A2669))</f>
        <v/>
      </c>
      <c r="P2669" s="79">
        <f>IF(OR($F2669="",$D2669=""),"",IF($D2669="Receita",$F2669,IF($D2669="Transferência",0,-$F2669)))</f>
        <v/>
      </c>
    </row>
    <row r="2670">
      <c r="A2670" s="73" t="n"/>
      <c r="B2670" s="74" t="n"/>
      <c r="C2670" s="74" t="n"/>
      <c r="D2670" s="75">
        <f>IF($C2670="","",IFERROR(INDEX(CAT_TIPO,MATCH($C2670,CAT_NOME,0)),"Sem categoria"))</f>
        <v/>
      </c>
      <c r="E2670" s="75">
        <f>IF($C2670="","",IFERROR(INDEX(CAT_GRUPO,MATCH($C2670,CAT_NOME,0)),"Sem categoria"))</f>
        <v/>
      </c>
      <c r="F2670" s="76" t="n"/>
      <c r="G2670" s="74" t="n"/>
      <c r="H2670" s="74" t="n"/>
      <c r="I2670" s="74" t="n"/>
      <c r="J2670" s="77" t="n"/>
      <c r="K2670" s="77" t="n"/>
      <c r="L2670" s="74" t="n"/>
      <c r="M2670" s="74" t="n"/>
      <c r="O2670" s="78">
        <f>IF($A2670="","",YEAR($A2670)*100+MONTH($A2670))</f>
        <v/>
      </c>
      <c r="P2670" s="79">
        <f>IF(OR($F2670="",$D2670=""),"",IF($D2670="Receita",$F2670,IF($D2670="Transferência",0,-$F2670)))</f>
        <v/>
      </c>
    </row>
    <row r="2671">
      <c r="A2671" s="73" t="n"/>
      <c r="B2671" s="74" t="n"/>
      <c r="C2671" s="74" t="n"/>
      <c r="D2671" s="75">
        <f>IF($C2671="","",IFERROR(INDEX(CAT_TIPO,MATCH($C2671,CAT_NOME,0)),"Sem categoria"))</f>
        <v/>
      </c>
      <c r="E2671" s="75">
        <f>IF($C2671="","",IFERROR(INDEX(CAT_GRUPO,MATCH($C2671,CAT_NOME,0)),"Sem categoria"))</f>
        <v/>
      </c>
      <c r="F2671" s="76" t="n"/>
      <c r="G2671" s="74" t="n"/>
      <c r="H2671" s="74" t="n"/>
      <c r="I2671" s="74" t="n"/>
      <c r="J2671" s="77" t="n"/>
      <c r="K2671" s="77" t="n"/>
      <c r="L2671" s="74" t="n"/>
      <c r="M2671" s="74" t="n"/>
      <c r="O2671" s="78">
        <f>IF($A2671="","",YEAR($A2671)*100+MONTH($A2671))</f>
        <v/>
      </c>
      <c r="P2671" s="79">
        <f>IF(OR($F2671="",$D2671=""),"",IF($D2671="Receita",$F2671,IF($D2671="Transferência",0,-$F2671)))</f>
        <v/>
      </c>
    </row>
    <row r="2672">
      <c r="A2672" s="73" t="n"/>
      <c r="B2672" s="74" t="n"/>
      <c r="C2672" s="74" t="n"/>
      <c r="D2672" s="75">
        <f>IF($C2672="","",IFERROR(INDEX(CAT_TIPO,MATCH($C2672,CAT_NOME,0)),"Sem categoria"))</f>
        <v/>
      </c>
      <c r="E2672" s="75">
        <f>IF($C2672="","",IFERROR(INDEX(CAT_GRUPO,MATCH($C2672,CAT_NOME,0)),"Sem categoria"))</f>
        <v/>
      </c>
      <c r="F2672" s="76" t="n"/>
      <c r="G2672" s="74" t="n"/>
      <c r="H2672" s="74" t="n"/>
      <c r="I2672" s="74" t="n"/>
      <c r="J2672" s="77" t="n"/>
      <c r="K2672" s="77" t="n"/>
      <c r="L2672" s="74" t="n"/>
      <c r="M2672" s="74" t="n"/>
      <c r="O2672" s="78">
        <f>IF($A2672="","",YEAR($A2672)*100+MONTH($A2672))</f>
        <v/>
      </c>
      <c r="P2672" s="79">
        <f>IF(OR($F2672="",$D2672=""),"",IF($D2672="Receita",$F2672,IF($D2672="Transferência",0,-$F2672)))</f>
        <v/>
      </c>
    </row>
    <row r="2673">
      <c r="A2673" s="73" t="n"/>
      <c r="B2673" s="74" t="n"/>
      <c r="C2673" s="74" t="n"/>
      <c r="D2673" s="75">
        <f>IF($C2673="","",IFERROR(INDEX(CAT_TIPO,MATCH($C2673,CAT_NOME,0)),"Sem categoria"))</f>
        <v/>
      </c>
      <c r="E2673" s="75">
        <f>IF($C2673="","",IFERROR(INDEX(CAT_GRUPO,MATCH($C2673,CAT_NOME,0)),"Sem categoria"))</f>
        <v/>
      </c>
      <c r="F2673" s="76" t="n"/>
      <c r="G2673" s="74" t="n"/>
      <c r="H2673" s="74" t="n"/>
      <c r="I2673" s="74" t="n"/>
      <c r="J2673" s="77" t="n"/>
      <c r="K2673" s="77" t="n"/>
      <c r="L2673" s="74" t="n"/>
      <c r="M2673" s="74" t="n"/>
      <c r="O2673" s="78">
        <f>IF($A2673="","",YEAR($A2673)*100+MONTH($A2673))</f>
        <v/>
      </c>
      <c r="P2673" s="79">
        <f>IF(OR($F2673="",$D2673=""),"",IF($D2673="Receita",$F2673,IF($D2673="Transferência",0,-$F2673)))</f>
        <v/>
      </c>
    </row>
    <row r="2674">
      <c r="A2674" s="73" t="n"/>
      <c r="B2674" s="74" t="n"/>
      <c r="C2674" s="74" t="n"/>
      <c r="D2674" s="75">
        <f>IF($C2674="","",IFERROR(INDEX(CAT_TIPO,MATCH($C2674,CAT_NOME,0)),"Sem categoria"))</f>
        <v/>
      </c>
      <c r="E2674" s="75">
        <f>IF($C2674="","",IFERROR(INDEX(CAT_GRUPO,MATCH($C2674,CAT_NOME,0)),"Sem categoria"))</f>
        <v/>
      </c>
      <c r="F2674" s="76" t="n"/>
      <c r="G2674" s="74" t="n"/>
      <c r="H2674" s="74" t="n"/>
      <c r="I2674" s="74" t="n"/>
      <c r="J2674" s="77" t="n"/>
      <c r="K2674" s="77" t="n"/>
      <c r="L2674" s="74" t="n"/>
      <c r="M2674" s="74" t="n"/>
      <c r="O2674" s="78">
        <f>IF($A2674="","",YEAR($A2674)*100+MONTH($A2674))</f>
        <v/>
      </c>
      <c r="P2674" s="79">
        <f>IF(OR($F2674="",$D2674=""),"",IF($D2674="Receita",$F2674,IF($D2674="Transferência",0,-$F2674)))</f>
        <v/>
      </c>
    </row>
    <row r="2675">
      <c r="A2675" s="73" t="n"/>
      <c r="B2675" s="74" t="n"/>
      <c r="C2675" s="74" t="n"/>
      <c r="D2675" s="75">
        <f>IF($C2675="","",IFERROR(INDEX(CAT_TIPO,MATCH($C2675,CAT_NOME,0)),"Sem categoria"))</f>
        <v/>
      </c>
      <c r="E2675" s="75">
        <f>IF($C2675="","",IFERROR(INDEX(CAT_GRUPO,MATCH($C2675,CAT_NOME,0)),"Sem categoria"))</f>
        <v/>
      </c>
      <c r="F2675" s="76" t="n"/>
      <c r="G2675" s="74" t="n"/>
      <c r="H2675" s="74" t="n"/>
      <c r="I2675" s="74" t="n"/>
      <c r="J2675" s="77" t="n"/>
      <c r="K2675" s="77" t="n"/>
      <c r="L2675" s="74" t="n"/>
      <c r="M2675" s="74" t="n"/>
      <c r="O2675" s="78">
        <f>IF($A2675="","",YEAR($A2675)*100+MONTH($A2675))</f>
        <v/>
      </c>
      <c r="P2675" s="79">
        <f>IF(OR($F2675="",$D2675=""),"",IF($D2675="Receita",$F2675,IF($D2675="Transferência",0,-$F2675)))</f>
        <v/>
      </c>
    </row>
    <row r="2676">
      <c r="A2676" s="73" t="n"/>
      <c r="B2676" s="74" t="n"/>
      <c r="C2676" s="74" t="n"/>
      <c r="D2676" s="75">
        <f>IF($C2676="","",IFERROR(INDEX(CAT_TIPO,MATCH($C2676,CAT_NOME,0)),"Sem categoria"))</f>
        <v/>
      </c>
      <c r="E2676" s="75">
        <f>IF($C2676="","",IFERROR(INDEX(CAT_GRUPO,MATCH($C2676,CAT_NOME,0)),"Sem categoria"))</f>
        <v/>
      </c>
      <c r="F2676" s="76" t="n"/>
      <c r="G2676" s="74" t="n"/>
      <c r="H2676" s="74" t="n"/>
      <c r="I2676" s="74" t="n"/>
      <c r="J2676" s="77" t="n"/>
      <c r="K2676" s="77" t="n"/>
      <c r="L2676" s="74" t="n"/>
      <c r="M2676" s="74" t="n"/>
      <c r="O2676" s="78">
        <f>IF($A2676="","",YEAR($A2676)*100+MONTH($A2676))</f>
        <v/>
      </c>
      <c r="P2676" s="79">
        <f>IF(OR($F2676="",$D2676=""),"",IF($D2676="Receita",$F2676,IF($D2676="Transferência",0,-$F2676)))</f>
        <v/>
      </c>
    </row>
    <row r="2677">
      <c r="A2677" s="73" t="n"/>
      <c r="B2677" s="74" t="n"/>
      <c r="C2677" s="74" t="n"/>
      <c r="D2677" s="75">
        <f>IF($C2677="","",IFERROR(INDEX(CAT_TIPO,MATCH($C2677,CAT_NOME,0)),"Sem categoria"))</f>
        <v/>
      </c>
      <c r="E2677" s="75">
        <f>IF($C2677="","",IFERROR(INDEX(CAT_GRUPO,MATCH($C2677,CAT_NOME,0)),"Sem categoria"))</f>
        <v/>
      </c>
      <c r="F2677" s="76" t="n"/>
      <c r="G2677" s="74" t="n"/>
      <c r="H2677" s="74" t="n"/>
      <c r="I2677" s="74" t="n"/>
      <c r="J2677" s="77" t="n"/>
      <c r="K2677" s="77" t="n"/>
      <c r="L2677" s="74" t="n"/>
      <c r="M2677" s="74" t="n"/>
      <c r="O2677" s="78">
        <f>IF($A2677="","",YEAR($A2677)*100+MONTH($A2677))</f>
        <v/>
      </c>
      <c r="P2677" s="79">
        <f>IF(OR($F2677="",$D2677=""),"",IF($D2677="Receita",$F2677,IF($D2677="Transferência",0,-$F2677)))</f>
        <v/>
      </c>
    </row>
    <row r="2678">
      <c r="A2678" s="73" t="n"/>
      <c r="B2678" s="74" t="n"/>
      <c r="C2678" s="74" t="n"/>
      <c r="D2678" s="75">
        <f>IF($C2678="","",IFERROR(INDEX(CAT_TIPO,MATCH($C2678,CAT_NOME,0)),"Sem categoria"))</f>
        <v/>
      </c>
      <c r="E2678" s="75">
        <f>IF($C2678="","",IFERROR(INDEX(CAT_GRUPO,MATCH($C2678,CAT_NOME,0)),"Sem categoria"))</f>
        <v/>
      </c>
      <c r="F2678" s="76" t="n"/>
      <c r="G2678" s="74" t="n"/>
      <c r="H2678" s="74" t="n"/>
      <c r="I2678" s="74" t="n"/>
      <c r="J2678" s="77" t="n"/>
      <c r="K2678" s="77" t="n"/>
      <c r="L2678" s="74" t="n"/>
      <c r="M2678" s="74" t="n"/>
      <c r="O2678" s="78">
        <f>IF($A2678="","",YEAR($A2678)*100+MONTH($A2678))</f>
        <v/>
      </c>
      <c r="P2678" s="79">
        <f>IF(OR($F2678="",$D2678=""),"",IF($D2678="Receita",$F2678,IF($D2678="Transferência",0,-$F2678)))</f>
        <v/>
      </c>
    </row>
    <row r="2679">
      <c r="A2679" s="73" t="n"/>
      <c r="B2679" s="74" t="n"/>
      <c r="C2679" s="74" t="n"/>
      <c r="D2679" s="75">
        <f>IF($C2679="","",IFERROR(INDEX(CAT_TIPO,MATCH($C2679,CAT_NOME,0)),"Sem categoria"))</f>
        <v/>
      </c>
      <c r="E2679" s="75">
        <f>IF($C2679="","",IFERROR(INDEX(CAT_GRUPO,MATCH($C2679,CAT_NOME,0)),"Sem categoria"))</f>
        <v/>
      </c>
      <c r="F2679" s="76" t="n"/>
      <c r="G2679" s="74" t="n"/>
      <c r="H2679" s="74" t="n"/>
      <c r="I2679" s="74" t="n"/>
      <c r="J2679" s="77" t="n"/>
      <c r="K2679" s="77" t="n"/>
      <c r="L2679" s="74" t="n"/>
      <c r="M2679" s="74" t="n"/>
      <c r="O2679" s="78">
        <f>IF($A2679="","",YEAR($A2679)*100+MONTH($A2679))</f>
        <v/>
      </c>
      <c r="P2679" s="79">
        <f>IF(OR($F2679="",$D2679=""),"",IF($D2679="Receita",$F2679,IF($D2679="Transferência",0,-$F2679)))</f>
        <v/>
      </c>
    </row>
    <row r="2680">
      <c r="A2680" s="73" t="n"/>
      <c r="B2680" s="74" t="n"/>
      <c r="C2680" s="74" t="n"/>
      <c r="D2680" s="75">
        <f>IF($C2680="","",IFERROR(INDEX(CAT_TIPO,MATCH($C2680,CAT_NOME,0)),"Sem categoria"))</f>
        <v/>
      </c>
      <c r="E2680" s="75">
        <f>IF($C2680="","",IFERROR(INDEX(CAT_GRUPO,MATCH($C2680,CAT_NOME,0)),"Sem categoria"))</f>
        <v/>
      </c>
      <c r="F2680" s="76" t="n"/>
      <c r="G2680" s="74" t="n"/>
      <c r="H2680" s="74" t="n"/>
      <c r="I2680" s="74" t="n"/>
      <c r="J2680" s="77" t="n"/>
      <c r="K2680" s="77" t="n"/>
      <c r="L2680" s="74" t="n"/>
      <c r="M2680" s="74" t="n"/>
      <c r="O2680" s="78">
        <f>IF($A2680="","",YEAR($A2680)*100+MONTH($A2680))</f>
        <v/>
      </c>
      <c r="P2680" s="79">
        <f>IF(OR($F2680="",$D2680=""),"",IF($D2680="Receita",$F2680,IF($D2680="Transferência",0,-$F2680)))</f>
        <v/>
      </c>
    </row>
    <row r="2681">
      <c r="A2681" s="73" t="n"/>
      <c r="B2681" s="74" t="n"/>
      <c r="C2681" s="74" t="n"/>
      <c r="D2681" s="75">
        <f>IF($C2681="","",IFERROR(INDEX(CAT_TIPO,MATCH($C2681,CAT_NOME,0)),"Sem categoria"))</f>
        <v/>
      </c>
      <c r="E2681" s="75">
        <f>IF($C2681="","",IFERROR(INDEX(CAT_GRUPO,MATCH($C2681,CAT_NOME,0)),"Sem categoria"))</f>
        <v/>
      </c>
      <c r="F2681" s="76" t="n"/>
      <c r="G2681" s="74" t="n"/>
      <c r="H2681" s="74" t="n"/>
      <c r="I2681" s="74" t="n"/>
      <c r="J2681" s="77" t="n"/>
      <c r="K2681" s="77" t="n"/>
      <c r="L2681" s="74" t="n"/>
      <c r="M2681" s="74" t="n"/>
      <c r="O2681" s="78">
        <f>IF($A2681="","",YEAR($A2681)*100+MONTH($A2681))</f>
        <v/>
      </c>
      <c r="P2681" s="79">
        <f>IF(OR($F2681="",$D2681=""),"",IF($D2681="Receita",$F2681,IF($D2681="Transferência",0,-$F2681)))</f>
        <v/>
      </c>
    </row>
    <row r="2682">
      <c r="A2682" s="73" t="n"/>
      <c r="B2682" s="74" t="n"/>
      <c r="C2682" s="74" t="n"/>
      <c r="D2682" s="75">
        <f>IF($C2682="","",IFERROR(INDEX(CAT_TIPO,MATCH($C2682,CAT_NOME,0)),"Sem categoria"))</f>
        <v/>
      </c>
      <c r="E2682" s="75">
        <f>IF($C2682="","",IFERROR(INDEX(CAT_GRUPO,MATCH($C2682,CAT_NOME,0)),"Sem categoria"))</f>
        <v/>
      </c>
      <c r="F2682" s="76" t="n"/>
      <c r="G2682" s="74" t="n"/>
      <c r="H2682" s="74" t="n"/>
      <c r="I2682" s="74" t="n"/>
      <c r="J2682" s="77" t="n"/>
      <c r="K2682" s="77" t="n"/>
      <c r="L2682" s="74" t="n"/>
      <c r="M2682" s="74" t="n"/>
      <c r="O2682" s="78">
        <f>IF($A2682="","",YEAR($A2682)*100+MONTH($A2682))</f>
        <v/>
      </c>
      <c r="P2682" s="79">
        <f>IF(OR($F2682="",$D2682=""),"",IF($D2682="Receita",$F2682,IF($D2682="Transferência",0,-$F2682)))</f>
        <v/>
      </c>
    </row>
    <row r="2683">
      <c r="A2683" s="73" t="n"/>
      <c r="B2683" s="74" t="n"/>
      <c r="C2683" s="74" t="n"/>
      <c r="D2683" s="75">
        <f>IF($C2683="","",IFERROR(INDEX(CAT_TIPO,MATCH($C2683,CAT_NOME,0)),"Sem categoria"))</f>
        <v/>
      </c>
      <c r="E2683" s="75">
        <f>IF($C2683="","",IFERROR(INDEX(CAT_GRUPO,MATCH($C2683,CAT_NOME,0)),"Sem categoria"))</f>
        <v/>
      </c>
      <c r="F2683" s="76" t="n"/>
      <c r="G2683" s="74" t="n"/>
      <c r="H2683" s="74" t="n"/>
      <c r="I2683" s="74" t="n"/>
      <c r="J2683" s="77" t="n"/>
      <c r="K2683" s="77" t="n"/>
      <c r="L2683" s="74" t="n"/>
      <c r="M2683" s="74" t="n"/>
      <c r="O2683" s="78">
        <f>IF($A2683="","",YEAR($A2683)*100+MONTH($A2683))</f>
        <v/>
      </c>
      <c r="P2683" s="79">
        <f>IF(OR($F2683="",$D2683=""),"",IF($D2683="Receita",$F2683,IF($D2683="Transferência",0,-$F2683)))</f>
        <v/>
      </c>
    </row>
    <row r="2684">
      <c r="A2684" s="73" t="n"/>
      <c r="B2684" s="74" t="n"/>
      <c r="C2684" s="74" t="n"/>
      <c r="D2684" s="75">
        <f>IF($C2684="","",IFERROR(INDEX(CAT_TIPO,MATCH($C2684,CAT_NOME,0)),"Sem categoria"))</f>
        <v/>
      </c>
      <c r="E2684" s="75">
        <f>IF($C2684="","",IFERROR(INDEX(CAT_GRUPO,MATCH($C2684,CAT_NOME,0)),"Sem categoria"))</f>
        <v/>
      </c>
      <c r="F2684" s="76" t="n"/>
      <c r="G2684" s="74" t="n"/>
      <c r="H2684" s="74" t="n"/>
      <c r="I2684" s="74" t="n"/>
      <c r="J2684" s="77" t="n"/>
      <c r="K2684" s="77" t="n"/>
      <c r="L2684" s="74" t="n"/>
      <c r="M2684" s="74" t="n"/>
      <c r="O2684" s="78">
        <f>IF($A2684="","",YEAR($A2684)*100+MONTH($A2684))</f>
        <v/>
      </c>
      <c r="P2684" s="79">
        <f>IF(OR($F2684="",$D2684=""),"",IF($D2684="Receita",$F2684,IF($D2684="Transferência",0,-$F2684)))</f>
        <v/>
      </c>
    </row>
    <row r="2685">
      <c r="A2685" s="73" t="n"/>
      <c r="B2685" s="74" t="n"/>
      <c r="C2685" s="74" t="n"/>
      <c r="D2685" s="75">
        <f>IF($C2685="","",IFERROR(INDEX(CAT_TIPO,MATCH($C2685,CAT_NOME,0)),"Sem categoria"))</f>
        <v/>
      </c>
      <c r="E2685" s="75">
        <f>IF($C2685="","",IFERROR(INDEX(CAT_GRUPO,MATCH($C2685,CAT_NOME,0)),"Sem categoria"))</f>
        <v/>
      </c>
      <c r="F2685" s="76" t="n"/>
      <c r="G2685" s="74" t="n"/>
      <c r="H2685" s="74" t="n"/>
      <c r="I2685" s="74" t="n"/>
      <c r="J2685" s="77" t="n"/>
      <c r="K2685" s="77" t="n"/>
      <c r="L2685" s="74" t="n"/>
      <c r="M2685" s="74" t="n"/>
      <c r="O2685" s="78">
        <f>IF($A2685="","",YEAR($A2685)*100+MONTH($A2685))</f>
        <v/>
      </c>
      <c r="P2685" s="79">
        <f>IF(OR($F2685="",$D2685=""),"",IF($D2685="Receita",$F2685,IF($D2685="Transferência",0,-$F2685)))</f>
        <v/>
      </c>
    </row>
    <row r="2686">
      <c r="A2686" s="73" t="n"/>
      <c r="B2686" s="74" t="n"/>
      <c r="C2686" s="74" t="n"/>
      <c r="D2686" s="75">
        <f>IF($C2686="","",IFERROR(INDEX(CAT_TIPO,MATCH($C2686,CAT_NOME,0)),"Sem categoria"))</f>
        <v/>
      </c>
      <c r="E2686" s="75">
        <f>IF($C2686="","",IFERROR(INDEX(CAT_GRUPO,MATCH($C2686,CAT_NOME,0)),"Sem categoria"))</f>
        <v/>
      </c>
      <c r="F2686" s="76" t="n"/>
      <c r="G2686" s="74" t="n"/>
      <c r="H2686" s="74" t="n"/>
      <c r="I2686" s="74" t="n"/>
      <c r="J2686" s="77" t="n"/>
      <c r="K2686" s="77" t="n"/>
      <c r="L2686" s="74" t="n"/>
      <c r="M2686" s="74" t="n"/>
      <c r="O2686" s="78">
        <f>IF($A2686="","",YEAR($A2686)*100+MONTH($A2686))</f>
        <v/>
      </c>
      <c r="P2686" s="79">
        <f>IF(OR($F2686="",$D2686=""),"",IF($D2686="Receita",$F2686,IF($D2686="Transferência",0,-$F2686)))</f>
        <v/>
      </c>
    </row>
    <row r="2687">
      <c r="A2687" s="73" t="n"/>
      <c r="B2687" s="74" t="n"/>
      <c r="C2687" s="74" t="n"/>
      <c r="D2687" s="75">
        <f>IF($C2687="","",IFERROR(INDEX(CAT_TIPO,MATCH($C2687,CAT_NOME,0)),"Sem categoria"))</f>
        <v/>
      </c>
      <c r="E2687" s="75">
        <f>IF($C2687="","",IFERROR(INDEX(CAT_GRUPO,MATCH($C2687,CAT_NOME,0)),"Sem categoria"))</f>
        <v/>
      </c>
      <c r="F2687" s="76" t="n"/>
      <c r="G2687" s="74" t="n"/>
      <c r="H2687" s="74" t="n"/>
      <c r="I2687" s="74" t="n"/>
      <c r="J2687" s="77" t="n"/>
      <c r="K2687" s="77" t="n"/>
      <c r="L2687" s="74" t="n"/>
      <c r="M2687" s="74" t="n"/>
      <c r="O2687" s="78">
        <f>IF($A2687="","",YEAR($A2687)*100+MONTH($A2687))</f>
        <v/>
      </c>
      <c r="P2687" s="79">
        <f>IF(OR($F2687="",$D2687=""),"",IF($D2687="Receita",$F2687,IF($D2687="Transferência",0,-$F2687)))</f>
        <v/>
      </c>
    </row>
    <row r="2688">
      <c r="A2688" s="73" t="n"/>
      <c r="B2688" s="74" t="n"/>
      <c r="C2688" s="74" t="n"/>
      <c r="D2688" s="75">
        <f>IF($C2688="","",IFERROR(INDEX(CAT_TIPO,MATCH($C2688,CAT_NOME,0)),"Sem categoria"))</f>
        <v/>
      </c>
      <c r="E2688" s="75">
        <f>IF($C2688="","",IFERROR(INDEX(CAT_GRUPO,MATCH($C2688,CAT_NOME,0)),"Sem categoria"))</f>
        <v/>
      </c>
      <c r="F2688" s="76" t="n"/>
      <c r="G2688" s="74" t="n"/>
      <c r="H2688" s="74" t="n"/>
      <c r="I2688" s="74" t="n"/>
      <c r="J2688" s="77" t="n"/>
      <c r="K2688" s="77" t="n"/>
      <c r="L2688" s="74" t="n"/>
      <c r="M2688" s="74" t="n"/>
      <c r="O2688" s="78">
        <f>IF($A2688="","",YEAR($A2688)*100+MONTH($A2688))</f>
        <v/>
      </c>
      <c r="P2688" s="79">
        <f>IF(OR($F2688="",$D2688=""),"",IF($D2688="Receita",$F2688,IF($D2688="Transferência",0,-$F2688)))</f>
        <v/>
      </c>
    </row>
    <row r="2689">
      <c r="A2689" s="73" t="n"/>
      <c r="B2689" s="74" t="n"/>
      <c r="C2689" s="74" t="n"/>
      <c r="D2689" s="75">
        <f>IF($C2689="","",IFERROR(INDEX(CAT_TIPO,MATCH($C2689,CAT_NOME,0)),"Sem categoria"))</f>
        <v/>
      </c>
      <c r="E2689" s="75">
        <f>IF($C2689="","",IFERROR(INDEX(CAT_GRUPO,MATCH($C2689,CAT_NOME,0)),"Sem categoria"))</f>
        <v/>
      </c>
      <c r="F2689" s="76" t="n"/>
      <c r="G2689" s="74" t="n"/>
      <c r="H2689" s="74" t="n"/>
      <c r="I2689" s="74" t="n"/>
      <c r="J2689" s="77" t="n"/>
      <c r="K2689" s="77" t="n"/>
      <c r="L2689" s="74" t="n"/>
      <c r="M2689" s="74" t="n"/>
      <c r="O2689" s="78">
        <f>IF($A2689="","",YEAR($A2689)*100+MONTH($A2689))</f>
        <v/>
      </c>
      <c r="P2689" s="79">
        <f>IF(OR($F2689="",$D2689=""),"",IF($D2689="Receita",$F2689,IF($D2689="Transferência",0,-$F2689)))</f>
        <v/>
      </c>
    </row>
    <row r="2690">
      <c r="A2690" s="73" t="n"/>
      <c r="B2690" s="74" t="n"/>
      <c r="C2690" s="74" t="n"/>
      <c r="D2690" s="75">
        <f>IF($C2690="","",IFERROR(INDEX(CAT_TIPO,MATCH($C2690,CAT_NOME,0)),"Sem categoria"))</f>
        <v/>
      </c>
      <c r="E2690" s="75">
        <f>IF($C2690="","",IFERROR(INDEX(CAT_GRUPO,MATCH($C2690,CAT_NOME,0)),"Sem categoria"))</f>
        <v/>
      </c>
      <c r="F2690" s="76" t="n"/>
      <c r="G2690" s="74" t="n"/>
      <c r="H2690" s="74" t="n"/>
      <c r="I2690" s="74" t="n"/>
      <c r="J2690" s="77" t="n"/>
      <c r="K2690" s="77" t="n"/>
      <c r="L2690" s="74" t="n"/>
      <c r="M2690" s="74" t="n"/>
      <c r="O2690" s="78">
        <f>IF($A2690="","",YEAR($A2690)*100+MONTH($A2690))</f>
        <v/>
      </c>
      <c r="P2690" s="79">
        <f>IF(OR($F2690="",$D2690=""),"",IF($D2690="Receita",$F2690,IF($D2690="Transferência",0,-$F2690)))</f>
        <v/>
      </c>
    </row>
    <row r="2691">
      <c r="A2691" s="73" t="n"/>
      <c r="B2691" s="74" t="n"/>
      <c r="C2691" s="74" t="n"/>
      <c r="D2691" s="75">
        <f>IF($C2691="","",IFERROR(INDEX(CAT_TIPO,MATCH($C2691,CAT_NOME,0)),"Sem categoria"))</f>
        <v/>
      </c>
      <c r="E2691" s="75">
        <f>IF($C2691="","",IFERROR(INDEX(CAT_GRUPO,MATCH($C2691,CAT_NOME,0)),"Sem categoria"))</f>
        <v/>
      </c>
      <c r="F2691" s="76" t="n"/>
      <c r="G2691" s="74" t="n"/>
      <c r="H2691" s="74" t="n"/>
      <c r="I2691" s="74" t="n"/>
      <c r="J2691" s="77" t="n"/>
      <c r="K2691" s="77" t="n"/>
      <c r="L2691" s="74" t="n"/>
      <c r="M2691" s="74" t="n"/>
      <c r="O2691" s="78">
        <f>IF($A2691="","",YEAR($A2691)*100+MONTH($A2691))</f>
        <v/>
      </c>
      <c r="P2691" s="79">
        <f>IF(OR($F2691="",$D2691=""),"",IF($D2691="Receita",$F2691,IF($D2691="Transferência",0,-$F2691)))</f>
        <v/>
      </c>
    </row>
    <row r="2692">
      <c r="A2692" s="73" t="n"/>
      <c r="B2692" s="74" t="n"/>
      <c r="C2692" s="74" t="n"/>
      <c r="D2692" s="75">
        <f>IF($C2692="","",IFERROR(INDEX(CAT_TIPO,MATCH($C2692,CAT_NOME,0)),"Sem categoria"))</f>
        <v/>
      </c>
      <c r="E2692" s="75">
        <f>IF($C2692="","",IFERROR(INDEX(CAT_GRUPO,MATCH($C2692,CAT_NOME,0)),"Sem categoria"))</f>
        <v/>
      </c>
      <c r="F2692" s="76" t="n"/>
      <c r="G2692" s="74" t="n"/>
      <c r="H2692" s="74" t="n"/>
      <c r="I2692" s="74" t="n"/>
      <c r="J2692" s="77" t="n"/>
      <c r="K2692" s="77" t="n"/>
      <c r="L2692" s="74" t="n"/>
      <c r="M2692" s="74" t="n"/>
      <c r="O2692" s="78">
        <f>IF($A2692="","",YEAR($A2692)*100+MONTH($A2692))</f>
        <v/>
      </c>
      <c r="P2692" s="79">
        <f>IF(OR($F2692="",$D2692=""),"",IF($D2692="Receita",$F2692,IF($D2692="Transferência",0,-$F2692)))</f>
        <v/>
      </c>
    </row>
    <row r="2693">
      <c r="A2693" s="73" t="n"/>
      <c r="B2693" s="74" t="n"/>
      <c r="C2693" s="74" t="n"/>
      <c r="D2693" s="75">
        <f>IF($C2693="","",IFERROR(INDEX(CAT_TIPO,MATCH($C2693,CAT_NOME,0)),"Sem categoria"))</f>
        <v/>
      </c>
      <c r="E2693" s="75">
        <f>IF($C2693="","",IFERROR(INDEX(CAT_GRUPO,MATCH($C2693,CAT_NOME,0)),"Sem categoria"))</f>
        <v/>
      </c>
      <c r="F2693" s="76" t="n"/>
      <c r="G2693" s="74" t="n"/>
      <c r="H2693" s="74" t="n"/>
      <c r="I2693" s="74" t="n"/>
      <c r="J2693" s="77" t="n"/>
      <c r="K2693" s="77" t="n"/>
      <c r="L2693" s="74" t="n"/>
      <c r="M2693" s="74" t="n"/>
      <c r="O2693" s="78">
        <f>IF($A2693="","",YEAR($A2693)*100+MONTH($A2693))</f>
        <v/>
      </c>
      <c r="P2693" s="79">
        <f>IF(OR($F2693="",$D2693=""),"",IF($D2693="Receita",$F2693,IF($D2693="Transferência",0,-$F2693)))</f>
        <v/>
      </c>
    </row>
    <row r="2694">
      <c r="A2694" s="73" t="n"/>
      <c r="B2694" s="74" t="n"/>
      <c r="C2694" s="74" t="n"/>
      <c r="D2694" s="75">
        <f>IF($C2694="","",IFERROR(INDEX(CAT_TIPO,MATCH($C2694,CAT_NOME,0)),"Sem categoria"))</f>
        <v/>
      </c>
      <c r="E2694" s="75">
        <f>IF($C2694="","",IFERROR(INDEX(CAT_GRUPO,MATCH($C2694,CAT_NOME,0)),"Sem categoria"))</f>
        <v/>
      </c>
      <c r="F2694" s="76" t="n"/>
      <c r="G2694" s="74" t="n"/>
      <c r="H2694" s="74" t="n"/>
      <c r="I2694" s="74" t="n"/>
      <c r="J2694" s="77" t="n"/>
      <c r="K2694" s="77" t="n"/>
      <c r="L2694" s="74" t="n"/>
      <c r="M2694" s="74" t="n"/>
      <c r="O2694" s="78">
        <f>IF($A2694="","",YEAR($A2694)*100+MONTH($A2694))</f>
        <v/>
      </c>
      <c r="P2694" s="79">
        <f>IF(OR($F2694="",$D2694=""),"",IF($D2694="Receita",$F2694,IF($D2694="Transferência",0,-$F2694)))</f>
        <v/>
      </c>
    </row>
    <row r="2695">
      <c r="A2695" s="73" t="n"/>
      <c r="B2695" s="74" t="n"/>
      <c r="C2695" s="74" t="n"/>
      <c r="D2695" s="75">
        <f>IF($C2695="","",IFERROR(INDEX(CAT_TIPO,MATCH($C2695,CAT_NOME,0)),"Sem categoria"))</f>
        <v/>
      </c>
      <c r="E2695" s="75">
        <f>IF($C2695="","",IFERROR(INDEX(CAT_GRUPO,MATCH($C2695,CAT_NOME,0)),"Sem categoria"))</f>
        <v/>
      </c>
      <c r="F2695" s="76" t="n"/>
      <c r="G2695" s="74" t="n"/>
      <c r="H2695" s="74" t="n"/>
      <c r="I2695" s="74" t="n"/>
      <c r="J2695" s="77" t="n"/>
      <c r="K2695" s="77" t="n"/>
      <c r="L2695" s="74" t="n"/>
      <c r="M2695" s="74" t="n"/>
      <c r="O2695" s="78">
        <f>IF($A2695="","",YEAR($A2695)*100+MONTH($A2695))</f>
        <v/>
      </c>
      <c r="P2695" s="79">
        <f>IF(OR($F2695="",$D2695=""),"",IF($D2695="Receita",$F2695,IF($D2695="Transferência",0,-$F2695)))</f>
        <v/>
      </c>
    </row>
    <row r="2696">
      <c r="A2696" s="73" t="n"/>
      <c r="B2696" s="74" t="n"/>
      <c r="C2696" s="74" t="n"/>
      <c r="D2696" s="75">
        <f>IF($C2696="","",IFERROR(INDEX(CAT_TIPO,MATCH($C2696,CAT_NOME,0)),"Sem categoria"))</f>
        <v/>
      </c>
      <c r="E2696" s="75">
        <f>IF($C2696="","",IFERROR(INDEX(CAT_GRUPO,MATCH($C2696,CAT_NOME,0)),"Sem categoria"))</f>
        <v/>
      </c>
      <c r="F2696" s="76" t="n"/>
      <c r="G2696" s="74" t="n"/>
      <c r="H2696" s="74" t="n"/>
      <c r="I2696" s="74" t="n"/>
      <c r="J2696" s="77" t="n"/>
      <c r="K2696" s="77" t="n"/>
      <c r="L2696" s="74" t="n"/>
      <c r="M2696" s="74" t="n"/>
      <c r="O2696" s="78">
        <f>IF($A2696="","",YEAR($A2696)*100+MONTH($A2696))</f>
        <v/>
      </c>
      <c r="P2696" s="79">
        <f>IF(OR($F2696="",$D2696=""),"",IF($D2696="Receita",$F2696,IF($D2696="Transferência",0,-$F2696)))</f>
        <v/>
      </c>
    </row>
    <row r="2697">
      <c r="A2697" s="73" t="n"/>
      <c r="B2697" s="74" t="n"/>
      <c r="C2697" s="74" t="n"/>
      <c r="D2697" s="75">
        <f>IF($C2697="","",IFERROR(INDEX(CAT_TIPO,MATCH($C2697,CAT_NOME,0)),"Sem categoria"))</f>
        <v/>
      </c>
      <c r="E2697" s="75">
        <f>IF($C2697="","",IFERROR(INDEX(CAT_GRUPO,MATCH($C2697,CAT_NOME,0)),"Sem categoria"))</f>
        <v/>
      </c>
      <c r="F2697" s="76" t="n"/>
      <c r="G2697" s="74" t="n"/>
      <c r="H2697" s="74" t="n"/>
      <c r="I2697" s="74" t="n"/>
      <c r="J2697" s="77" t="n"/>
      <c r="K2697" s="77" t="n"/>
      <c r="L2697" s="74" t="n"/>
      <c r="M2697" s="74" t="n"/>
      <c r="O2697" s="78">
        <f>IF($A2697="","",YEAR($A2697)*100+MONTH($A2697))</f>
        <v/>
      </c>
      <c r="P2697" s="79">
        <f>IF(OR($F2697="",$D2697=""),"",IF($D2697="Receita",$F2697,IF($D2697="Transferência",0,-$F2697)))</f>
        <v/>
      </c>
    </row>
    <row r="2698">
      <c r="A2698" s="73" t="n"/>
      <c r="B2698" s="74" t="n"/>
      <c r="C2698" s="74" t="n"/>
      <c r="D2698" s="75">
        <f>IF($C2698="","",IFERROR(INDEX(CAT_TIPO,MATCH($C2698,CAT_NOME,0)),"Sem categoria"))</f>
        <v/>
      </c>
      <c r="E2698" s="75">
        <f>IF($C2698="","",IFERROR(INDEX(CAT_GRUPO,MATCH($C2698,CAT_NOME,0)),"Sem categoria"))</f>
        <v/>
      </c>
      <c r="F2698" s="76" t="n"/>
      <c r="G2698" s="74" t="n"/>
      <c r="H2698" s="74" t="n"/>
      <c r="I2698" s="74" t="n"/>
      <c r="J2698" s="77" t="n"/>
      <c r="K2698" s="77" t="n"/>
      <c r="L2698" s="74" t="n"/>
      <c r="M2698" s="74" t="n"/>
      <c r="O2698" s="78">
        <f>IF($A2698="","",YEAR($A2698)*100+MONTH($A2698))</f>
        <v/>
      </c>
      <c r="P2698" s="79">
        <f>IF(OR($F2698="",$D2698=""),"",IF($D2698="Receita",$F2698,IF($D2698="Transferência",0,-$F2698)))</f>
        <v/>
      </c>
    </row>
    <row r="2699">
      <c r="A2699" s="73" t="n"/>
      <c r="B2699" s="74" t="n"/>
      <c r="C2699" s="74" t="n"/>
      <c r="D2699" s="75">
        <f>IF($C2699="","",IFERROR(INDEX(CAT_TIPO,MATCH($C2699,CAT_NOME,0)),"Sem categoria"))</f>
        <v/>
      </c>
      <c r="E2699" s="75">
        <f>IF($C2699="","",IFERROR(INDEX(CAT_GRUPO,MATCH($C2699,CAT_NOME,0)),"Sem categoria"))</f>
        <v/>
      </c>
      <c r="F2699" s="76" t="n"/>
      <c r="G2699" s="74" t="n"/>
      <c r="H2699" s="74" t="n"/>
      <c r="I2699" s="74" t="n"/>
      <c r="J2699" s="77" t="n"/>
      <c r="K2699" s="77" t="n"/>
      <c r="L2699" s="74" t="n"/>
      <c r="M2699" s="74" t="n"/>
      <c r="O2699" s="78">
        <f>IF($A2699="","",YEAR($A2699)*100+MONTH($A2699))</f>
        <v/>
      </c>
      <c r="P2699" s="79">
        <f>IF(OR($F2699="",$D2699=""),"",IF($D2699="Receita",$F2699,IF($D2699="Transferência",0,-$F2699)))</f>
        <v/>
      </c>
    </row>
    <row r="2700">
      <c r="A2700" s="73" t="n"/>
      <c r="B2700" s="74" t="n"/>
      <c r="C2700" s="74" t="n"/>
      <c r="D2700" s="75">
        <f>IF($C2700="","",IFERROR(INDEX(CAT_TIPO,MATCH($C2700,CAT_NOME,0)),"Sem categoria"))</f>
        <v/>
      </c>
      <c r="E2700" s="75">
        <f>IF($C2700="","",IFERROR(INDEX(CAT_GRUPO,MATCH($C2700,CAT_NOME,0)),"Sem categoria"))</f>
        <v/>
      </c>
      <c r="F2700" s="76" t="n"/>
      <c r="G2700" s="74" t="n"/>
      <c r="H2700" s="74" t="n"/>
      <c r="I2700" s="74" t="n"/>
      <c r="J2700" s="77" t="n"/>
      <c r="K2700" s="77" t="n"/>
      <c r="L2700" s="74" t="n"/>
      <c r="M2700" s="74" t="n"/>
      <c r="O2700" s="78">
        <f>IF($A2700="","",YEAR($A2700)*100+MONTH($A2700))</f>
        <v/>
      </c>
      <c r="P2700" s="79">
        <f>IF(OR($F2700="",$D2700=""),"",IF($D2700="Receita",$F2700,IF($D2700="Transferência",0,-$F2700)))</f>
        <v/>
      </c>
    </row>
    <row r="2701">
      <c r="A2701" s="73" t="n"/>
      <c r="B2701" s="74" t="n"/>
      <c r="C2701" s="74" t="n"/>
      <c r="D2701" s="75">
        <f>IF($C2701="","",IFERROR(INDEX(CAT_TIPO,MATCH($C2701,CAT_NOME,0)),"Sem categoria"))</f>
        <v/>
      </c>
      <c r="E2701" s="75">
        <f>IF($C2701="","",IFERROR(INDEX(CAT_GRUPO,MATCH($C2701,CAT_NOME,0)),"Sem categoria"))</f>
        <v/>
      </c>
      <c r="F2701" s="76" t="n"/>
      <c r="G2701" s="74" t="n"/>
      <c r="H2701" s="74" t="n"/>
      <c r="I2701" s="74" t="n"/>
      <c r="J2701" s="77" t="n"/>
      <c r="K2701" s="77" t="n"/>
      <c r="L2701" s="74" t="n"/>
      <c r="M2701" s="74" t="n"/>
      <c r="O2701" s="78">
        <f>IF($A2701="","",YEAR($A2701)*100+MONTH($A2701))</f>
        <v/>
      </c>
      <c r="P2701" s="79">
        <f>IF(OR($F2701="",$D2701=""),"",IF($D2701="Receita",$F2701,IF($D2701="Transferência",0,-$F2701)))</f>
        <v/>
      </c>
    </row>
    <row r="2702">
      <c r="A2702" s="73" t="n"/>
      <c r="B2702" s="74" t="n"/>
      <c r="C2702" s="74" t="n"/>
      <c r="D2702" s="75">
        <f>IF($C2702="","",IFERROR(INDEX(CAT_TIPO,MATCH($C2702,CAT_NOME,0)),"Sem categoria"))</f>
        <v/>
      </c>
      <c r="E2702" s="75">
        <f>IF($C2702="","",IFERROR(INDEX(CAT_GRUPO,MATCH($C2702,CAT_NOME,0)),"Sem categoria"))</f>
        <v/>
      </c>
      <c r="F2702" s="76" t="n"/>
      <c r="G2702" s="74" t="n"/>
      <c r="H2702" s="74" t="n"/>
      <c r="I2702" s="74" t="n"/>
      <c r="J2702" s="77" t="n"/>
      <c r="K2702" s="77" t="n"/>
      <c r="L2702" s="74" t="n"/>
      <c r="M2702" s="74" t="n"/>
      <c r="O2702" s="78">
        <f>IF($A2702="","",YEAR($A2702)*100+MONTH($A2702))</f>
        <v/>
      </c>
      <c r="P2702" s="79">
        <f>IF(OR($F2702="",$D2702=""),"",IF($D2702="Receita",$F2702,IF($D2702="Transferência",0,-$F2702)))</f>
        <v/>
      </c>
    </row>
    <row r="2703">
      <c r="A2703" s="73" t="n"/>
      <c r="B2703" s="74" t="n"/>
      <c r="C2703" s="74" t="n"/>
      <c r="D2703" s="75">
        <f>IF($C2703="","",IFERROR(INDEX(CAT_TIPO,MATCH($C2703,CAT_NOME,0)),"Sem categoria"))</f>
        <v/>
      </c>
      <c r="E2703" s="75">
        <f>IF($C2703="","",IFERROR(INDEX(CAT_GRUPO,MATCH($C2703,CAT_NOME,0)),"Sem categoria"))</f>
        <v/>
      </c>
      <c r="F2703" s="76" t="n"/>
      <c r="G2703" s="74" t="n"/>
      <c r="H2703" s="74" t="n"/>
      <c r="I2703" s="74" t="n"/>
      <c r="J2703" s="77" t="n"/>
      <c r="K2703" s="77" t="n"/>
      <c r="L2703" s="74" t="n"/>
      <c r="M2703" s="74" t="n"/>
      <c r="O2703" s="78">
        <f>IF($A2703="","",YEAR($A2703)*100+MONTH($A2703))</f>
        <v/>
      </c>
      <c r="P2703" s="79">
        <f>IF(OR($F2703="",$D2703=""),"",IF($D2703="Receita",$F2703,IF($D2703="Transferência",0,-$F2703)))</f>
        <v/>
      </c>
    </row>
    <row r="2704">
      <c r="A2704" s="73" t="n"/>
      <c r="B2704" s="74" t="n"/>
      <c r="C2704" s="74" t="n"/>
      <c r="D2704" s="75">
        <f>IF($C2704="","",IFERROR(INDEX(CAT_TIPO,MATCH($C2704,CAT_NOME,0)),"Sem categoria"))</f>
        <v/>
      </c>
      <c r="E2704" s="75">
        <f>IF($C2704="","",IFERROR(INDEX(CAT_GRUPO,MATCH($C2704,CAT_NOME,0)),"Sem categoria"))</f>
        <v/>
      </c>
      <c r="F2704" s="76" t="n"/>
      <c r="G2704" s="74" t="n"/>
      <c r="H2704" s="74" t="n"/>
      <c r="I2704" s="74" t="n"/>
      <c r="J2704" s="77" t="n"/>
      <c r="K2704" s="77" t="n"/>
      <c r="L2704" s="74" t="n"/>
      <c r="M2704" s="74" t="n"/>
      <c r="O2704" s="78">
        <f>IF($A2704="","",YEAR($A2704)*100+MONTH($A2704))</f>
        <v/>
      </c>
      <c r="P2704" s="79">
        <f>IF(OR($F2704="",$D2704=""),"",IF($D2704="Receita",$F2704,IF($D2704="Transferência",0,-$F2704)))</f>
        <v/>
      </c>
    </row>
    <row r="2705">
      <c r="A2705" s="73" t="n"/>
      <c r="B2705" s="74" t="n"/>
      <c r="C2705" s="74" t="n"/>
      <c r="D2705" s="75">
        <f>IF($C2705="","",IFERROR(INDEX(CAT_TIPO,MATCH($C2705,CAT_NOME,0)),"Sem categoria"))</f>
        <v/>
      </c>
      <c r="E2705" s="75">
        <f>IF($C2705="","",IFERROR(INDEX(CAT_GRUPO,MATCH($C2705,CAT_NOME,0)),"Sem categoria"))</f>
        <v/>
      </c>
      <c r="F2705" s="76" t="n"/>
      <c r="G2705" s="74" t="n"/>
      <c r="H2705" s="74" t="n"/>
      <c r="I2705" s="74" t="n"/>
      <c r="J2705" s="77" t="n"/>
      <c r="K2705" s="77" t="n"/>
      <c r="L2705" s="74" t="n"/>
      <c r="M2705" s="74" t="n"/>
      <c r="O2705" s="78">
        <f>IF($A2705="","",YEAR($A2705)*100+MONTH($A2705))</f>
        <v/>
      </c>
      <c r="P2705" s="79">
        <f>IF(OR($F2705="",$D2705=""),"",IF($D2705="Receita",$F2705,IF($D2705="Transferência",0,-$F2705)))</f>
        <v/>
      </c>
    </row>
    <row r="2706">
      <c r="A2706" s="73" t="n"/>
      <c r="B2706" s="74" t="n"/>
      <c r="C2706" s="74" t="n"/>
      <c r="D2706" s="75">
        <f>IF($C2706="","",IFERROR(INDEX(CAT_TIPO,MATCH($C2706,CAT_NOME,0)),"Sem categoria"))</f>
        <v/>
      </c>
      <c r="E2706" s="75">
        <f>IF($C2706="","",IFERROR(INDEX(CAT_GRUPO,MATCH($C2706,CAT_NOME,0)),"Sem categoria"))</f>
        <v/>
      </c>
      <c r="F2706" s="76" t="n"/>
      <c r="G2706" s="74" t="n"/>
      <c r="H2706" s="74" t="n"/>
      <c r="I2706" s="74" t="n"/>
      <c r="J2706" s="77" t="n"/>
      <c r="K2706" s="77" t="n"/>
      <c r="L2706" s="74" t="n"/>
      <c r="M2706" s="74" t="n"/>
      <c r="O2706" s="78">
        <f>IF($A2706="","",YEAR($A2706)*100+MONTH($A2706))</f>
        <v/>
      </c>
      <c r="P2706" s="79">
        <f>IF(OR($F2706="",$D2706=""),"",IF($D2706="Receita",$F2706,IF($D2706="Transferência",0,-$F2706)))</f>
        <v/>
      </c>
    </row>
    <row r="2707">
      <c r="A2707" s="73" t="n"/>
      <c r="B2707" s="74" t="n"/>
      <c r="C2707" s="74" t="n"/>
      <c r="D2707" s="75">
        <f>IF($C2707="","",IFERROR(INDEX(CAT_TIPO,MATCH($C2707,CAT_NOME,0)),"Sem categoria"))</f>
        <v/>
      </c>
      <c r="E2707" s="75">
        <f>IF($C2707="","",IFERROR(INDEX(CAT_GRUPO,MATCH($C2707,CAT_NOME,0)),"Sem categoria"))</f>
        <v/>
      </c>
      <c r="F2707" s="76" t="n"/>
      <c r="G2707" s="74" t="n"/>
      <c r="H2707" s="74" t="n"/>
      <c r="I2707" s="74" t="n"/>
      <c r="J2707" s="77" t="n"/>
      <c r="K2707" s="77" t="n"/>
      <c r="L2707" s="74" t="n"/>
      <c r="M2707" s="74" t="n"/>
      <c r="O2707" s="78">
        <f>IF($A2707="","",YEAR($A2707)*100+MONTH($A2707))</f>
        <v/>
      </c>
      <c r="P2707" s="79">
        <f>IF(OR($F2707="",$D2707=""),"",IF($D2707="Receita",$F2707,IF($D2707="Transferência",0,-$F2707)))</f>
        <v/>
      </c>
    </row>
    <row r="2708">
      <c r="A2708" s="73" t="n"/>
      <c r="B2708" s="74" t="n"/>
      <c r="C2708" s="74" t="n"/>
      <c r="D2708" s="75">
        <f>IF($C2708="","",IFERROR(INDEX(CAT_TIPO,MATCH($C2708,CAT_NOME,0)),"Sem categoria"))</f>
        <v/>
      </c>
      <c r="E2708" s="75">
        <f>IF($C2708="","",IFERROR(INDEX(CAT_GRUPO,MATCH($C2708,CAT_NOME,0)),"Sem categoria"))</f>
        <v/>
      </c>
      <c r="F2708" s="76" t="n"/>
      <c r="G2708" s="74" t="n"/>
      <c r="H2708" s="74" t="n"/>
      <c r="I2708" s="74" t="n"/>
      <c r="J2708" s="77" t="n"/>
      <c r="K2708" s="77" t="n"/>
      <c r="L2708" s="74" t="n"/>
      <c r="M2708" s="74" t="n"/>
      <c r="O2708" s="78">
        <f>IF($A2708="","",YEAR($A2708)*100+MONTH($A2708))</f>
        <v/>
      </c>
      <c r="P2708" s="79">
        <f>IF(OR($F2708="",$D2708=""),"",IF($D2708="Receita",$F2708,IF($D2708="Transferência",0,-$F2708)))</f>
        <v/>
      </c>
    </row>
    <row r="2709">
      <c r="A2709" s="73" t="n"/>
      <c r="B2709" s="74" t="n"/>
      <c r="C2709" s="74" t="n"/>
      <c r="D2709" s="75">
        <f>IF($C2709="","",IFERROR(INDEX(CAT_TIPO,MATCH($C2709,CAT_NOME,0)),"Sem categoria"))</f>
        <v/>
      </c>
      <c r="E2709" s="75">
        <f>IF($C2709="","",IFERROR(INDEX(CAT_GRUPO,MATCH($C2709,CAT_NOME,0)),"Sem categoria"))</f>
        <v/>
      </c>
      <c r="F2709" s="76" t="n"/>
      <c r="G2709" s="74" t="n"/>
      <c r="H2709" s="74" t="n"/>
      <c r="I2709" s="74" t="n"/>
      <c r="J2709" s="77" t="n"/>
      <c r="K2709" s="77" t="n"/>
      <c r="L2709" s="74" t="n"/>
      <c r="M2709" s="74" t="n"/>
      <c r="O2709" s="78">
        <f>IF($A2709="","",YEAR($A2709)*100+MONTH($A2709))</f>
        <v/>
      </c>
      <c r="P2709" s="79">
        <f>IF(OR($F2709="",$D2709=""),"",IF($D2709="Receita",$F2709,IF($D2709="Transferência",0,-$F2709)))</f>
        <v/>
      </c>
    </row>
    <row r="2710">
      <c r="A2710" s="73" t="n"/>
      <c r="B2710" s="74" t="n"/>
      <c r="C2710" s="74" t="n"/>
      <c r="D2710" s="75">
        <f>IF($C2710="","",IFERROR(INDEX(CAT_TIPO,MATCH($C2710,CAT_NOME,0)),"Sem categoria"))</f>
        <v/>
      </c>
      <c r="E2710" s="75">
        <f>IF($C2710="","",IFERROR(INDEX(CAT_GRUPO,MATCH($C2710,CAT_NOME,0)),"Sem categoria"))</f>
        <v/>
      </c>
      <c r="F2710" s="76" t="n"/>
      <c r="G2710" s="74" t="n"/>
      <c r="H2710" s="74" t="n"/>
      <c r="I2710" s="74" t="n"/>
      <c r="J2710" s="77" t="n"/>
      <c r="K2710" s="77" t="n"/>
      <c r="L2710" s="74" t="n"/>
      <c r="M2710" s="74" t="n"/>
      <c r="O2710" s="78">
        <f>IF($A2710="","",YEAR($A2710)*100+MONTH($A2710))</f>
        <v/>
      </c>
      <c r="P2710" s="79">
        <f>IF(OR($F2710="",$D2710=""),"",IF($D2710="Receita",$F2710,IF($D2710="Transferência",0,-$F2710)))</f>
        <v/>
      </c>
    </row>
    <row r="2711">
      <c r="A2711" s="73" t="n"/>
      <c r="B2711" s="74" t="n"/>
      <c r="C2711" s="74" t="n"/>
      <c r="D2711" s="75">
        <f>IF($C2711="","",IFERROR(INDEX(CAT_TIPO,MATCH($C2711,CAT_NOME,0)),"Sem categoria"))</f>
        <v/>
      </c>
      <c r="E2711" s="75">
        <f>IF($C2711="","",IFERROR(INDEX(CAT_GRUPO,MATCH($C2711,CAT_NOME,0)),"Sem categoria"))</f>
        <v/>
      </c>
      <c r="F2711" s="76" t="n"/>
      <c r="G2711" s="74" t="n"/>
      <c r="H2711" s="74" t="n"/>
      <c r="I2711" s="74" t="n"/>
      <c r="J2711" s="77" t="n"/>
      <c r="K2711" s="77" t="n"/>
      <c r="L2711" s="74" t="n"/>
      <c r="M2711" s="74" t="n"/>
      <c r="O2711" s="78">
        <f>IF($A2711="","",YEAR($A2711)*100+MONTH($A2711))</f>
        <v/>
      </c>
      <c r="P2711" s="79">
        <f>IF(OR($F2711="",$D2711=""),"",IF($D2711="Receita",$F2711,IF($D2711="Transferência",0,-$F2711)))</f>
        <v/>
      </c>
    </row>
    <row r="2712">
      <c r="A2712" s="73" t="n"/>
      <c r="B2712" s="74" t="n"/>
      <c r="C2712" s="74" t="n"/>
      <c r="D2712" s="75">
        <f>IF($C2712="","",IFERROR(INDEX(CAT_TIPO,MATCH($C2712,CAT_NOME,0)),"Sem categoria"))</f>
        <v/>
      </c>
      <c r="E2712" s="75">
        <f>IF($C2712="","",IFERROR(INDEX(CAT_GRUPO,MATCH($C2712,CAT_NOME,0)),"Sem categoria"))</f>
        <v/>
      </c>
      <c r="F2712" s="76" t="n"/>
      <c r="G2712" s="74" t="n"/>
      <c r="H2712" s="74" t="n"/>
      <c r="I2712" s="74" t="n"/>
      <c r="J2712" s="77" t="n"/>
      <c r="K2712" s="77" t="n"/>
      <c r="L2712" s="74" t="n"/>
      <c r="M2712" s="74" t="n"/>
      <c r="O2712" s="78">
        <f>IF($A2712="","",YEAR($A2712)*100+MONTH($A2712))</f>
        <v/>
      </c>
      <c r="P2712" s="79">
        <f>IF(OR($F2712="",$D2712=""),"",IF($D2712="Receita",$F2712,IF($D2712="Transferência",0,-$F2712)))</f>
        <v/>
      </c>
    </row>
    <row r="2713">
      <c r="A2713" s="73" t="n"/>
      <c r="B2713" s="74" t="n"/>
      <c r="C2713" s="74" t="n"/>
      <c r="D2713" s="75">
        <f>IF($C2713="","",IFERROR(INDEX(CAT_TIPO,MATCH($C2713,CAT_NOME,0)),"Sem categoria"))</f>
        <v/>
      </c>
      <c r="E2713" s="75">
        <f>IF($C2713="","",IFERROR(INDEX(CAT_GRUPO,MATCH($C2713,CAT_NOME,0)),"Sem categoria"))</f>
        <v/>
      </c>
      <c r="F2713" s="76" t="n"/>
      <c r="G2713" s="74" t="n"/>
      <c r="H2713" s="74" t="n"/>
      <c r="I2713" s="74" t="n"/>
      <c r="J2713" s="77" t="n"/>
      <c r="K2713" s="77" t="n"/>
      <c r="L2713" s="74" t="n"/>
      <c r="M2713" s="74" t="n"/>
      <c r="O2713" s="78">
        <f>IF($A2713="","",YEAR($A2713)*100+MONTH($A2713))</f>
        <v/>
      </c>
      <c r="P2713" s="79">
        <f>IF(OR($F2713="",$D2713=""),"",IF($D2713="Receita",$F2713,IF($D2713="Transferência",0,-$F2713)))</f>
        <v/>
      </c>
    </row>
    <row r="2714">
      <c r="A2714" s="73" t="n"/>
      <c r="B2714" s="74" t="n"/>
      <c r="C2714" s="74" t="n"/>
      <c r="D2714" s="75">
        <f>IF($C2714="","",IFERROR(INDEX(CAT_TIPO,MATCH($C2714,CAT_NOME,0)),"Sem categoria"))</f>
        <v/>
      </c>
      <c r="E2714" s="75">
        <f>IF($C2714="","",IFERROR(INDEX(CAT_GRUPO,MATCH($C2714,CAT_NOME,0)),"Sem categoria"))</f>
        <v/>
      </c>
      <c r="F2714" s="76" t="n"/>
      <c r="G2714" s="74" t="n"/>
      <c r="H2714" s="74" t="n"/>
      <c r="I2714" s="74" t="n"/>
      <c r="J2714" s="77" t="n"/>
      <c r="K2714" s="77" t="n"/>
      <c r="L2714" s="74" t="n"/>
      <c r="M2714" s="74" t="n"/>
      <c r="O2714" s="78">
        <f>IF($A2714="","",YEAR($A2714)*100+MONTH($A2714))</f>
        <v/>
      </c>
      <c r="P2714" s="79">
        <f>IF(OR($F2714="",$D2714=""),"",IF($D2714="Receita",$F2714,IF($D2714="Transferência",0,-$F2714)))</f>
        <v/>
      </c>
    </row>
    <row r="2715">
      <c r="A2715" s="73" t="n"/>
      <c r="B2715" s="74" t="n"/>
      <c r="C2715" s="74" t="n"/>
      <c r="D2715" s="75">
        <f>IF($C2715="","",IFERROR(INDEX(CAT_TIPO,MATCH($C2715,CAT_NOME,0)),"Sem categoria"))</f>
        <v/>
      </c>
      <c r="E2715" s="75">
        <f>IF($C2715="","",IFERROR(INDEX(CAT_GRUPO,MATCH($C2715,CAT_NOME,0)),"Sem categoria"))</f>
        <v/>
      </c>
      <c r="F2715" s="76" t="n"/>
      <c r="G2715" s="74" t="n"/>
      <c r="H2715" s="74" t="n"/>
      <c r="I2715" s="74" t="n"/>
      <c r="J2715" s="77" t="n"/>
      <c r="K2715" s="77" t="n"/>
      <c r="L2715" s="74" t="n"/>
      <c r="M2715" s="74" t="n"/>
      <c r="O2715" s="78">
        <f>IF($A2715="","",YEAR($A2715)*100+MONTH($A2715))</f>
        <v/>
      </c>
      <c r="P2715" s="79">
        <f>IF(OR($F2715="",$D2715=""),"",IF($D2715="Receita",$F2715,IF($D2715="Transferência",0,-$F2715)))</f>
        <v/>
      </c>
    </row>
    <row r="2716">
      <c r="A2716" s="73" t="n"/>
      <c r="B2716" s="74" t="n"/>
      <c r="C2716" s="74" t="n"/>
      <c r="D2716" s="75">
        <f>IF($C2716="","",IFERROR(INDEX(CAT_TIPO,MATCH($C2716,CAT_NOME,0)),"Sem categoria"))</f>
        <v/>
      </c>
      <c r="E2716" s="75">
        <f>IF($C2716="","",IFERROR(INDEX(CAT_GRUPO,MATCH($C2716,CAT_NOME,0)),"Sem categoria"))</f>
        <v/>
      </c>
      <c r="F2716" s="76" t="n"/>
      <c r="G2716" s="74" t="n"/>
      <c r="H2716" s="74" t="n"/>
      <c r="I2716" s="74" t="n"/>
      <c r="J2716" s="77" t="n"/>
      <c r="K2716" s="77" t="n"/>
      <c r="L2716" s="74" t="n"/>
      <c r="M2716" s="74" t="n"/>
      <c r="O2716" s="78">
        <f>IF($A2716="","",YEAR($A2716)*100+MONTH($A2716))</f>
        <v/>
      </c>
      <c r="P2716" s="79">
        <f>IF(OR($F2716="",$D2716=""),"",IF($D2716="Receita",$F2716,IF($D2716="Transferência",0,-$F2716)))</f>
        <v/>
      </c>
    </row>
    <row r="2717">
      <c r="A2717" s="73" t="n"/>
      <c r="B2717" s="74" t="n"/>
      <c r="C2717" s="74" t="n"/>
      <c r="D2717" s="75">
        <f>IF($C2717="","",IFERROR(INDEX(CAT_TIPO,MATCH($C2717,CAT_NOME,0)),"Sem categoria"))</f>
        <v/>
      </c>
      <c r="E2717" s="75">
        <f>IF($C2717="","",IFERROR(INDEX(CAT_GRUPO,MATCH($C2717,CAT_NOME,0)),"Sem categoria"))</f>
        <v/>
      </c>
      <c r="F2717" s="76" t="n"/>
      <c r="G2717" s="74" t="n"/>
      <c r="H2717" s="74" t="n"/>
      <c r="I2717" s="74" t="n"/>
      <c r="J2717" s="77" t="n"/>
      <c r="K2717" s="77" t="n"/>
      <c r="L2717" s="74" t="n"/>
      <c r="M2717" s="74" t="n"/>
      <c r="O2717" s="78">
        <f>IF($A2717="","",YEAR($A2717)*100+MONTH($A2717))</f>
        <v/>
      </c>
      <c r="P2717" s="79">
        <f>IF(OR($F2717="",$D2717=""),"",IF($D2717="Receita",$F2717,IF($D2717="Transferência",0,-$F2717)))</f>
        <v/>
      </c>
    </row>
    <row r="2718">
      <c r="A2718" s="73" t="n"/>
      <c r="B2718" s="74" t="n"/>
      <c r="C2718" s="74" t="n"/>
      <c r="D2718" s="75">
        <f>IF($C2718="","",IFERROR(INDEX(CAT_TIPO,MATCH($C2718,CAT_NOME,0)),"Sem categoria"))</f>
        <v/>
      </c>
      <c r="E2718" s="75">
        <f>IF($C2718="","",IFERROR(INDEX(CAT_GRUPO,MATCH($C2718,CAT_NOME,0)),"Sem categoria"))</f>
        <v/>
      </c>
      <c r="F2718" s="76" t="n"/>
      <c r="G2718" s="74" t="n"/>
      <c r="H2718" s="74" t="n"/>
      <c r="I2718" s="74" t="n"/>
      <c r="J2718" s="77" t="n"/>
      <c r="K2718" s="77" t="n"/>
      <c r="L2718" s="74" t="n"/>
      <c r="M2718" s="74" t="n"/>
      <c r="O2718" s="78">
        <f>IF($A2718="","",YEAR($A2718)*100+MONTH($A2718))</f>
        <v/>
      </c>
      <c r="P2718" s="79">
        <f>IF(OR($F2718="",$D2718=""),"",IF($D2718="Receita",$F2718,IF($D2718="Transferência",0,-$F2718)))</f>
        <v/>
      </c>
    </row>
    <row r="2719">
      <c r="A2719" s="73" t="n"/>
      <c r="B2719" s="74" t="n"/>
      <c r="C2719" s="74" t="n"/>
      <c r="D2719" s="75">
        <f>IF($C2719="","",IFERROR(INDEX(CAT_TIPO,MATCH($C2719,CAT_NOME,0)),"Sem categoria"))</f>
        <v/>
      </c>
      <c r="E2719" s="75">
        <f>IF($C2719="","",IFERROR(INDEX(CAT_GRUPO,MATCH($C2719,CAT_NOME,0)),"Sem categoria"))</f>
        <v/>
      </c>
      <c r="F2719" s="76" t="n"/>
      <c r="G2719" s="74" t="n"/>
      <c r="H2719" s="74" t="n"/>
      <c r="I2719" s="74" t="n"/>
      <c r="J2719" s="77" t="n"/>
      <c r="K2719" s="77" t="n"/>
      <c r="L2719" s="74" t="n"/>
      <c r="M2719" s="74" t="n"/>
      <c r="O2719" s="78">
        <f>IF($A2719="","",YEAR($A2719)*100+MONTH($A2719))</f>
        <v/>
      </c>
      <c r="P2719" s="79">
        <f>IF(OR($F2719="",$D2719=""),"",IF($D2719="Receita",$F2719,IF($D2719="Transferência",0,-$F2719)))</f>
        <v/>
      </c>
    </row>
    <row r="2720">
      <c r="A2720" s="73" t="n"/>
      <c r="B2720" s="74" t="n"/>
      <c r="C2720" s="74" t="n"/>
      <c r="D2720" s="75">
        <f>IF($C2720="","",IFERROR(INDEX(CAT_TIPO,MATCH($C2720,CAT_NOME,0)),"Sem categoria"))</f>
        <v/>
      </c>
      <c r="E2720" s="75">
        <f>IF($C2720="","",IFERROR(INDEX(CAT_GRUPO,MATCH($C2720,CAT_NOME,0)),"Sem categoria"))</f>
        <v/>
      </c>
      <c r="F2720" s="76" t="n"/>
      <c r="G2720" s="74" t="n"/>
      <c r="H2720" s="74" t="n"/>
      <c r="I2720" s="74" t="n"/>
      <c r="J2720" s="77" t="n"/>
      <c r="K2720" s="77" t="n"/>
      <c r="L2720" s="74" t="n"/>
      <c r="M2720" s="74" t="n"/>
      <c r="O2720" s="78">
        <f>IF($A2720="","",YEAR($A2720)*100+MONTH($A2720))</f>
        <v/>
      </c>
      <c r="P2720" s="79">
        <f>IF(OR($F2720="",$D2720=""),"",IF($D2720="Receita",$F2720,IF($D2720="Transferência",0,-$F2720)))</f>
        <v/>
      </c>
    </row>
    <row r="2721">
      <c r="A2721" s="73" t="n"/>
      <c r="B2721" s="74" t="n"/>
      <c r="C2721" s="74" t="n"/>
      <c r="D2721" s="75">
        <f>IF($C2721="","",IFERROR(INDEX(CAT_TIPO,MATCH($C2721,CAT_NOME,0)),"Sem categoria"))</f>
        <v/>
      </c>
      <c r="E2721" s="75">
        <f>IF($C2721="","",IFERROR(INDEX(CAT_GRUPO,MATCH($C2721,CAT_NOME,0)),"Sem categoria"))</f>
        <v/>
      </c>
      <c r="F2721" s="76" t="n"/>
      <c r="G2721" s="74" t="n"/>
      <c r="H2721" s="74" t="n"/>
      <c r="I2721" s="74" t="n"/>
      <c r="J2721" s="77" t="n"/>
      <c r="K2721" s="77" t="n"/>
      <c r="L2721" s="74" t="n"/>
      <c r="M2721" s="74" t="n"/>
      <c r="O2721" s="78">
        <f>IF($A2721="","",YEAR($A2721)*100+MONTH($A2721))</f>
        <v/>
      </c>
      <c r="P2721" s="79">
        <f>IF(OR($F2721="",$D2721=""),"",IF($D2721="Receita",$F2721,IF($D2721="Transferência",0,-$F2721)))</f>
        <v/>
      </c>
    </row>
    <row r="2722">
      <c r="A2722" s="73" t="n"/>
      <c r="B2722" s="74" t="n"/>
      <c r="C2722" s="74" t="n"/>
      <c r="D2722" s="75">
        <f>IF($C2722="","",IFERROR(INDEX(CAT_TIPO,MATCH($C2722,CAT_NOME,0)),"Sem categoria"))</f>
        <v/>
      </c>
      <c r="E2722" s="75">
        <f>IF($C2722="","",IFERROR(INDEX(CAT_GRUPO,MATCH($C2722,CAT_NOME,0)),"Sem categoria"))</f>
        <v/>
      </c>
      <c r="F2722" s="76" t="n"/>
      <c r="G2722" s="74" t="n"/>
      <c r="H2722" s="74" t="n"/>
      <c r="I2722" s="74" t="n"/>
      <c r="J2722" s="77" t="n"/>
      <c r="K2722" s="77" t="n"/>
      <c r="L2722" s="74" t="n"/>
      <c r="M2722" s="74" t="n"/>
      <c r="O2722" s="78">
        <f>IF($A2722="","",YEAR($A2722)*100+MONTH($A2722))</f>
        <v/>
      </c>
      <c r="P2722" s="79">
        <f>IF(OR($F2722="",$D2722=""),"",IF($D2722="Receita",$F2722,IF($D2722="Transferência",0,-$F2722)))</f>
        <v/>
      </c>
    </row>
    <row r="2723">
      <c r="A2723" s="73" t="n"/>
      <c r="B2723" s="74" t="n"/>
      <c r="C2723" s="74" t="n"/>
      <c r="D2723" s="75">
        <f>IF($C2723="","",IFERROR(INDEX(CAT_TIPO,MATCH($C2723,CAT_NOME,0)),"Sem categoria"))</f>
        <v/>
      </c>
      <c r="E2723" s="75">
        <f>IF($C2723="","",IFERROR(INDEX(CAT_GRUPO,MATCH($C2723,CAT_NOME,0)),"Sem categoria"))</f>
        <v/>
      </c>
      <c r="F2723" s="76" t="n"/>
      <c r="G2723" s="74" t="n"/>
      <c r="H2723" s="74" t="n"/>
      <c r="I2723" s="74" t="n"/>
      <c r="J2723" s="77" t="n"/>
      <c r="K2723" s="77" t="n"/>
      <c r="L2723" s="74" t="n"/>
      <c r="M2723" s="74" t="n"/>
      <c r="O2723" s="78">
        <f>IF($A2723="","",YEAR($A2723)*100+MONTH($A2723))</f>
        <v/>
      </c>
      <c r="P2723" s="79">
        <f>IF(OR($F2723="",$D2723=""),"",IF($D2723="Receita",$F2723,IF($D2723="Transferência",0,-$F2723)))</f>
        <v/>
      </c>
    </row>
    <row r="2724">
      <c r="A2724" s="73" t="n"/>
      <c r="B2724" s="74" t="n"/>
      <c r="C2724" s="74" t="n"/>
      <c r="D2724" s="75">
        <f>IF($C2724="","",IFERROR(INDEX(CAT_TIPO,MATCH($C2724,CAT_NOME,0)),"Sem categoria"))</f>
        <v/>
      </c>
      <c r="E2724" s="75">
        <f>IF($C2724="","",IFERROR(INDEX(CAT_GRUPO,MATCH($C2724,CAT_NOME,0)),"Sem categoria"))</f>
        <v/>
      </c>
      <c r="F2724" s="76" t="n"/>
      <c r="G2724" s="74" t="n"/>
      <c r="H2724" s="74" t="n"/>
      <c r="I2724" s="74" t="n"/>
      <c r="J2724" s="77" t="n"/>
      <c r="K2724" s="77" t="n"/>
      <c r="L2724" s="74" t="n"/>
      <c r="M2724" s="74" t="n"/>
      <c r="O2724" s="78">
        <f>IF($A2724="","",YEAR($A2724)*100+MONTH($A2724))</f>
        <v/>
      </c>
      <c r="P2724" s="79">
        <f>IF(OR($F2724="",$D2724=""),"",IF($D2724="Receita",$F2724,IF($D2724="Transferência",0,-$F2724)))</f>
        <v/>
      </c>
    </row>
    <row r="2725">
      <c r="A2725" s="73" t="n"/>
      <c r="B2725" s="74" t="n"/>
      <c r="C2725" s="74" t="n"/>
      <c r="D2725" s="75">
        <f>IF($C2725="","",IFERROR(INDEX(CAT_TIPO,MATCH($C2725,CAT_NOME,0)),"Sem categoria"))</f>
        <v/>
      </c>
      <c r="E2725" s="75">
        <f>IF($C2725="","",IFERROR(INDEX(CAT_GRUPO,MATCH($C2725,CAT_NOME,0)),"Sem categoria"))</f>
        <v/>
      </c>
      <c r="F2725" s="76" t="n"/>
      <c r="G2725" s="74" t="n"/>
      <c r="H2725" s="74" t="n"/>
      <c r="I2725" s="74" t="n"/>
      <c r="J2725" s="77" t="n"/>
      <c r="K2725" s="77" t="n"/>
      <c r="L2725" s="74" t="n"/>
      <c r="M2725" s="74" t="n"/>
      <c r="O2725" s="78">
        <f>IF($A2725="","",YEAR($A2725)*100+MONTH($A2725))</f>
        <v/>
      </c>
      <c r="P2725" s="79">
        <f>IF(OR($F2725="",$D2725=""),"",IF($D2725="Receita",$F2725,IF($D2725="Transferência",0,-$F2725)))</f>
        <v/>
      </c>
    </row>
    <row r="2726">
      <c r="A2726" s="73" t="n"/>
      <c r="B2726" s="74" t="n"/>
      <c r="C2726" s="74" t="n"/>
      <c r="D2726" s="75">
        <f>IF($C2726="","",IFERROR(INDEX(CAT_TIPO,MATCH($C2726,CAT_NOME,0)),"Sem categoria"))</f>
        <v/>
      </c>
      <c r="E2726" s="75">
        <f>IF($C2726="","",IFERROR(INDEX(CAT_GRUPO,MATCH($C2726,CAT_NOME,0)),"Sem categoria"))</f>
        <v/>
      </c>
      <c r="F2726" s="76" t="n"/>
      <c r="G2726" s="74" t="n"/>
      <c r="H2726" s="74" t="n"/>
      <c r="I2726" s="74" t="n"/>
      <c r="J2726" s="77" t="n"/>
      <c r="K2726" s="77" t="n"/>
      <c r="L2726" s="74" t="n"/>
      <c r="M2726" s="74" t="n"/>
      <c r="O2726" s="78">
        <f>IF($A2726="","",YEAR($A2726)*100+MONTH($A2726))</f>
        <v/>
      </c>
      <c r="P2726" s="79">
        <f>IF(OR($F2726="",$D2726=""),"",IF($D2726="Receita",$F2726,IF($D2726="Transferência",0,-$F2726)))</f>
        <v/>
      </c>
    </row>
    <row r="2727">
      <c r="A2727" s="73" t="n"/>
      <c r="B2727" s="74" t="n"/>
      <c r="C2727" s="74" t="n"/>
      <c r="D2727" s="75">
        <f>IF($C2727="","",IFERROR(INDEX(CAT_TIPO,MATCH($C2727,CAT_NOME,0)),"Sem categoria"))</f>
        <v/>
      </c>
      <c r="E2727" s="75">
        <f>IF($C2727="","",IFERROR(INDEX(CAT_GRUPO,MATCH($C2727,CAT_NOME,0)),"Sem categoria"))</f>
        <v/>
      </c>
      <c r="F2727" s="76" t="n"/>
      <c r="G2727" s="74" t="n"/>
      <c r="H2727" s="74" t="n"/>
      <c r="I2727" s="74" t="n"/>
      <c r="J2727" s="77" t="n"/>
      <c r="K2727" s="77" t="n"/>
      <c r="L2727" s="74" t="n"/>
      <c r="M2727" s="74" t="n"/>
      <c r="O2727" s="78">
        <f>IF($A2727="","",YEAR($A2727)*100+MONTH($A2727))</f>
        <v/>
      </c>
      <c r="P2727" s="79">
        <f>IF(OR($F2727="",$D2727=""),"",IF($D2727="Receita",$F2727,IF($D2727="Transferência",0,-$F2727)))</f>
        <v/>
      </c>
    </row>
    <row r="2728">
      <c r="A2728" s="73" t="n"/>
      <c r="B2728" s="74" t="n"/>
      <c r="C2728" s="74" t="n"/>
      <c r="D2728" s="75">
        <f>IF($C2728="","",IFERROR(INDEX(CAT_TIPO,MATCH($C2728,CAT_NOME,0)),"Sem categoria"))</f>
        <v/>
      </c>
      <c r="E2728" s="75">
        <f>IF($C2728="","",IFERROR(INDEX(CAT_GRUPO,MATCH($C2728,CAT_NOME,0)),"Sem categoria"))</f>
        <v/>
      </c>
      <c r="F2728" s="76" t="n"/>
      <c r="G2728" s="74" t="n"/>
      <c r="H2728" s="74" t="n"/>
      <c r="I2728" s="74" t="n"/>
      <c r="J2728" s="77" t="n"/>
      <c r="K2728" s="77" t="n"/>
      <c r="L2728" s="74" t="n"/>
      <c r="M2728" s="74" t="n"/>
      <c r="O2728" s="78">
        <f>IF($A2728="","",YEAR($A2728)*100+MONTH($A2728))</f>
        <v/>
      </c>
      <c r="P2728" s="79">
        <f>IF(OR($F2728="",$D2728=""),"",IF($D2728="Receita",$F2728,IF($D2728="Transferência",0,-$F2728)))</f>
        <v/>
      </c>
    </row>
    <row r="2729">
      <c r="A2729" s="73" t="n"/>
      <c r="B2729" s="74" t="n"/>
      <c r="C2729" s="74" t="n"/>
      <c r="D2729" s="75">
        <f>IF($C2729="","",IFERROR(INDEX(CAT_TIPO,MATCH($C2729,CAT_NOME,0)),"Sem categoria"))</f>
        <v/>
      </c>
      <c r="E2729" s="75">
        <f>IF($C2729="","",IFERROR(INDEX(CAT_GRUPO,MATCH($C2729,CAT_NOME,0)),"Sem categoria"))</f>
        <v/>
      </c>
      <c r="F2729" s="76" t="n"/>
      <c r="G2729" s="74" t="n"/>
      <c r="H2729" s="74" t="n"/>
      <c r="I2729" s="74" t="n"/>
      <c r="J2729" s="77" t="n"/>
      <c r="K2729" s="77" t="n"/>
      <c r="L2729" s="74" t="n"/>
      <c r="M2729" s="74" t="n"/>
      <c r="O2729" s="78">
        <f>IF($A2729="","",YEAR($A2729)*100+MONTH($A2729))</f>
        <v/>
      </c>
      <c r="P2729" s="79">
        <f>IF(OR($F2729="",$D2729=""),"",IF($D2729="Receita",$F2729,IF($D2729="Transferência",0,-$F2729)))</f>
        <v/>
      </c>
    </row>
    <row r="2730">
      <c r="A2730" s="73" t="n"/>
      <c r="B2730" s="74" t="n"/>
      <c r="C2730" s="74" t="n"/>
      <c r="D2730" s="75">
        <f>IF($C2730="","",IFERROR(INDEX(CAT_TIPO,MATCH($C2730,CAT_NOME,0)),"Sem categoria"))</f>
        <v/>
      </c>
      <c r="E2730" s="75">
        <f>IF($C2730="","",IFERROR(INDEX(CAT_GRUPO,MATCH($C2730,CAT_NOME,0)),"Sem categoria"))</f>
        <v/>
      </c>
      <c r="F2730" s="76" t="n"/>
      <c r="G2730" s="74" t="n"/>
      <c r="H2730" s="74" t="n"/>
      <c r="I2730" s="74" t="n"/>
      <c r="J2730" s="77" t="n"/>
      <c r="K2730" s="77" t="n"/>
      <c r="L2730" s="74" t="n"/>
      <c r="M2730" s="74" t="n"/>
      <c r="O2730" s="78">
        <f>IF($A2730="","",YEAR($A2730)*100+MONTH($A2730))</f>
        <v/>
      </c>
      <c r="P2730" s="79">
        <f>IF(OR($F2730="",$D2730=""),"",IF($D2730="Receita",$F2730,IF($D2730="Transferência",0,-$F2730)))</f>
        <v/>
      </c>
    </row>
    <row r="2731">
      <c r="A2731" s="73" t="n"/>
      <c r="B2731" s="74" t="n"/>
      <c r="C2731" s="74" t="n"/>
      <c r="D2731" s="75">
        <f>IF($C2731="","",IFERROR(INDEX(CAT_TIPO,MATCH($C2731,CAT_NOME,0)),"Sem categoria"))</f>
        <v/>
      </c>
      <c r="E2731" s="75">
        <f>IF($C2731="","",IFERROR(INDEX(CAT_GRUPO,MATCH($C2731,CAT_NOME,0)),"Sem categoria"))</f>
        <v/>
      </c>
      <c r="F2731" s="76" t="n"/>
      <c r="G2731" s="74" t="n"/>
      <c r="H2731" s="74" t="n"/>
      <c r="I2731" s="74" t="n"/>
      <c r="J2731" s="77" t="n"/>
      <c r="K2731" s="77" t="n"/>
      <c r="L2731" s="74" t="n"/>
      <c r="M2731" s="74" t="n"/>
      <c r="O2731" s="78">
        <f>IF($A2731="","",YEAR($A2731)*100+MONTH($A2731))</f>
        <v/>
      </c>
      <c r="P2731" s="79">
        <f>IF(OR($F2731="",$D2731=""),"",IF($D2731="Receita",$F2731,IF($D2731="Transferência",0,-$F2731)))</f>
        <v/>
      </c>
    </row>
    <row r="2732">
      <c r="A2732" s="73" t="n"/>
      <c r="B2732" s="74" t="n"/>
      <c r="C2732" s="74" t="n"/>
      <c r="D2732" s="75">
        <f>IF($C2732="","",IFERROR(INDEX(CAT_TIPO,MATCH($C2732,CAT_NOME,0)),"Sem categoria"))</f>
        <v/>
      </c>
      <c r="E2732" s="75">
        <f>IF($C2732="","",IFERROR(INDEX(CAT_GRUPO,MATCH($C2732,CAT_NOME,0)),"Sem categoria"))</f>
        <v/>
      </c>
      <c r="F2732" s="76" t="n"/>
      <c r="G2732" s="74" t="n"/>
      <c r="H2732" s="74" t="n"/>
      <c r="I2732" s="74" t="n"/>
      <c r="J2732" s="77" t="n"/>
      <c r="K2732" s="77" t="n"/>
      <c r="L2732" s="74" t="n"/>
      <c r="M2732" s="74" t="n"/>
      <c r="O2732" s="78">
        <f>IF($A2732="","",YEAR($A2732)*100+MONTH($A2732))</f>
        <v/>
      </c>
      <c r="P2732" s="79">
        <f>IF(OR($F2732="",$D2732=""),"",IF($D2732="Receita",$F2732,IF($D2732="Transferência",0,-$F2732)))</f>
        <v/>
      </c>
    </row>
    <row r="2733">
      <c r="A2733" s="73" t="n"/>
      <c r="B2733" s="74" t="n"/>
      <c r="C2733" s="74" t="n"/>
      <c r="D2733" s="75">
        <f>IF($C2733="","",IFERROR(INDEX(CAT_TIPO,MATCH($C2733,CAT_NOME,0)),"Sem categoria"))</f>
        <v/>
      </c>
      <c r="E2733" s="75">
        <f>IF($C2733="","",IFERROR(INDEX(CAT_GRUPO,MATCH($C2733,CAT_NOME,0)),"Sem categoria"))</f>
        <v/>
      </c>
      <c r="F2733" s="76" t="n"/>
      <c r="G2733" s="74" t="n"/>
      <c r="H2733" s="74" t="n"/>
      <c r="I2733" s="74" t="n"/>
      <c r="J2733" s="77" t="n"/>
      <c r="K2733" s="77" t="n"/>
      <c r="L2733" s="74" t="n"/>
      <c r="M2733" s="74" t="n"/>
      <c r="O2733" s="78">
        <f>IF($A2733="","",YEAR($A2733)*100+MONTH($A2733))</f>
        <v/>
      </c>
      <c r="P2733" s="79">
        <f>IF(OR($F2733="",$D2733=""),"",IF($D2733="Receita",$F2733,IF($D2733="Transferência",0,-$F2733)))</f>
        <v/>
      </c>
    </row>
    <row r="2734">
      <c r="A2734" s="73" t="n"/>
      <c r="B2734" s="74" t="n"/>
      <c r="C2734" s="74" t="n"/>
      <c r="D2734" s="75">
        <f>IF($C2734="","",IFERROR(INDEX(CAT_TIPO,MATCH($C2734,CAT_NOME,0)),"Sem categoria"))</f>
        <v/>
      </c>
      <c r="E2734" s="75">
        <f>IF($C2734="","",IFERROR(INDEX(CAT_GRUPO,MATCH($C2734,CAT_NOME,0)),"Sem categoria"))</f>
        <v/>
      </c>
      <c r="F2734" s="76" t="n"/>
      <c r="G2734" s="74" t="n"/>
      <c r="H2734" s="74" t="n"/>
      <c r="I2734" s="74" t="n"/>
      <c r="J2734" s="77" t="n"/>
      <c r="K2734" s="77" t="n"/>
      <c r="L2734" s="74" t="n"/>
      <c r="M2734" s="74" t="n"/>
      <c r="O2734" s="78">
        <f>IF($A2734="","",YEAR($A2734)*100+MONTH($A2734))</f>
        <v/>
      </c>
      <c r="P2734" s="79">
        <f>IF(OR($F2734="",$D2734=""),"",IF($D2734="Receita",$F2734,IF($D2734="Transferência",0,-$F2734)))</f>
        <v/>
      </c>
    </row>
    <row r="2735">
      <c r="A2735" s="73" t="n"/>
      <c r="B2735" s="74" t="n"/>
      <c r="C2735" s="74" t="n"/>
      <c r="D2735" s="75">
        <f>IF($C2735="","",IFERROR(INDEX(CAT_TIPO,MATCH($C2735,CAT_NOME,0)),"Sem categoria"))</f>
        <v/>
      </c>
      <c r="E2735" s="75">
        <f>IF($C2735="","",IFERROR(INDEX(CAT_GRUPO,MATCH($C2735,CAT_NOME,0)),"Sem categoria"))</f>
        <v/>
      </c>
      <c r="F2735" s="76" t="n"/>
      <c r="G2735" s="74" t="n"/>
      <c r="H2735" s="74" t="n"/>
      <c r="I2735" s="74" t="n"/>
      <c r="J2735" s="77" t="n"/>
      <c r="K2735" s="77" t="n"/>
      <c r="L2735" s="74" t="n"/>
      <c r="M2735" s="74" t="n"/>
      <c r="O2735" s="78">
        <f>IF($A2735="","",YEAR($A2735)*100+MONTH($A2735))</f>
        <v/>
      </c>
      <c r="P2735" s="79">
        <f>IF(OR($F2735="",$D2735=""),"",IF($D2735="Receita",$F2735,IF($D2735="Transferência",0,-$F2735)))</f>
        <v/>
      </c>
    </row>
    <row r="2736">
      <c r="A2736" s="73" t="n"/>
      <c r="B2736" s="74" t="n"/>
      <c r="C2736" s="74" t="n"/>
      <c r="D2736" s="75">
        <f>IF($C2736="","",IFERROR(INDEX(CAT_TIPO,MATCH($C2736,CAT_NOME,0)),"Sem categoria"))</f>
        <v/>
      </c>
      <c r="E2736" s="75">
        <f>IF($C2736="","",IFERROR(INDEX(CAT_GRUPO,MATCH($C2736,CAT_NOME,0)),"Sem categoria"))</f>
        <v/>
      </c>
      <c r="F2736" s="76" t="n"/>
      <c r="G2736" s="74" t="n"/>
      <c r="H2736" s="74" t="n"/>
      <c r="I2736" s="74" t="n"/>
      <c r="J2736" s="77" t="n"/>
      <c r="K2736" s="77" t="n"/>
      <c r="L2736" s="74" t="n"/>
      <c r="M2736" s="74" t="n"/>
      <c r="O2736" s="78">
        <f>IF($A2736="","",YEAR($A2736)*100+MONTH($A2736))</f>
        <v/>
      </c>
      <c r="P2736" s="79">
        <f>IF(OR($F2736="",$D2736=""),"",IF($D2736="Receita",$F2736,IF($D2736="Transferência",0,-$F2736)))</f>
        <v/>
      </c>
    </row>
    <row r="2737">
      <c r="A2737" s="73" t="n"/>
      <c r="B2737" s="74" t="n"/>
      <c r="C2737" s="74" t="n"/>
      <c r="D2737" s="75">
        <f>IF($C2737="","",IFERROR(INDEX(CAT_TIPO,MATCH($C2737,CAT_NOME,0)),"Sem categoria"))</f>
        <v/>
      </c>
      <c r="E2737" s="75">
        <f>IF($C2737="","",IFERROR(INDEX(CAT_GRUPO,MATCH($C2737,CAT_NOME,0)),"Sem categoria"))</f>
        <v/>
      </c>
      <c r="F2737" s="76" t="n"/>
      <c r="G2737" s="74" t="n"/>
      <c r="H2737" s="74" t="n"/>
      <c r="I2737" s="74" t="n"/>
      <c r="J2737" s="77" t="n"/>
      <c r="K2737" s="77" t="n"/>
      <c r="L2737" s="74" t="n"/>
      <c r="M2737" s="74" t="n"/>
      <c r="O2737" s="78">
        <f>IF($A2737="","",YEAR($A2737)*100+MONTH($A2737))</f>
        <v/>
      </c>
      <c r="P2737" s="79">
        <f>IF(OR($F2737="",$D2737=""),"",IF($D2737="Receita",$F2737,IF($D2737="Transferência",0,-$F2737)))</f>
        <v/>
      </c>
    </row>
    <row r="2738">
      <c r="A2738" s="73" t="n"/>
      <c r="B2738" s="74" t="n"/>
      <c r="C2738" s="74" t="n"/>
      <c r="D2738" s="75">
        <f>IF($C2738="","",IFERROR(INDEX(CAT_TIPO,MATCH($C2738,CAT_NOME,0)),"Sem categoria"))</f>
        <v/>
      </c>
      <c r="E2738" s="75">
        <f>IF($C2738="","",IFERROR(INDEX(CAT_GRUPO,MATCH($C2738,CAT_NOME,0)),"Sem categoria"))</f>
        <v/>
      </c>
      <c r="F2738" s="76" t="n"/>
      <c r="G2738" s="74" t="n"/>
      <c r="H2738" s="74" t="n"/>
      <c r="I2738" s="74" t="n"/>
      <c r="J2738" s="77" t="n"/>
      <c r="K2738" s="77" t="n"/>
      <c r="L2738" s="74" t="n"/>
      <c r="M2738" s="74" t="n"/>
      <c r="O2738" s="78">
        <f>IF($A2738="","",YEAR($A2738)*100+MONTH($A2738))</f>
        <v/>
      </c>
      <c r="P2738" s="79">
        <f>IF(OR($F2738="",$D2738=""),"",IF($D2738="Receita",$F2738,IF($D2738="Transferência",0,-$F2738)))</f>
        <v/>
      </c>
    </row>
    <row r="2739">
      <c r="A2739" s="73" t="n"/>
      <c r="B2739" s="74" t="n"/>
      <c r="C2739" s="74" t="n"/>
      <c r="D2739" s="75">
        <f>IF($C2739="","",IFERROR(INDEX(CAT_TIPO,MATCH($C2739,CAT_NOME,0)),"Sem categoria"))</f>
        <v/>
      </c>
      <c r="E2739" s="75">
        <f>IF($C2739="","",IFERROR(INDEX(CAT_GRUPO,MATCH($C2739,CAT_NOME,0)),"Sem categoria"))</f>
        <v/>
      </c>
      <c r="F2739" s="76" t="n"/>
      <c r="G2739" s="74" t="n"/>
      <c r="H2739" s="74" t="n"/>
      <c r="I2739" s="74" t="n"/>
      <c r="J2739" s="77" t="n"/>
      <c r="K2739" s="77" t="n"/>
      <c r="L2739" s="74" t="n"/>
      <c r="M2739" s="74" t="n"/>
      <c r="O2739" s="78">
        <f>IF($A2739="","",YEAR($A2739)*100+MONTH($A2739))</f>
        <v/>
      </c>
      <c r="P2739" s="79">
        <f>IF(OR($F2739="",$D2739=""),"",IF($D2739="Receita",$F2739,IF($D2739="Transferência",0,-$F2739)))</f>
        <v/>
      </c>
    </row>
    <row r="2740">
      <c r="A2740" s="73" t="n"/>
      <c r="B2740" s="74" t="n"/>
      <c r="C2740" s="74" t="n"/>
      <c r="D2740" s="75">
        <f>IF($C2740="","",IFERROR(INDEX(CAT_TIPO,MATCH($C2740,CAT_NOME,0)),"Sem categoria"))</f>
        <v/>
      </c>
      <c r="E2740" s="75">
        <f>IF($C2740="","",IFERROR(INDEX(CAT_GRUPO,MATCH($C2740,CAT_NOME,0)),"Sem categoria"))</f>
        <v/>
      </c>
      <c r="F2740" s="76" t="n"/>
      <c r="G2740" s="74" t="n"/>
      <c r="H2740" s="74" t="n"/>
      <c r="I2740" s="74" t="n"/>
      <c r="J2740" s="77" t="n"/>
      <c r="K2740" s="77" t="n"/>
      <c r="L2740" s="74" t="n"/>
      <c r="M2740" s="74" t="n"/>
      <c r="O2740" s="78">
        <f>IF($A2740="","",YEAR($A2740)*100+MONTH($A2740))</f>
        <v/>
      </c>
      <c r="P2740" s="79">
        <f>IF(OR($F2740="",$D2740=""),"",IF($D2740="Receita",$F2740,IF($D2740="Transferência",0,-$F2740)))</f>
        <v/>
      </c>
    </row>
    <row r="2741">
      <c r="A2741" s="73" t="n"/>
      <c r="B2741" s="74" t="n"/>
      <c r="C2741" s="74" t="n"/>
      <c r="D2741" s="75">
        <f>IF($C2741="","",IFERROR(INDEX(CAT_TIPO,MATCH($C2741,CAT_NOME,0)),"Sem categoria"))</f>
        <v/>
      </c>
      <c r="E2741" s="75">
        <f>IF($C2741="","",IFERROR(INDEX(CAT_GRUPO,MATCH($C2741,CAT_NOME,0)),"Sem categoria"))</f>
        <v/>
      </c>
      <c r="F2741" s="76" t="n"/>
      <c r="G2741" s="74" t="n"/>
      <c r="H2741" s="74" t="n"/>
      <c r="I2741" s="74" t="n"/>
      <c r="J2741" s="77" t="n"/>
      <c r="K2741" s="77" t="n"/>
      <c r="L2741" s="74" t="n"/>
      <c r="M2741" s="74" t="n"/>
      <c r="O2741" s="78">
        <f>IF($A2741="","",YEAR($A2741)*100+MONTH($A2741))</f>
        <v/>
      </c>
      <c r="P2741" s="79">
        <f>IF(OR($F2741="",$D2741=""),"",IF($D2741="Receita",$F2741,IF($D2741="Transferência",0,-$F2741)))</f>
        <v/>
      </c>
    </row>
    <row r="2742">
      <c r="A2742" s="73" t="n"/>
      <c r="B2742" s="74" t="n"/>
      <c r="C2742" s="74" t="n"/>
      <c r="D2742" s="75">
        <f>IF($C2742="","",IFERROR(INDEX(CAT_TIPO,MATCH($C2742,CAT_NOME,0)),"Sem categoria"))</f>
        <v/>
      </c>
      <c r="E2742" s="75">
        <f>IF($C2742="","",IFERROR(INDEX(CAT_GRUPO,MATCH($C2742,CAT_NOME,0)),"Sem categoria"))</f>
        <v/>
      </c>
      <c r="F2742" s="76" t="n"/>
      <c r="G2742" s="74" t="n"/>
      <c r="H2742" s="74" t="n"/>
      <c r="I2742" s="74" t="n"/>
      <c r="J2742" s="77" t="n"/>
      <c r="K2742" s="77" t="n"/>
      <c r="L2742" s="74" t="n"/>
      <c r="M2742" s="74" t="n"/>
      <c r="O2742" s="78">
        <f>IF($A2742="","",YEAR($A2742)*100+MONTH($A2742))</f>
        <v/>
      </c>
      <c r="P2742" s="79">
        <f>IF(OR($F2742="",$D2742=""),"",IF($D2742="Receita",$F2742,IF($D2742="Transferência",0,-$F2742)))</f>
        <v/>
      </c>
    </row>
    <row r="2743">
      <c r="A2743" s="73" t="n"/>
      <c r="B2743" s="74" t="n"/>
      <c r="C2743" s="74" t="n"/>
      <c r="D2743" s="75">
        <f>IF($C2743="","",IFERROR(INDEX(CAT_TIPO,MATCH($C2743,CAT_NOME,0)),"Sem categoria"))</f>
        <v/>
      </c>
      <c r="E2743" s="75">
        <f>IF($C2743="","",IFERROR(INDEX(CAT_GRUPO,MATCH($C2743,CAT_NOME,0)),"Sem categoria"))</f>
        <v/>
      </c>
      <c r="F2743" s="76" t="n"/>
      <c r="G2743" s="74" t="n"/>
      <c r="H2743" s="74" t="n"/>
      <c r="I2743" s="74" t="n"/>
      <c r="J2743" s="77" t="n"/>
      <c r="K2743" s="77" t="n"/>
      <c r="L2743" s="74" t="n"/>
      <c r="M2743" s="74" t="n"/>
      <c r="O2743" s="78">
        <f>IF($A2743="","",YEAR($A2743)*100+MONTH($A2743))</f>
        <v/>
      </c>
      <c r="P2743" s="79">
        <f>IF(OR($F2743="",$D2743=""),"",IF($D2743="Receita",$F2743,IF($D2743="Transferência",0,-$F2743)))</f>
        <v/>
      </c>
    </row>
    <row r="2744">
      <c r="A2744" s="73" t="n"/>
      <c r="B2744" s="74" t="n"/>
      <c r="C2744" s="74" t="n"/>
      <c r="D2744" s="75">
        <f>IF($C2744="","",IFERROR(INDEX(CAT_TIPO,MATCH($C2744,CAT_NOME,0)),"Sem categoria"))</f>
        <v/>
      </c>
      <c r="E2744" s="75">
        <f>IF($C2744="","",IFERROR(INDEX(CAT_GRUPO,MATCH($C2744,CAT_NOME,0)),"Sem categoria"))</f>
        <v/>
      </c>
      <c r="F2744" s="76" t="n"/>
      <c r="G2744" s="74" t="n"/>
      <c r="H2744" s="74" t="n"/>
      <c r="I2744" s="74" t="n"/>
      <c r="J2744" s="77" t="n"/>
      <c r="K2744" s="77" t="n"/>
      <c r="L2744" s="74" t="n"/>
      <c r="M2744" s="74" t="n"/>
      <c r="O2744" s="78">
        <f>IF($A2744="","",YEAR($A2744)*100+MONTH($A2744))</f>
        <v/>
      </c>
      <c r="P2744" s="79">
        <f>IF(OR($F2744="",$D2744=""),"",IF($D2744="Receita",$F2744,IF($D2744="Transferência",0,-$F2744)))</f>
        <v/>
      </c>
    </row>
    <row r="2745">
      <c r="A2745" s="73" t="n"/>
      <c r="B2745" s="74" t="n"/>
      <c r="C2745" s="74" t="n"/>
      <c r="D2745" s="75">
        <f>IF($C2745="","",IFERROR(INDEX(CAT_TIPO,MATCH($C2745,CAT_NOME,0)),"Sem categoria"))</f>
        <v/>
      </c>
      <c r="E2745" s="75">
        <f>IF($C2745="","",IFERROR(INDEX(CAT_GRUPO,MATCH($C2745,CAT_NOME,0)),"Sem categoria"))</f>
        <v/>
      </c>
      <c r="F2745" s="76" t="n"/>
      <c r="G2745" s="74" t="n"/>
      <c r="H2745" s="74" t="n"/>
      <c r="I2745" s="74" t="n"/>
      <c r="J2745" s="77" t="n"/>
      <c r="K2745" s="77" t="n"/>
      <c r="L2745" s="74" t="n"/>
      <c r="M2745" s="74" t="n"/>
      <c r="O2745" s="78">
        <f>IF($A2745="","",YEAR($A2745)*100+MONTH($A2745))</f>
        <v/>
      </c>
      <c r="P2745" s="79">
        <f>IF(OR($F2745="",$D2745=""),"",IF($D2745="Receita",$F2745,IF($D2745="Transferência",0,-$F2745)))</f>
        <v/>
      </c>
    </row>
    <row r="2746">
      <c r="A2746" s="73" t="n"/>
      <c r="B2746" s="74" t="n"/>
      <c r="C2746" s="74" t="n"/>
      <c r="D2746" s="75">
        <f>IF($C2746="","",IFERROR(INDEX(CAT_TIPO,MATCH($C2746,CAT_NOME,0)),"Sem categoria"))</f>
        <v/>
      </c>
      <c r="E2746" s="75">
        <f>IF($C2746="","",IFERROR(INDEX(CAT_GRUPO,MATCH($C2746,CAT_NOME,0)),"Sem categoria"))</f>
        <v/>
      </c>
      <c r="F2746" s="76" t="n"/>
      <c r="G2746" s="74" t="n"/>
      <c r="H2746" s="74" t="n"/>
      <c r="I2746" s="74" t="n"/>
      <c r="J2746" s="77" t="n"/>
      <c r="K2746" s="77" t="n"/>
      <c r="L2746" s="74" t="n"/>
      <c r="M2746" s="74" t="n"/>
      <c r="O2746" s="78">
        <f>IF($A2746="","",YEAR($A2746)*100+MONTH($A2746))</f>
        <v/>
      </c>
      <c r="P2746" s="79">
        <f>IF(OR($F2746="",$D2746=""),"",IF($D2746="Receita",$F2746,IF($D2746="Transferência",0,-$F2746)))</f>
        <v/>
      </c>
    </row>
    <row r="2747">
      <c r="A2747" s="73" t="n"/>
      <c r="B2747" s="74" t="n"/>
      <c r="C2747" s="74" t="n"/>
      <c r="D2747" s="75">
        <f>IF($C2747="","",IFERROR(INDEX(CAT_TIPO,MATCH($C2747,CAT_NOME,0)),"Sem categoria"))</f>
        <v/>
      </c>
      <c r="E2747" s="75">
        <f>IF($C2747="","",IFERROR(INDEX(CAT_GRUPO,MATCH($C2747,CAT_NOME,0)),"Sem categoria"))</f>
        <v/>
      </c>
      <c r="F2747" s="76" t="n"/>
      <c r="G2747" s="74" t="n"/>
      <c r="H2747" s="74" t="n"/>
      <c r="I2747" s="74" t="n"/>
      <c r="J2747" s="77" t="n"/>
      <c r="K2747" s="77" t="n"/>
      <c r="L2747" s="74" t="n"/>
      <c r="M2747" s="74" t="n"/>
      <c r="O2747" s="78">
        <f>IF($A2747="","",YEAR($A2747)*100+MONTH($A2747))</f>
        <v/>
      </c>
      <c r="P2747" s="79">
        <f>IF(OR($F2747="",$D2747=""),"",IF($D2747="Receita",$F2747,IF($D2747="Transferência",0,-$F2747)))</f>
        <v/>
      </c>
    </row>
    <row r="2748">
      <c r="A2748" s="73" t="n"/>
      <c r="B2748" s="74" t="n"/>
      <c r="C2748" s="74" t="n"/>
      <c r="D2748" s="75">
        <f>IF($C2748="","",IFERROR(INDEX(CAT_TIPO,MATCH($C2748,CAT_NOME,0)),"Sem categoria"))</f>
        <v/>
      </c>
      <c r="E2748" s="75">
        <f>IF($C2748="","",IFERROR(INDEX(CAT_GRUPO,MATCH($C2748,CAT_NOME,0)),"Sem categoria"))</f>
        <v/>
      </c>
      <c r="F2748" s="76" t="n"/>
      <c r="G2748" s="74" t="n"/>
      <c r="H2748" s="74" t="n"/>
      <c r="I2748" s="74" t="n"/>
      <c r="J2748" s="77" t="n"/>
      <c r="K2748" s="77" t="n"/>
      <c r="L2748" s="74" t="n"/>
      <c r="M2748" s="74" t="n"/>
      <c r="O2748" s="78">
        <f>IF($A2748="","",YEAR($A2748)*100+MONTH($A2748))</f>
        <v/>
      </c>
      <c r="P2748" s="79">
        <f>IF(OR($F2748="",$D2748=""),"",IF($D2748="Receita",$F2748,IF($D2748="Transferência",0,-$F2748)))</f>
        <v/>
      </c>
    </row>
    <row r="2749">
      <c r="A2749" s="73" t="n"/>
      <c r="B2749" s="74" t="n"/>
      <c r="C2749" s="74" t="n"/>
      <c r="D2749" s="75">
        <f>IF($C2749="","",IFERROR(INDEX(CAT_TIPO,MATCH($C2749,CAT_NOME,0)),"Sem categoria"))</f>
        <v/>
      </c>
      <c r="E2749" s="75">
        <f>IF($C2749="","",IFERROR(INDEX(CAT_GRUPO,MATCH($C2749,CAT_NOME,0)),"Sem categoria"))</f>
        <v/>
      </c>
      <c r="F2749" s="76" t="n"/>
      <c r="G2749" s="74" t="n"/>
      <c r="H2749" s="74" t="n"/>
      <c r="I2749" s="74" t="n"/>
      <c r="J2749" s="77" t="n"/>
      <c r="K2749" s="77" t="n"/>
      <c r="L2749" s="74" t="n"/>
      <c r="M2749" s="74" t="n"/>
      <c r="O2749" s="78">
        <f>IF($A2749="","",YEAR($A2749)*100+MONTH($A2749))</f>
        <v/>
      </c>
      <c r="P2749" s="79">
        <f>IF(OR($F2749="",$D2749=""),"",IF($D2749="Receita",$F2749,IF($D2749="Transferência",0,-$F2749)))</f>
        <v/>
      </c>
    </row>
    <row r="2750">
      <c r="A2750" s="73" t="n"/>
      <c r="B2750" s="74" t="n"/>
      <c r="C2750" s="74" t="n"/>
      <c r="D2750" s="75">
        <f>IF($C2750="","",IFERROR(INDEX(CAT_TIPO,MATCH($C2750,CAT_NOME,0)),"Sem categoria"))</f>
        <v/>
      </c>
      <c r="E2750" s="75">
        <f>IF($C2750="","",IFERROR(INDEX(CAT_GRUPO,MATCH($C2750,CAT_NOME,0)),"Sem categoria"))</f>
        <v/>
      </c>
      <c r="F2750" s="76" t="n"/>
      <c r="G2750" s="74" t="n"/>
      <c r="H2750" s="74" t="n"/>
      <c r="I2750" s="74" t="n"/>
      <c r="J2750" s="77" t="n"/>
      <c r="K2750" s="77" t="n"/>
      <c r="L2750" s="74" t="n"/>
      <c r="M2750" s="74" t="n"/>
      <c r="O2750" s="78">
        <f>IF($A2750="","",YEAR($A2750)*100+MONTH($A2750))</f>
        <v/>
      </c>
      <c r="P2750" s="79">
        <f>IF(OR($F2750="",$D2750=""),"",IF($D2750="Receita",$F2750,IF($D2750="Transferência",0,-$F2750)))</f>
        <v/>
      </c>
    </row>
    <row r="2751">
      <c r="A2751" s="73" t="n"/>
      <c r="B2751" s="74" t="n"/>
      <c r="C2751" s="74" t="n"/>
      <c r="D2751" s="75">
        <f>IF($C2751="","",IFERROR(INDEX(CAT_TIPO,MATCH($C2751,CAT_NOME,0)),"Sem categoria"))</f>
        <v/>
      </c>
      <c r="E2751" s="75">
        <f>IF($C2751="","",IFERROR(INDEX(CAT_GRUPO,MATCH($C2751,CAT_NOME,0)),"Sem categoria"))</f>
        <v/>
      </c>
      <c r="F2751" s="76" t="n"/>
      <c r="G2751" s="74" t="n"/>
      <c r="H2751" s="74" t="n"/>
      <c r="I2751" s="74" t="n"/>
      <c r="J2751" s="77" t="n"/>
      <c r="K2751" s="77" t="n"/>
      <c r="L2751" s="74" t="n"/>
      <c r="M2751" s="74" t="n"/>
      <c r="O2751" s="78">
        <f>IF($A2751="","",YEAR($A2751)*100+MONTH($A2751))</f>
        <v/>
      </c>
      <c r="P2751" s="79">
        <f>IF(OR($F2751="",$D2751=""),"",IF($D2751="Receita",$F2751,IF($D2751="Transferência",0,-$F2751)))</f>
        <v/>
      </c>
    </row>
    <row r="2752">
      <c r="A2752" s="73" t="n"/>
      <c r="B2752" s="74" t="n"/>
      <c r="C2752" s="74" t="n"/>
      <c r="D2752" s="75">
        <f>IF($C2752="","",IFERROR(INDEX(CAT_TIPO,MATCH($C2752,CAT_NOME,0)),"Sem categoria"))</f>
        <v/>
      </c>
      <c r="E2752" s="75">
        <f>IF($C2752="","",IFERROR(INDEX(CAT_GRUPO,MATCH($C2752,CAT_NOME,0)),"Sem categoria"))</f>
        <v/>
      </c>
      <c r="F2752" s="76" t="n"/>
      <c r="G2752" s="74" t="n"/>
      <c r="H2752" s="74" t="n"/>
      <c r="I2752" s="74" t="n"/>
      <c r="J2752" s="77" t="n"/>
      <c r="K2752" s="77" t="n"/>
      <c r="L2752" s="74" t="n"/>
      <c r="M2752" s="74" t="n"/>
      <c r="O2752" s="78">
        <f>IF($A2752="","",YEAR($A2752)*100+MONTH($A2752))</f>
        <v/>
      </c>
      <c r="P2752" s="79">
        <f>IF(OR($F2752="",$D2752=""),"",IF($D2752="Receita",$F2752,IF($D2752="Transferência",0,-$F2752)))</f>
        <v/>
      </c>
    </row>
    <row r="2753">
      <c r="A2753" s="73" t="n"/>
      <c r="B2753" s="74" t="n"/>
      <c r="C2753" s="74" t="n"/>
      <c r="D2753" s="75">
        <f>IF($C2753="","",IFERROR(INDEX(CAT_TIPO,MATCH($C2753,CAT_NOME,0)),"Sem categoria"))</f>
        <v/>
      </c>
      <c r="E2753" s="75">
        <f>IF($C2753="","",IFERROR(INDEX(CAT_GRUPO,MATCH($C2753,CAT_NOME,0)),"Sem categoria"))</f>
        <v/>
      </c>
      <c r="F2753" s="76" t="n"/>
      <c r="G2753" s="74" t="n"/>
      <c r="H2753" s="74" t="n"/>
      <c r="I2753" s="74" t="n"/>
      <c r="J2753" s="77" t="n"/>
      <c r="K2753" s="77" t="n"/>
      <c r="L2753" s="74" t="n"/>
      <c r="M2753" s="74" t="n"/>
      <c r="O2753" s="78">
        <f>IF($A2753="","",YEAR($A2753)*100+MONTH($A2753))</f>
        <v/>
      </c>
      <c r="P2753" s="79">
        <f>IF(OR($F2753="",$D2753=""),"",IF($D2753="Receita",$F2753,IF($D2753="Transferência",0,-$F2753)))</f>
        <v/>
      </c>
    </row>
    <row r="2754">
      <c r="A2754" s="73" t="n"/>
      <c r="B2754" s="74" t="n"/>
      <c r="C2754" s="74" t="n"/>
      <c r="D2754" s="75">
        <f>IF($C2754="","",IFERROR(INDEX(CAT_TIPO,MATCH($C2754,CAT_NOME,0)),"Sem categoria"))</f>
        <v/>
      </c>
      <c r="E2754" s="75">
        <f>IF($C2754="","",IFERROR(INDEX(CAT_GRUPO,MATCH($C2754,CAT_NOME,0)),"Sem categoria"))</f>
        <v/>
      </c>
      <c r="F2754" s="76" t="n"/>
      <c r="G2754" s="74" t="n"/>
      <c r="H2754" s="74" t="n"/>
      <c r="I2754" s="74" t="n"/>
      <c r="J2754" s="77" t="n"/>
      <c r="K2754" s="77" t="n"/>
      <c r="L2754" s="74" t="n"/>
      <c r="M2754" s="74" t="n"/>
      <c r="O2754" s="78">
        <f>IF($A2754="","",YEAR($A2754)*100+MONTH($A2754))</f>
        <v/>
      </c>
      <c r="P2754" s="79">
        <f>IF(OR($F2754="",$D2754=""),"",IF($D2754="Receita",$F2754,IF($D2754="Transferência",0,-$F2754)))</f>
        <v/>
      </c>
    </row>
    <row r="2755">
      <c r="A2755" s="73" t="n"/>
      <c r="B2755" s="74" t="n"/>
      <c r="C2755" s="74" t="n"/>
      <c r="D2755" s="75">
        <f>IF($C2755="","",IFERROR(INDEX(CAT_TIPO,MATCH($C2755,CAT_NOME,0)),"Sem categoria"))</f>
        <v/>
      </c>
      <c r="E2755" s="75">
        <f>IF($C2755="","",IFERROR(INDEX(CAT_GRUPO,MATCH($C2755,CAT_NOME,0)),"Sem categoria"))</f>
        <v/>
      </c>
      <c r="F2755" s="76" t="n"/>
      <c r="G2755" s="74" t="n"/>
      <c r="H2755" s="74" t="n"/>
      <c r="I2755" s="74" t="n"/>
      <c r="J2755" s="77" t="n"/>
      <c r="K2755" s="77" t="n"/>
      <c r="L2755" s="74" t="n"/>
      <c r="M2755" s="74" t="n"/>
      <c r="O2755" s="78">
        <f>IF($A2755="","",YEAR($A2755)*100+MONTH($A2755))</f>
        <v/>
      </c>
      <c r="P2755" s="79">
        <f>IF(OR($F2755="",$D2755=""),"",IF($D2755="Receita",$F2755,IF($D2755="Transferência",0,-$F2755)))</f>
        <v/>
      </c>
    </row>
    <row r="2756">
      <c r="A2756" s="73" t="n"/>
      <c r="B2756" s="74" t="n"/>
      <c r="C2756" s="74" t="n"/>
      <c r="D2756" s="75">
        <f>IF($C2756="","",IFERROR(INDEX(CAT_TIPO,MATCH($C2756,CAT_NOME,0)),"Sem categoria"))</f>
        <v/>
      </c>
      <c r="E2756" s="75">
        <f>IF($C2756="","",IFERROR(INDEX(CAT_GRUPO,MATCH($C2756,CAT_NOME,0)),"Sem categoria"))</f>
        <v/>
      </c>
      <c r="F2756" s="76" t="n"/>
      <c r="G2756" s="74" t="n"/>
      <c r="H2756" s="74" t="n"/>
      <c r="I2756" s="74" t="n"/>
      <c r="J2756" s="77" t="n"/>
      <c r="K2756" s="77" t="n"/>
      <c r="L2756" s="74" t="n"/>
      <c r="M2756" s="74" t="n"/>
      <c r="O2756" s="78">
        <f>IF($A2756="","",YEAR($A2756)*100+MONTH($A2756))</f>
        <v/>
      </c>
      <c r="P2756" s="79">
        <f>IF(OR($F2756="",$D2756=""),"",IF($D2756="Receita",$F2756,IF($D2756="Transferência",0,-$F2756)))</f>
        <v/>
      </c>
    </row>
    <row r="2757">
      <c r="A2757" s="73" t="n"/>
      <c r="B2757" s="74" t="n"/>
      <c r="C2757" s="74" t="n"/>
      <c r="D2757" s="75">
        <f>IF($C2757="","",IFERROR(INDEX(CAT_TIPO,MATCH($C2757,CAT_NOME,0)),"Sem categoria"))</f>
        <v/>
      </c>
      <c r="E2757" s="75">
        <f>IF($C2757="","",IFERROR(INDEX(CAT_GRUPO,MATCH($C2757,CAT_NOME,0)),"Sem categoria"))</f>
        <v/>
      </c>
      <c r="F2757" s="76" t="n"/>
      <c r="G2757" s="74" t="n"/>
      <c r="H2757" s="74" t="n"/>
      <c r="I2757" s="74" t="n"/>
      <c r="J2757" s="77" t="n"/>
      <c r="K2757" s="77" t="n"/>
      <c r="L2757" s="74" t="n"/>
      <c r="M2757" s="74" t="n"/>
      <c r="O2757" s="78">
        <f>IF($A2757="","",YEAR($A2757)*100+MONTH($A2757))</f>
        <v/>
      </c>
      <c r="P2757" s="79">
        <f>IF(OR($F2757="",$D2757=""),"",IF($D2757="Receita",$F2757,IF($D2757="Transferência",0,-$F2757)))</f>
        <v/>
      </c>
    </row>
    <row r="2758">
      <c r="A2758" s="73" t="n"/>
      <c r="B2758" s="74" t="n"/>
      <c r="C2758" s="74" t="n"/>
      <c r="D2758" s="75">
        <f>IF($C2758="","",IFERROR(INDEX(CAT_TIPO,MATCH($C2758,CAT_NOME,0)),"Sem categoria"))</f>
        <v/>
      </c>
      <c r="E2758" s="75">
        <f>IF($C2758="","",IFERROR(INDEX(CAT_GRUPO,MATCH($C2758,CAT_NOME,0)),"Sem categoria"))</f>
        <v/>
      </c>
      <c r="F2758" s="76" t="n"/>
      <c r="G2758" s="74" t="n"/>
      <c r="H2758" s="74" t="n"/>
      <c r="I2758" s="74" t="n"/>
      <c r="J2758" s="77" t="n"/>
      <c r="K2758" s="77" t="n"/>
      <c r="L2758" s="74" t="n"/>
      <c r="M2758" s="74" t="n"/>
      <c r="O2758" s="78">
        <f>IF($A2758="","",YEAR($A2758)*100+MONTH($A2758))</f>
        <v/>
      </c>
      <c r="P2758" s="79">
        <f>IF(OR($F2758="",$D2758=""),"",IF($D2758="Receita",$F2758,IF($D2758="Transferência",0,-$F2758)))</f>
        <v/>
      </c>
    </row>
    <row r="2759">
      <c r="A2759" s="73" t="n"/>
      <c r="B2759" s="74" t="n"/>
      <c r="C2759" s="74" t="n"/>
      <c r="D2759" s="75">
        <f>IF($C2759="","",IFERROR(INDEX(CAT_TIPO,MATCH($C2759,CAT_NOME,0)),"Sem categoria"))</f>
        <v/>
      </c>
      <c r="E2759" s="75">
        <f>IF($C2759="","",IFERROR(INDEX(CAT_GRUPO,MATCH($C2759,CAT_NOME,0)),"Sem categoria"))</f>
        <v/>
      </c>
      <c r="F2759" s="76" t="n"/>
      <c r="G2759" s="74" t="n"/>
      <c r="H2759" s="74" t="n"/>
      <c r="I2759" s="74" t="n"/>
      <c r="J2759" s="77" t="n"/>
      <c r="K2759" s="77" t="n"/>
      <c r="L2759" s="74" t="n"/>
      <c r="M2759" s="74" t="n"/>
      <c r="O2759" s="78">
        <f>IF($A2759="","",YEAR($A2759)*100+MONTH($A2759))</f>
        <v/>
      </c>
      <c r="P2759" s="79">
        <f>IF(OR($F2759="",$D2759=""),"",IF($D2759="Receita",$F2759,IF($D2759="Transferência",0,-$F2759)))</f>
        <v/>
      </c>
    </row>
    <row r="2760">
      <c r="A2760" s="73" t="n"/>
      <c r="B2760" s="74" t="n"/>
      <c r="C2760" s="74" t="n"/>
      <c r="D2760" s="75">
        <f>IF($C2760="","",IFERROR(INDEX(CAT_TIPO,MATCH($C2760,CAT_NOME,0)),"Sem categoria"))</f>
        <v/>
      </c>
      <c r="E2760" s="75">
        <f>IF($C2760="","",IFERROR(INDEX(CAT_GRUPO,MATCH($C2760,CAT_NOME,0)),"Sem categoria"))</f>
        <v/>
      </c>
      <c r="F2760" s="76" t="n"/>
      <c r="G2760" s="74" t="n"/>
      <c r="H2760" s="74" t="n"/>
      <c r="I2760" s="74" t="n"/>
      <c r="J2760" s="77" t="n"/>
      <c r="K2760" s="77" t="n"/>
      <c r="L2760" s="74" t="n"/>
      <c r="M2760" s="74" t="n"/>
      <c r="O2760" s="78">
        <f>IF($A2760="","",YEAR($A2760)*100+MONTH($A2760))</f>
        <v/>
      </c>
      <c r="P2760" s="79">
        <f>IF(OR($F2760="",$D2760=""),"",IF($D2760="Receita",$F2760,IF($D2760="Transferência",0,-$F2760)))</f>
        <v/>
      </c>
    </row>
    <row r="2761">
      <c r="A2761" s="73" t="n"/>
      <c r="B2761" s="74" t="n"/>
      <c r="C2761" s="74" t="n"/>
      <c r="D2761" s="75">
        <f>IF($C2761="","",IFERROR(INDEX(CAT_TIPO,MATCH($C2761,CAT_NOME,0)),"Sem categoria"))</f>
        <v/>
      </c>
      <c r="E2761" s="75">
        <f>IF($C2761="","",IFERROR(INDEX(CAT_GRUPO,MATCH($C2761,CAT_NOME,0)),"Sem categoria"))</f>
        <v/>
      </c>
      <c r="F2761" s="76" t="n"/>
      <c r="G2761" s="74" t="n"/>
      <c r="H2761" s="74" t="n"/>
      <c r="I2761" s="74" t="n"/>
      <c r="J2761" s="77" t="n"/>
      <c r="K2761" s="77" t="n"/>
      <c r="L2761" s="74" t="n"/>
      <c r="M2761" s="74" t="n"/>
      <c r="O2761" s="78">
        <f>IF($A2761="","",YEAR($A2761)*100+MONTH($A2761))</f>
        <v/>
      </c>
      <c r="P2761" s="79">
        <f>IF(OR($F2761="",$D2761=""),"",IF($D2761="Receita",$F2761,IF($D2761="Transferência",0,-$F2761)))</f>
        <v/>
      </c>
    </row>
    <row r="2762">
      <c r="A2762" s="73" t="n"/>
      <c r="B2762" s="74" t="n"/>
      <c r="C2762" s="74" t="n"/>
      <c r="D2762" s="75">
        <f>IF($C2762="","",IFERROR(INDEX(CAT_TIPO,MATCH($C2762,CAT_NOME,0)),"Sem categoria"))</f>
        <v/>
      </c>
      <c r="E2762" s="75">
        <f>IF($C2762="","",IFERROR(INDEX(CAT_GRUPO,MATCH($C2762,CAT_NOME,0)),"Sem categoria"))</f>
        <v/>
      </c>
      <c r="F2762" s="76" t="n"/>
      <c r="G2762" s="74" t="n"/>
      <c r="H2762" s="74" t="n"/>
      <c r="I2762" s="74" t="n"/>
      <c r="J2762" s="77" t="n"/>
      <c r="K2762" s="77" t="n"/>
      <c r="L2762" s="74" t="n"/>
      <c r="M2762" s="74" t="n"/>
      <c r="O2762" s="78">
        <f>IF($A2762="","",YEAR($A2762)*100+MONTH($A2762))</f>
        <v/>
      </c>
      <c r="P2762" s="79">
        <f>IF(OR($F2762="",$D2762=""),"",IF($D2762="Receita",$F2762,IF($D2762="Transferência",0,-$F2762)))</f>
        <v/>
      </c>
    </row>
    <row r="2763">
      <c r="A2763" s="73" t="n"/>
      <c r="B2763" s="74" t="n"/>
      <c r="C2763" s="74" t="n"/>
      <c r="D2763" s="75">
        <f>IF($C2763="","",IFERROR(INDEX(CAT_TIPO,MATCH($C2763,CAT_NOME,0)),"Sem categoria"))</f>
        <v/>
      </c>
      <c r="E2763" s="75">
        <f>IF($C2763="","",IFERROR(INDEX(CAT_GRUPO,MATCH($C2763,CAT_NOME,0)),"Sem categoria"))</f>
        <v/>
      </c>
      <c r="F2763" s="76" t="n"/>
      <c r="G2763" s="74" t="n"/>
      <c r="H2763" s="74" t="n"/>
      <c r="I2763" s="74" t="n"/>
      <c r="J2763" s="77" t="n"/>
      <c r="K2763" s="77" t="n"/>
      <c r="L2763" s="74" t="n"/>
      <c r="M2763" s="74" t="n"/>
      <c r="O2763" s="78">
        <f>IF($A2763="","",YEAR($A2763)*100+MONTH($A2763))</f>
        <v/>
      </c>
      <c r="P2763" s="79">
        <f>IF(OR($F2763="",$D2763=""),"",IF($D2763="Receita",$F2763,IF($D2763="Transferência",0,-$F2763)))</f>
        <v/>
      </c>
    </row>
    <row r="2764">
      <c r="A2764" s="73" t="n"/>
      <c r="B2764" s="74" t="n"/>
      <c r="C2764" s="74" t="n"/>
      <c r="D2764" s="75">
        <f>IF($C2764="","",IFERROR(INDEX(CAT_TIPO,MATCH($C2764,CAT_NOME,0)),"Sem categoria"))</f>
        <v/>
      </c>
      <c r="E2764" s="75">
        <f>IF($C2764="","",IFERROR(INDEX(CAT_GRUPO,MATCH($C2764,CAT_NOME,0)),"Sem categoria"))</f>
        <v/>
      </c>
      <c r="F2764" s="76" t="n"/>
      <c r="G2764" s="74" t="n"/>
      <c r="H2764" s="74" t="n"/>
      <c r="I2764" s="74" t="n"/>
      <c r="J2764" s="77" t="n"/>
      <c r="K2764" s="77" t="n"/>
      <c r="L2764" s="74" t="n"/>
      <c r="M2764" s="74" t="n"/>
      <c r="O2764" s="78">
        <f>IF($A2764="","",YEAR($A2764)*100+MONTH($A2764))</f>
        <v/>
      </c>
      <c r="P2764" s="79">
        <f>IF(OR($F2764="",$D2764=""),"",IF($D2764="Receita",$F2764,IF($D2764="Transferência",0,-$F2764)))</f>
        <v/>
      </c>
    </row>
    <row r="2765">
      <c r="A2765" s="73" t="n"/>
      <c r="B2765" s="74" t="n"/>
      <c r="C2765" s="74" t="n"/>
      <c r="D2765" s="75">
        <f>IF($C2765="","",IFERROR(INDEX(CAT_TIPO,MATCH($C2765,CAT_NOME,0)),"Sem categoria"))</f>
        <v/>
      </c>
      <c r="E2765" s="75">
        <f>IF($C2765="","",IFERROR(INDEX(CAT_GRUPO,MATCH($C2765,CAT_NOME,0)),"Sem categoria"))</f>
        <v/>
      </c>
      <c r="F2765" s="76" t="n"/>
      <c r="G2765" s="74" t="n"/>
      <c r="H2765" s="74" t="n"/>
      <c r="I2765" s="74" t="n"/>
      <c r="J2765" s="77" t="n"/>
      <c r="K2765" s="77" t="n"/>
      <c r="L2765" s="74" t="n"/>
      <c r="M2765" s="74" t="n"/>
      <c r="O2765" s="78">
        <f>IF($A2765="","",YEAR($A2765)*100+MONTH($A2765))</f>
        <v/>
      </c>
      <c r="P2765" s="79">
        <f>IF(OR($F2765="",$D2765=""),"",IF($D2765="Receita",$F2765,IF($D2765="Transferência",0,-$F2765)))</f>
        <v/>
      </c>
    </row>
    <row r="2766">
      <c r="A2766" s="73" t="n"/>
      <c r="B2766" s="74" t="n"/>
      <c r="C2766" s="74" t="n"/>
      <c r="D2766" s="75">
        <f>IF($C2766="","",IFERROR(INDEX(CAT_TIPO,MATCH($C2766,CAT_NOME,0)),"Sem categoria"))</f>
        <v/>
      </c>
      <c r="E2766" s="75">
        <f>IF($C2766="","",IFERROR(INDEX(CAT_GRUPO,MATCH($C2766,CAT_NOME,0)),"Sem categoria"))</f>
        <v/>
      </c>
      <c r="F2766" s="76" t="n"/>
      <c r="G2766" s="74" t="n"/>
      <c r="H2766" s="74" t="n"/>
      <c r="I2766" s="74" t="n"/>
      <c r="J2766" s="77" t="n"/>
      <c r="K2766" s="77" t="n"/>
      <c r="L2766" s="74" t="n"/>
      <c r="M2766" s="74" t="n"/>
      <c r="O2766" s="78">
        <f>IF($A2766="","",YEAR($A2766)*100+MONTH($A2766))</f>
        <v/>
      </c>
      <c r="P2766" s="79">
        <f>IF(OR($F2766="",$D2766=""),"",IF($D2766="Receita",$F2766,IF($D2766="Transferência",0,-$F2766)))</f>
        <v/>
      </c>
    </row>
    <row r="2767">
      <c r="A2767" s="73" t="n"/>
      <c r="B2767" s="74" t="n"/>
      <c r="C2767" s="74" t="n"/>
      <c r="D2767" s="75">
        <f>IF($C2767="","",IFERROR(INDEX(CAT_TIPO,MATCH($C2767,CAT_NOME,0)),"Sem categoria"))</f>
        <v/>
      </c>
      <c r="E2767" s="75">
        <f>IF($C2767="","",IFERROR(INDEX(CAT_GRUPO,MATCH($C2767,CAT_NOME,0)),"Sem categoria"))</f>
        <v/>
      </c>
      <c r="F2767" s="76" t="n"/>
      <c r="G2767" s="74" t="n"/>
      <c r="H2767" s="74" t="n"/>
      <c r="I2767" s="74" t="n"/>
      <c r="J2767" s="77" t="n"/>
      <c r="K2767" s="77" t="n"/>
      <c r="L2767" s="74" t="n"/>
      <c r="M2767" s="74" t="n"/>
      <c r="O2767" s="78">
        <f>IF($A2767="","",YEAR($A2767)*100+MONTH($A2767))</f>
        <v/>
      </c>
      <c r="P2767" s="79">
        <f>IF(OR($F2767="",$D2767=""),"",IF($D2767="Receita",$F2767,IF($D2767="Transferência",0,-$F2767)))</f>
        <v/>
      </c>
    </row>
    <row r="2768">
      <c r="A2768" s="73" t="n"/>
      <c r="B2768" s="74" t="n"/>
      <c r="C2768" s="74" t="n"/>
      <c r="D2768" s="75">
        <f>IF($C2768="","",IFERROR(INDEX(CAT_TIPO,MATCH($C2768,CAT_NOME,0)),"Sem categoria"))</f>
        <v/>
      </c>
      <c r="E2768" s="75">
        <f>IF($C2768="","",IFERROR(INDEX(CAT_GRUPO,MATCH($C2768,CAT_NOME,0)),"Sem categoria"))</f>
        <v/>
      </c>
      <c r="F2768" s="76" t="n"/>
      <c r="G2768" s="74" t="n"/>
      <c r="H2768" s="74" t="n"/>
      <c r="I2768" s="74" t="n"/>
      <c r="J2768" s="77" t="n"/>
      <c r="K2768" s="77" t="n"/>
      <c r="L2768" s="74" t="n"/>
      <c r="M2768" s="74" t="n"/>
      <c r="O2768" s="78">
        <f>IF($A2768="","",YEAR($A2768)*100+MONTH($A2768))</f>
        <v/>
      </c>
      <c r="P2768" s="79">
        <f>IF(OR($F2768="",$D2768=""),"",IF($D2768="Receita",$F2768,IF($D2768="Transferência",0,-$F2768)))</f>
        <v/>
      </c>
    </row>
    <row r="2769">
      <c r="A2769" s="73" t="n"/>
      <c r="B2769" s="74" t="n"/>
      <c r="C2769" s="74" t="n"/>
      <c r="D2769" s="75">
        <f>IF($C2769="","",IFERROR(INDEX(CAT_TIPO,MATCH($C2769,CAT_NOME,0)),"Sem categoria"))</f>
        <v/>
      </c>
      <c r="E2769" s="75">
        <f>IF($C2769="","",IFERROR(INDEX(CAT_GRUPO,MATCH($C2769,CAT_NOME,0)),"Sem categoria"))</f>
        <v/>
      </c>
      <c r="F2769" s="76" t="n"/>
      <c r="G2769" s="74" t="n"/>
      <c r="H2769" s="74" t="n"/>
      <c r="I2769" s="74" t="n"/>
      <c r="J2769" s="77" t="n"/>
      <c r="K2769" s="77" t="n"/>
      <c r="L2769" s="74" t="n"/>
      <c r="M2769" s="74" t="n"/>
      <c r="O2769" s="78">
        <f>IF($A2769="","",YEAR($A2769)*100+MONTH($A2769))</f>
        <v/>
      </c>
      <c r="P2769" s="79">
        <f>IF(OR($F2769="",$D2769=""),"",IF($D2769="Receita",$F2769,IF($D2769="Transferência",0,-$F2769)))</f>
        <v/>
      </c>
    </row>
    <row r="2770">
      <c r="A2770" s="73" t="n"/>
      <c r="B2770" s="74" t="n"/>
      <c r="C2770" s="74" t="n"/>
      <c r="D2770" s="75">
        <f>IF($C2770="","",IFERROR(INDEX(CAT_TIPO,MATCH($C2770,CAT_NOME,0)),"Sem categoria"))</f>
        <v/>
      </c>
      <c r="E2770" s="75">
        <f>IF($C2770="","",IFERROR(INDEX(CAT_GRUPO,MATCH($C2770,CAT_NOME,0)),"Sem categoria"))</f>
        <v/>
      </c>
      <c r="F2770" s="76" t="n"/>
      <c r="G2770" s="74" t="n"/>
      <c r="H2770" s="74" t="n"/>
      <c r="I2770" s="74" t="n"/>
      <c r="J2770" s="77" t="n"/>
      <c r="K2770" s="77" t="n"/>
      <c r="L2770" s="74" t="n"/>
      <c r="M2770" s="74" t="n"/>
      <c r="O2770" s="78">
        <f>IF($A2770="","",YEAR($A2770)*100+MONTH($A2770))</f>
        <v/>
      </c>
      <c r="P2770" s="79">
        <f>IF(OR($F2770="",$D2770=""),"",IF($D2770="Receita",$F2770,IF($D2770="Transferência",0,-$F2770)))</f>
        <v/>
      </c>
    </row>
    <row r="2771">
      <c r="A2771" s="73" t="n"/>
      <c r="B2771" s="74" t="n"/>
      <c r="C2771" s="74" t="n"/>
      <c r="D2771" s="75">
        <f>IF($C2771="","",IFERROR(INDEX(CAT_TIPO,MATCH($C2771,CAT_NOME,0)),"Sem categoria"))</f>
        <v/>
      </c>
      <c r="E2771" s="75">
        <f>IF($C2771="","",IFERROR(INDEX(CAT_GRUPO,MATCH($C2771,CAT_NOME,0)),"Sem categoria"))</f>
        <v/>
      </c>
      <c r="F2771" s="76" t="n"/>
      <c r="G2771" s="74" t="n"/>
      <c r="H2771" s="74" t="n"/>
      <c r="I2771" s="74" t="n"/>
      <c r="J2771" s="77" t="n"/>
      <c r="K2771" s="77" t="n"/>
      <c r="L2771" s="74" t="n"/>
      <c r="M2771" s="74" t="n"/>
      <c r="O2771" s="78">
        <f>IF($A2771="","",YEAR($A2771)*100+MONTH($A2771))</f>
        <v/>
      </c>
      <c r="P2771" s="79">
        <f>IF(OR($F2771="",$D2771=""),"",IF($D2771="Receita",$F2771,IF($D2771="Transferência",0,-$F2771)))</f>
        <v/>
      </c>
    </row>
    <row r="2772">
      <c r="A2772" s="73" t="n"/>
      <c r="B2772" s="74" t="n"/>
      <c r="C2772" s="74" t="n"/>
      <c r="D2772" s="75">
        <f>IF($C2772="","",IFERROR(INDEX(CAT_TIPO,MATCH($C2772,CAT_NOME,0)),"Sem categoria"))</f>
        <v/>
      </c>
      <c r="E2772" s="75">
        <f>IF($C2772="","",IFERROR(INDEX(CAT_GRUPO,MATCH($C2772,CAT_NOME,0)),"Sem categoria"))</f>
        <v/>
      </c>
      <c r="F2772" s="76" t="n"/>
      <c r="G2772" s="74" t="n"/>
      <c r="H2772" s="74" t="n"/>
      <c r="I2772" s="74" t="n"/>
      <c r="J2772" s="77" t="n"/>
      <c r="K2772" s="77" t="n"/>
      <c r="L2772" s="74" t="n"/>
      <c r="M2772" s="74" t="n"/>
      <c r="O2772" s="78">
        <f>IF($A2772="","",YEAR($A2772)*100+MONTH($A2772))</f>
        <v/>
      </c>
      <c r="P2772" s="79">
        <f>IF(OR($F2772="",$D2772=""),"",IF($D2772="Receita",$F2772,IF($D2772="Transferência",0,-$F2772)))</f>
        <v/>
      </c>
    </row>
    <row r="2773">
      <c r="A2773" s="73" t="n"/>
      <c r="B2773" s="74" t="n"/>
      <c r="C2773" s="74" t="n"/>
      <c r="D2773" s="75">
        <f>IF($C2773="","",IFERROR(INDEX(CAT_TIPO,MATCH($C2773,CAT_NOME,0)),"Sem categoria"))</f>
        <v/>
      </c>
      <c r="E2773" s="75">
        <f>IF($C2773="","",IFERROR(INDEX(CAT_GRUPO,MATCH($C2773,CAT_NOME,0)),"Sem categoria"))</f>
        <v/>
      </c>
      <c r="F2773" s="76" t="n"/>
      <c r="G2773" s="74" t="n"/>
      <c r="H2773" s="74" t="n"/>
      <c r="I2773" s="74" t="n"/>
      <c r="J2773" s="77" t="n"/>
      <c r="K2773" s="77" t="n"/>
      <c r="L2773" s="74" t="n"/>
      <c r="M2773" s="74" t="n"/>
      <c r="O2773" s="78">
        <f>IF($A2773="","",YEAR($A2773)*100+MONTH($A2773))</f>
        <v/>
      </c>
      <c r="P2773" s="79">
        <f>IF(OR($F2773="",$D2773=""),"",IF($D2773="Receita",$F2773,IF($D2773="Transferência",0,-$F2773)))</f>
        <v/>
      </c>
    </row>
    <row r="2774">
      <c r="A2774" s="73" t="n"/>
      <c r="B2774" s="74" t="n"/>
      <c r="C2774" s="74" t="n"/>
      <c r="D2774" s="75">
        <f>IF($C2774="","",IFERROR(INDEX(CAT_TIPO,MATCH($C2774,CAT_NOME,0)),"Sem categoria"))</f>
        <v/>
      </c>
      <c r="E2774" s="75">
        <f>IF($C2774="","",IFERROR(INDEX(CAT_GRUPO,MATCH($C2774,CAT_NOME,0)),"Sem categoria"))</f>
        <v/>
      </c>
      <c r="F2774" s="76" t="n"/>
      <c r="G2774" s="74" t="n"/>
      <c r="H2774" s="74" t="n"/>
      <c r="I2774" s="74" t="n"/>
      <c r="J2774" s="77" t="n"/>
      <c r="K2774" s="77" t="n"/>
      <c r="L2774" s="74" t="n"/>
      <c r="M2774" s="74" t="n"/>
      <c r="O2774" s="78">
        <f>IF($A2774="","",YEAR($A2774)*100+MONTH($A2774))</f>
        <v/>
      </c>
      <c r="P2774" s="79">
        <f>IF(OR($F2774="",$D2774=""),"",IF($D2774="Receita",$F2774,IF($D2774="Transferência",0,-$F2774)))</f>
        <v/>
      </c>
    </row>
    <row r="2775">
      <c r="A2775" s="73" t="n"/>
      <c r="B2775" s="74" t="n"/>
      <c r="C2775" s="74" t="n"/>
      <c r="D2775" s="75">
        <f>IF($C2775="","",IFERROR(INDEX(CAT_TIPO,MATCH($C2775,CAT_NOME,0)),"Sem categoria"))</f>
        <v/>
      </c>
      <c r="E2775" s="75">
        <f>IF($C2775="","",IFERROR(INDEX(CAT_GRUPO,MATCH($C2775,CAT_NOME,0)),"Sem categoria"))</f>
        <v/>
      </c>
      <c r="F2775" s="76" t="n"/>
      <c r="G2775" s="74" t="n"/>
      <c r="H2775" s="74" t="n"/>
      <c r="I2775" s="74" t="n"/>
      <c r="J2775" s="77" t="n"/>
      <c r="K2775" s="77" t="n"/>
      <c r="L2775" s="74" t="n"/>
      <c r="M2775" s="74" t="n"/>
      <c r="O2775" s="78">
        <f>IF($A2775="","",YEAR($A2775)*100+MONTH($A2775))</f>
        <v/>
      </c>
      <c r="P2775" s="79">
        <f>IF(OR($F2775="",$D2775=""),"",IF($D2775="Receita",$F2775,IF($D2775="Transferência",0,-$F2775)))</f>
        <v/>
      </c>
    </row>
    <row r="2776">
      <c r="A2776" s="73" t="n"/>
      <c r="B2776" s="74" t="n"/>
      <c r="C2776" s="74" t="n"/>
      <c r="D2776" s="75">
        <f>IF($C2776="","",IFERROR(INDEX(CAT_TIPO,MATCH($C2776,CAT_NOME,0)),"Sem categoria"))</f>
        <v/>
      </c>
      <c r="E2776" s="75">
        <f>IF($C2776="","",IFERROR(INDEX(CAT_GRUPO,MATCH($C2776,CAT_NOME,0)),"Sem categoria"))</f>
        <v/>
      </c>
      <c r="F2776" s="76" t="n"/>
      <c r="G2776" s="74" t="n"/>
      <c r="H2776" s="74" t="n"/>
      <c r="I2776" s="74" t="n"/>
      <c r="J2776" s="77" t="n"/>
      <c r="K2776" s="77" t="n"/>
      <c r="L2776" s="74" t="n"/>
      <c r="M2776" s="74" t="n"/>
      <c r="O2776" s="78">
        <f>IF($A2776="","",YEAR($A2776)*100+MONTH($A2776))</f>
        <v/>
      </c>
      <c r="P2776" s="79">
        <f>IF(OR($F2776="",$D2776=""),"",IF($D2776="Receita",$F2776,IF($D2776="Transferência",0,-$F2776)))</f>
        <v/>
      </c>
    </row>
    <row r="2777">
      <c r="A2777" s="73" t="n"/>
      <c r="B2777" s="74" t="n"/>
      <c r="C2777" s="74" t="n"/>
      <c r="D2777" s="75">
        <f>IF($C2777="","",IFERROR(INDEX(CAT_TIPO,MATCH($C2777,CAT_NOME,0)),"Sem categoria"))</f>
        <v/>
      </c>
      <c r="E2777" s="75">
        <f>IF($C2777="","",IFERROR(INDEX(CAT_GRUPO,MATCH($C2777,CAT_NOME,0)),"Sem categoria"))</f>
        <v/>
      </c>
      <c r="F2777" s="76" t="n"/>
      <c r="G2777" s="74" t="n"/>
      <c r="H2777" s="74" t="n"/>
      <c r="I2777" s="74" t="n"/>
      <c r="J2777" s="77" t="n"/>
      <c r="K2777" s="77" t="n"/>
      <c r="L2777" s="74" t="n"/>
      <c r="M2777" s="74" t="n"/>
      <c r="O2777" s="78">
        <f>IF($A2777="","",YEAR($A2777)*100+MONTH($A2777))</f>
        <v/>
      </c>
      <c r="P2777" s="79">
        <f>IF(OR($F2777="",$D2777=""),"",IF($D2777="Receita",$F2777,IF($D2777="Transferência",0,-$F2777)))</f>
        <v/>
      </c>
    </row>
    <row r="2778">
      <c r="A2778" s="73" t="n"/>
      <c r="B2778" s="74" t="n"/>
      <c r="C2778" s="74" t="n"/>
      <c r="D2778" s="75">
        <f>IF($C2778="","",IFERROR(INDEX(CAT_TIPO,MATCH($C2778,CAT_NOME,0)),"Sem categoria"))</f>
        <v/>
      </c>
      <c r="E2778" s="75">
        <f>IF($C2778="","",IFERROR(INDEX(CAT_GRUPO,MATCH($C2778,CAT_NOME,0)),"Sem categoria"))</f>
        <v/>
      </c>
      <c r="F2778" s="76" t="n"/>
      <c r="G2778" s="74" t="n"/>
      <c r="H2778" s="74" t="n"/>
      <c r="I2778" s="74" t="n"/>
      <c r="J2778" s="77" t="n"/>
      <c r="K2778" s="77" t="n"/>
      <c r="L2778" s="74" t="n"/>
      <c r="M2778" s="74" t="n"/>
      <c r="O2778" s="78">
        <f>IF($A2778="","",YEAR($A2778)*100+MONTH($A2778))</f>
        <v/>
      </c>
      <c r="P2778" s="79">
        <f>IF(OR($F2778="",$D2778=""),"",IF($D2778="Receita",$F2778,IF($D2778="Transferência",0,-$F2778)))</f>
        <v/>
      </c>
    </row>
    <row r="2779">
      <c r="A2779" s="73" t="n"/>
      <c r="B2779" s="74" t="n"/>
      <c r="C2779" s="74" t="n"/>
      <c r="D2779" s="75">
        <f>IF($C2779="","",IFERROR(INDEX(CAT_TIPO,MATCH($C2779,CAT_NOME,0)),"Sem categoria"))</f>
        <v/>
      </c>
      <c r="E2779" s="75">
        <f>IF($C2779="","",IFERROR(INDEX(CAT_GRUPO,MATCH($C2779,CAT_NOME,0)),"Sem categoria"))</f>
        <v/>
      </c>
      <c r="F2779" s="76" t="n"/>
      <c r="G2779" s="74" t="n"/>
      <c r="H2779" s="74" t="n"/>
      <c r="I2779" s="74" t="n"/>
      <c r="J2779" s="77" t="n"/>
      <c r="K2779" s="77" t="n"/>
      <c r="L2779" s="74" t="n"/>
      <c r="M2779" s="74" t="n"/>
      <c r="O2779" s="78">
        <f>IF($A2779="","",YEAR($A2779)*100+MONTH($A2779))</f>
        <v/>
      </c>
      <c r="P2779" s="79">
        <f>IF(OR($F2779="",$D2779=""),"",IF($D2779="Receita",$F2779,IF($D2779="Transferência",0,-$F2779)))</f>
        <v/>
      </c>
    </row>
    <row r="2780">
      <c r="A2780" s="73" t="n"/>
      <c r="B2780" s="74" t="n"/>
      <c r="C2780" s="74" t="n"/>
      <c r="D2780" s="75">
        <f>IF($C2780="","",IFERROR(INDEX(CAT_TIPO,MATCH($C2780,CAT_NOME,0)),"Sem categoria"))</f>
        <v/>
      </c>
      <c r="E2780" s="75">
        <f>IF($C2780="","",IFERROR(INDEX(CAT_GRUPO,MATCH($C2780,CAT_NOME,0)),"Sem categoria"))</f>
        <v/>
      </c>
      <c r="F2780" s="76" t="n"/>
      <c r="G2780" s="74" t="n"/>
      <c r="H2780" s="74" t="n"/>
      <c r="I2780" s="74" t="n"/>
      <c r="J2780" s="77" t="n"/>
      <c r="K2780" s="77" t="n"/>
      <c r="L2780" s="74" t="n"/>
      <c r="M2780" s="74" t="n"/>
      <c r="O2780" s="78">
        <f>IF($A2780="","",YEAR($A2780)*100+MONTH($A2780))</f>
        <v/>
      </c>
      <c r="P2780" s="79">
        <f>IF(OR($F2780="",$D2780=""),"",IF($D2780="Receita",$F2780,IF($D2780="Transferência",0,-$F2780)))</f>
        <v/>
      </c>
    </row>
    <row r="2781">
      <c r="A2781" s="73" t="n"/>
      <c r="B2781" s="74" t="n"/>
      <c r="C2781" s="74" t="n"/>
      <c r="D2781" s="75">
        <f>IF($C2781="","",IFERROR(INDEX(CAT_TIPO,MATCH($C2781,CAT_NOME,0)),"Sem categoria"))</f>
        <v/>
      </c>
      <c r="E2781" s="75">
        <f>IF($C2781="","",IFERROR(INDEX(CAT_GRUPO,MATCH($C2781,CAT_NOME,0)),"Sem categoria"))</f>
        <v/>
      </c>
      <c r="F2781" s="76" t="n"/>
      <c r="G2781" s="74" t="n"/>
      <c r="H2781" s="74" t="n"/>
      <c r="I2781" s="74" t="n"/>
      <c r="J2781" s="77" t="n"/>
      <c r="K2781" s="77" t="n"/>
      <c r="L2781" s="74" t="n"/>
      <c r="M2781" s="74" t="n"/>
      <c r="O2781" s="78">
        <f>IF($A2781="","",YEAR($A2781)*100+MONTH($A2781))</f>
        <v/>
      </c>
      <c r="P2781" s="79">
        <f>IF(OR($F2781="",$D2781=""),"",IF($D2781="Receita",$F2781,IF($D2781="Transferência",0,-$F2781)))</f>
        <v/>
      </c>
    </row>
    <row r="2782">
      <c r="A2782" s="73" t="n"/>
      <c r="B2782" s="74" t="n"/>
      <c r="C2782" s="74" t="n"/>
      <c r="D2782" s="75">
        <f>IF($C2782="","",IFERROR(INDEX(CAT_TIPO,MATCH($C2782,CAT_NOME,0)),"Sem categoria"))</f>
        <v/>
      </c>
      <c r="E2782" s="75">
        <f>IF($C2782="","",IFERROR(INDEX(CAT_GRUPO,MATCH($C2782,CAT_NOME,0)),"Sem categoria"))</f>
        <v/>
      </c>
      <c r="F2782" s="76" t="n"/>
      <c r="G2782" s="74" t="n"/>
      <c r="H2782" s="74" t="n"/>
      <c r="I2782" s="74" t="n"/>
      <c r="J2782" s="77" t="n"/>
      <c r="K2782" s="77" t="n"/>
      <c r="L2782" s="74" t="n"/>
      <c r="M2782" s="74" t="n"/>
      <c r="O2782" s="78">
        <f>IF($A2782="","",YEAR($A2782)*100+MONTH($A2782))</f>
        <v/>
      </c>
      <c r="P2782" s="79">
        <f>IF(OR($F2782="",$D2782=""),"",IF($D2782="Receita",$F2782,IF($D2782="Transferência",0,-$F2782)))</f>
        <v/>
      </c>
    </row>
    <row r="2783">
      <c r="A2783" s="73" t="n"/>
      <c r="B2783" s="74" t="n"/>
      <c r="C2783" s="74" t="n"/>
      <c r="D2783" s="75">
        <f>IF($C2783="","",IFERROR(INDEX(CAT_TIPO,MATCH($C2783,CAT_NOME,0)),"Sem categoria"))</f>
        <v/>
      </c>
      <c r="E2783" s="75">
        <f>IF($C2783="","",IFERROR(INDEX(CAT_GRUPO,MATCH($C2783,CAT_NOME,0)),"Sem categoria"))</f>
        <v/>
      </c>
      <c r="F2783" s="76" t="n"/>
      <c r="G2783" s="74" t="n"/>
      <c r="H2783" s="74" t="n"/>
      <c r="I2783" s="74" t="n"/>
      <c r="J2783" s="77" t="n"/>
      <c r="K2783" s="77" t="n"/>
      <c r="L2783" s="74" t="n"/>
      <c r="M2783" s="74" t="n"/>
      <c r="O2783" s="78">
        <f>IF($A2783="","",YEAR($A2783)*100+MONTH($A2783))</f>
        <v/>
      </c>
      <c r="P2783" s="79">
        <f>IF(OR($F2783="",$D2783=""),"",IF($D2783="Receita",$F2783,IF($D2783="Transferência",0,-$F2783)))</f>
        <v/>
      </c>
    </row>
    <row r="2784">
      <c r="A2784" s="73" t="n"/>
      <c r="B2784" s="74" t="n"/>
      <c r="C2784" s="74" t="n"/>
      <c r="D2784" s="75">
        <f>IF($C2784="","",IFERROR(INDEX(CAT_TIPO,MATCH($C2784,CAT_NOME,0)),"Sem categoria"))</f>
        <v/>
      </c>
      <c r="E2784" s="75">
        <f>IF($C2784="","",IFERROR(INDEX(CAT_GRUPO,MATCH($C2784,CAT_NOME,0)),"Sem categoria"))</f>
        <v/>
      </c>
      <c r="F2784" s="76" t="n"/>
      <c r="G2784" s="74" t="n"/>
      <c r="H2784" s="74" t="n"/>
      <c r="I2784" s="74" t="n"/>
      <c r="J2784" s="77" t="n"/>
      <c r="K2784" s="77" t="n"/>
      <c r="L2784" s="74" t="n"/>
      <c r="M2784" s="74" t="n"/>
      <c r="O2784" s="78">
        <f>IF($A2784="","",YEAR($A2784)*100+MONTH($A2784))</f>
        <v/>
      </c>
      <c r="P2784" s="79">
        <f>IF(OR($F2784="",$D2784=""),"",IF($D2784="Receita",$F2784,IF($D2784="Transferência",0,-$F2784)))</f>
        <v/>
      </c>
    </row>
    <row r="2785">
      <c r="A2785" s="73" t="n"/>
      <c r="B2785" s="74" t="n"/>
      <c r="C2785" s="74" t="n"/>
      <c r="D2785" s="75">
        <f>IF($C2785="","",IFERROR(INDEX(CAT_TIPO,MATCH($C2785,CAT_NOME,0)),"Sem categoria"))</f>
        <v/>
      </c>
      <c r="E2785" s="75">
        <f>IF($C2785="","",IFERROR(INDEX(CAT_GRUPO,MATCH($C2785,CAT_NOME,0)),"Sem categoria"))</f>
        <v/>
      </c>
      <c r="F2785" s="76" t="n"/>
      <c r="G2785" s="74" t="n"/>
      <c r="H2785" s="74" t="n"/>
      <c r="I2785" s="74" t="n"/>
      <c r="J2785" s="77" t="n"/>
      <c r="K2785" s="77" t="n"/>
      <c r="L2785" s="74" t="n"/>
      <c r="M2785" s="74" t="n"/>
      <c r="O2785" s="78">
        <f>IF($A2785="","",YEAR($A2785)*100+MONTH($A2785))</f>
        <v/>
      </c>
      <c r="P2785" s="79">
        <f>IF(OR($F2785="",$D2785=""),"",IF($D2785="Receita",$F2785,IF($D2785="Transferência",0,-$F2785)))</f>
        <v/>
      </c>
    </row>
    <row r="2786">
      <c r="A2786" s="73" t="n"/>
      <c r="B2786" s="74" t="n"/>
      <c r="C2786" s="74" t="n"/>
      <c r="D2786" s="75">
        <f>IF($C2786="","",IFERROR(INDEX(CAT_TIPO,MATCH($C2786,CAT_NOME,0)),"Sem categoria"))</f>
        <v/>
      </c>
      <c r="E2786" s="75">
        <f>IF($C2786="","",IFERROR(INDEX(CAT_GRUPO,MATCH($C2786,CAT_NOME,0)),"Sem categoria"))</f>
        <v/>
      </c>
      <c r="F2786" s="76" t="n"/>
      <c r="G2786" s="74" t="n"/>
      <c r="H2786" s="74" t="n"/>
      <c r="I2786" s="74" t="n"/>
      <c r="J2786" s="77" t="n"/>
      <c r="K2786" s="77" t="n"/>
      <c r="L2786" s="74" t="n"/>
      <c r="M2786" s="74" t="n"/>
      <c r="O2786" s="78">
        <f>IF($A2786="","",YEAR($A2786)*100+MONTH($A2786))</f>
        <v/>
      </c>
      <c r="P2786" s="79">
        <f>IF(OR($F2786="",$D2786=""),"",IF($D2786="Receita",$F2786,IF($D2786="Transferência",0,-$F2786)))</f>
        <v/>
      </c>
    </row>
    <row r="2787">
      <c r="A2787" s="73" t="n"/>
      <c r="B2787" s="74" t="n"/>
      <c r="C2787" s="74" t="n"/>
      <c r="D2787" s="75">
        <f>IF($C2787="","",IFERROR(INDEX(CAT_TIPO,MATCH($C2787,CAT_NOME,0)),"Sem categoria"))</f>
        <v/>
      </c>
      <c r="E2787" s="75">
        <f>IF($C2787="","",IFERROR(INDEX(CAT_GRUPO,MATCH($C2787,CAT_NOME,0)),"Sem categoria"))</f>
        <v/>
      </c>
      <c r="F2787" s="76" t="n"/>
      <c r="G2787" s="74" t="n"/>
      <c r="H2787" s="74" t="n"/>
      <c r="I2787" s="74" t="n"/>
      <c r="J2787" s="77" t="n"/>
      <c r="K2787" s="77" t="n"/>
      <c r="L2787" s="74" t="n"/>
      <c r="M2787" s="74" t="n"/>
      <c r="O2787" s="78">
        <f>IF($A2787="","",YEAR($A2787)*100+MONTH($A2787))</f>
        <v/>
      </c>
      <c r="P2787" s="79">
        <f>IF(OR($F2787="",$D2787=""),"",IF($D2787="Receita",$F2787,IF($D2787="Transferência",0,-$F2787)))</f>
        <v/>
      </c>
    </row>
    <row r="2788">
      <c r="A2788" s="73" t="n"/>
      <c r="B2788" s="74" t="n"/>
      <c r="C2788" s="74" t="n"/>
      <c r="D2788" s="75">
        <f>IF($C2788="","",IFERROR(INDEX(CAT_TIPO,MATCH($C2788,CAT_NOME,0)),"Sem categoria"))</f>
        <v/>
      </c>
      <c r="E2788" s="75">
        <f>IF($C2788="","",IFERROR(INDEX(CAT_GRUPO,MATCH($C2788,CAT_NOME,0)),"Sem categoria"))</f>
        <v/>
      </c>
      <c r="F2788" s="76" t="n"/>
      <c r="G2788" s="74" t="n"/>
      <c r="H2788" s="74" t="n"/>
      <c r="I2788" s="74" t="n"/>
      <c r="J2788" s="77" t="n"/>
      <c r="K2788" s="77" t="n"/>
      <c r="L2788" s="74" t="n"/>
      <c r="M2788" s="74" t="n"/>
      <c r="O2788" s="78">
        <f>IF($A2788="","",YEAR($A2788)*100+MONTH($A2788))</f>
        <v/>
      </c>
      <c r="P2788" s="79">
        <f>IF(OR($F2788="",$D2788=""),"",IF($D2788="Receita",$F2788,IF($D2788="Transferência",0,-$F2788)))</f>
        <v/>
      </c>
    </row>
    <row r="2789">
      <c r="A2789" s="73" t="n"/>
      <c r="B2789" s="74" t="n"/>
      <c r="C2789" s="74" t="n"/>
      <c r="D2789" s="75">
        <f>IF($C2789="","",IFERROR(INDEX(CAT_TIPO,MATCH($C2789,CAT_NOME,0)),"Sem categoria"))</f>
        <v/>
      </c>
      <c r="E2789" s="75">
        <f>IF($C2789="","",IFERROR(INDEX(CAT_GRUPO,MATCH($C2789,CAT_NOME,0)),"Sem categoria"))</f>
        <v/>
      </c>
      <c r="F2789" s="76" t="n"/>
      <c r="G2789" s="74" t="n"/>
      <c r="H2789" s="74" t="n"/>
      <c r="I2789" s="74" t="n"/>
      <c r="J2789" s="77" t="n"/>
      <c r="K2789" s="77" t="n"/>
      <c r="L2789" s="74" t="n"/>
      <c r="M2789" s="74" t="n"/>
      <c r="O2789" s="78">
        <f>IF($A2789="","",YEAR($A2789)*100+MONTH($A2789))</f>
        <v/>
      </c>
      <c r="P2789" s="79">
        <f>IF(OR($F2789="",$D2789=""),"",IF($D2789="Receita",$F2789,IF($D2789="Transferência",0,-$F2789)))</f>
        <v/>
      </c>
    </row>
    <row r="2790">
      <c r="A2790" s="73" t="n"/>
      <c r="B2790" s="74" t="n"/>
      <c r="C2790" s="74" t="n"/>
      <c r="D2790" s="75">
        <f>IF($C2790="","",IFERROR(INDEX(CAT_TIPO,MATCH($C2790,CAT_NOME,0)),"Sem categoria"))</f>
        <v/>
      </c>
      <c r="E2790" s="75">
        <f>IF($C2790="","",IFERROR(INDEX(CAT_GRUPO,MATCH($C2790,CAT_NOME,0)),"Sem categoria"))</f>
        <v/>
      </c>
      <c r="F2790" s="76" t="n"/>
      <c r="G2790" s="74" t="n"/>
      <c r="H2790" s="74" t="n"/>
      <c r="I2790" s="74" t="n"/>
      <c r="J2790" s="77" t="n"/>
      <c r="K2790" s="77" t="n"/>
      <c r="L2790" s="74" t="n"/>
      <c r="M2790" s="74" t="n"/>
      <c r="O2790" s="78">
        <f>IF($A2790="","",YEAR($A2790)*100+MONTH($A2790))</f>
        <v/>
      </c>
      <c r="P2790" s="79">
        <f>IF(OR($F2790="",$D2790=""),"",IF($D2790="Receita",$F2790,IF($D2790="Transferência",0,-$F2790)))</f>
        <v/>
      </c>
    </row>
    <row r="2791">
      <c r="A2791" s="73" t="n"/>
      <c r="B2791" s="74" t="n"/>
      <c r="C2791" s="74" t="n"/>
      <c r="D2791" s="75">
        <f>IF($C2791="","",IFERROR(INDEX(CAT_TIPO,MATCH($C2791,CAT_NOME,0)),"Sem categoria"))</f>
        <v/>
      </c>
      <c r="E2791" s="75">
        <f>IF($C2791="","",IFERROR(INDEX(CAT_GRUPO,MATCH($C2791,CAT_NOME,0)),"Sem categoria"))</f>
        <v/>
      </c>
      <c r="F2791" s="76" t="n"/>
      <c r="G2791" s="74" t="n"/>
      <c r="H2791" s="74" t="n"/>
      <c r="I2791" s="74" t="n"/>
      <c r="J2791" s="77" t="n"/>
      <c r="K2791" s="77" t="n"/>
      <c r="L2791" s="74" t="n"/>
      <c r="M2791" s="74" t="n"/>
      <c r="O2791" s="78">
        <f>IF($A2791="","",YEAR($A2791)*100+MONTH($A2791))</f>
        <v/>
      </c>
      <c r="P2791" s="79">
        <f>IF(OR($F2791="",$D2791=""),"",IF($D2791="Receita",$F2791,IF($D2791="Transferência",0,-$F2791)))</f>
        <v/>
      </c>
    </row>
    <row r="2792">
      <c r="A2792" s="73" t="n"/>
      <c r="B2792" s="74" t="n"/>
      <c r="C2792" s="74" t="n"/>
      <c r="D2792" s="75">
        <f>IF($C2792="","",IFERROR(INDEX(CAT_TIPO,MATCH($C2792,CAT_NOME,0)),"Sem categoria"))</f>
        <v/>
      </c>
      <c r="E2792" s="75">
        <f>IF($C2792="","",IFERROR(INDEX(CAT_GRUPO,MATCH($C2792,CAT_NOME,0)),"Sem categoria"))</f>
        <v/>
      </c>
      <c r="F2792" s="76" t="n"/>
      <c r="G2792" s="74" t="n"/>
      <c r="H2792" s="74" t="n"/>
      <c r="I2792" s="74" t="n"/>
      <c r="J2792" s="77" t="n"/>
      <c r="K2792" s="77" t="n"/>
      <c r="L2792" s="74" t="n"/>
      <c r="M2792" s="74" t="n"/>
      <c r="O2792" s="78">
        <f>IF($A2792="","",YEAR($A2792)*100+MONTH($A2792))</f>
        <v/>
      </c>
      <c r="P2792" s="79">
        <f>IF(OR($F2792="",$D2792=""),"",IF($D2792="Receita",$F2792,IF($D2792="Transferência",0,-$F2792)))</f>
        <v/>
      </c>
    </row>
    <row r="2793">
      <c r="A2793" s="73" t="n"/>
      <c r="B2793" s="74" t="n"/>
      <c r="C2793" s="74" t="n"/>
      <c r="D2793" s="75">
        <f>IF($C2793="","",IFERROR(INDEX(CAT_TIPO,MATCH($C2793,CAT_NOME,0)),"Sem categoria"))</f>
        <v/>
      </c>
      <c r="E2793" s="75">
        <f>IF($C2793="","",IFERROR(INDEX(CAT_GRUPO,MATCH($C2793,CAT_NOME,0)),"Sem categoria"))</f>
        <v/>
      </c>
      <c r="F2793" s="76" t="n"/>
      <c r="G2793" s="74" t="n"/>
      <c r="H2793" s="74" t="n"/>
      <c r="I2793" s="74" t="n"/>
      <c r="J2793" s="77" t="n"/>
      <c r="K2793" s="77" t="n"/>
      <c r="L2793" s="74" t="n"/>
      <c r="M2793" s="74" t="n"/>
      <c r="O2793" s="78">
        <f>IF($A2793="","",YEAR($A2793)*100+MONTH($A2793))</f>
        <v/>
      </c>
      <c r="P2793" s="79">
        <f>IF(OR($F2793="",$D2793=""),"",IF($D2793="Receita",$F2793,IF($D2793="Transferência",0,-$F2793)))</f>
        <v/>
      </c>
    </row>
    <row r="2794">
      <c r="A2794" s="73" t="n"/>
      <c r="B2794" s="74" t="n"/>
      <c r="C2794" s="74" t="n"/>
      <c r="D2794" s="75">
        <f>IF($C2794="","",IFERROR(INDEX(CAT_TIPO,MATCH($C2794,CAT_NOME,0)),"Sem categoria"))</f>
        <v/>
      </c>
      <c r="E2794" s="75">
        <f>IF($C2794="","",IFERROR(INDEX(CAT_GRUPO,MATCH($C2794,CAT_NOME,0)),"Sem categoria"))</f>
        <v/>
      </c>
      <c r="F2794" s="76" t="n"/>
      <c r="G2794" s="74" t="n"/>
      <c r="H2794" s="74" t="n"/>
      <c r="I2794" s="74" t="n"/>
      <c r="J2794" s="77" t="n"/>
      <c r="K2794" s="77" t="n"/>
      <c r="L2794" s="74" t="n"/>
      <c r="M2794" s="74" t="n"/>
      <c r="O2794" s="78">
        <f>IF($A2794="","",YEAR($A2794)*100+MONTH($A2794))</f>
        <v/>
      </c>
      <c r="P2794" s="79">
        <f>IF(OR($F2794="",$D2794=""),"",IF($D2794="Receita",$F2794,IF($D2794="Transferência",0,-$F2794)))</f>
        <v/>
      </c>
    </row>
    <row r="2795">
      <c r="A2795" s="73" t="n"/>
      <c r="B2795" s="74" t="n"/>
      <c r="C2795" s="74" t="n"/>
      <c r="D2795" s="75">
        <f>IF($C2795="","",IFERROR(INDEX(CAT_TIPO,MATCH($C2795,CAT_NOME,0)),"Sem categoria"))</f>
        <v/>
      </c>
      <c r="E2795" s="75">
        <f>IF($C2795="","",IFERROR(INDEX(CAT_GRUPO,MATCH($C2795,CAT_NOME,0)),"Sem categoria"))</f>
        <v/>
      </c>
      <c r="F2795" s="76" t="n"/>
      <c r="G2795" s="74" t="n"/>
      <c r="H2795" s="74" t="n"/>
      <c r="I2795" s="74" t="n"/>
      <c r="J2795" s="77" t="n"/>
      <c r="K2795" s="77" t="n"/>
      <c r="L2795" s="74" t="n"/>
      <c r="M2795" s="74" t="n"/>
      <c r="O2795" s="78">
        <f>IF($A2795="","",YEAR($A2795)*100+MONTH($A2795))</f>
        <v/>
      </c>
      <c r="P2795" s="79">
        <f>IF(OR($F2795="",$D2795=""),"",IF($D2795="Receita",$F2795,IF($D2795="Transferência",0,-$F2795)))</f>
        <v/>
      </c>
    </row>
    <row r="2796">
      <c r="A2796" s="73" t="n"/>
      <c r="B2796" s="74" t="n"/>
      <c r="C2796" s="74" t="n"/>
      <c r="D2796" s="75">
        <f>IF($C2796="","",IFERROR(INDEX(CAT_TIPO,MATCH($C2796,CAT_NOME,0)),"Sem categoria"))</f>
        <v/>
      </c>
      <c r="E2796" s="75">
        <f>IF($C2796="","",IFERROR(INDEX(CAT_GRUPO,MATCH($C2796,CAT_NOME,0)),"Sem categoria"))</f>
        <v/>
      </c>
      <c r="F2796" s="76" t="n"/>
      <c r="G2796" s="74" t="n"/>
      <c r="H2796" s="74" t="n"/>
      <c r="I2796" s="74" t="n"/>
      <c r="J2796" s="77" t="n"/>
      <c r="K2796" s="77" t="n"/>
      <c r="L2796" s="74" t="n"/>
      <c r="M2796" s="74" t="n"/>
      <c r="O2796" s="78">
        <f>IF($A2796="","",YEAR($A2796)*100+MONTH($A2796))</f>
        <v/>
      </c>
      <c r="P2796" s="79">
        <f>IF(OR($F2796="",$D2796=""),"",IF($D2796="Receita",$F2796,IF($D2796="Transferência",0,-$F2796)))</f>
        <v/>
      </c>
    </row>
    <row r="2797">
      <c r="A2797" s="73" t="n"/>
      <c r="B2797" s="74" t="n"/>
      <c r="C2797" s="74" t="n"/>
      <c r="D2797" s="75">
        <f>IF($C2797="","",IFERROR(INDEX(CAT_TIPO,MATCH($C2797,CAT_NOME,0)),"Sem categoria"))</f>
        <v/>
      </c>
      <c r="E2797" s="75">
        <f>IF($C2797="","",IFERROR(INDEX(CAT_GRUPO,MATCH($C2797,CAT_NOME,0)),"Sem categoria"))</f>
        <v/>
      </c>
      <c r="F2797" s="76" t="n"/>
      <c r="G2797" s="74" t="n"/>
      <c r="H2797" s="74" t="n"/>
      <c r="I2797" s="74" t="n"/>
      <c r="J2797" s="77" t="n"/>
      <c r="K2797" s="77" t="n"/>
      <c r="L2797" s="74" t="n"/>
      <c r="M2797" s="74" t="n"/>
      <c r="O2797" s="78">
        <f>IF($A2797="","",YEAR($A2797)*100+MONTH($A2797))</f>
        <v/>
      </c>
      <c r="P2797" s="79">
        <f>IF(OR($F2797="",$D2797=""),"",IF($D2797="Receita",$F2797,IF($D2797="Transferência",0,-$F2797)))</f>
        <v/>
      </c>
    </row>
    <row r="2798">
      <c r="A2798" s="73" t="n"/>
      <c r="B2798" s="74" t="n"/>
      <c r="C2798" s="74" t="n"/>
      <c r="D2798" s="75">
        <f>IF($C2798="","",IFERROR(INDEX(CAT_TIPO,MATCH($C2798,CAT_NOME,0)),"Sem categoria"))</f>
        <v/>
      </c>
      <c r="E2798" s="75">
        <f>IF($C2798="","",IFERROR(INDEX(CAT_GRUPO,MATCH($C2798,CAT_NOME,0)),"Sem categoria"))</f>
        <v/>
      </c>
      <c r="F2798" s="76" t="n"/>
      <c r="G2798" s="74" t="n"/>
      <c r="H2798" s="74" t="n"/>
      <c r="I2798" s="74" t="n"/>
      <c r="J2798" s="77" t="n"/>
      <c r="K2798" s="77" t="n"/>
      <c r="L2798" s="74" t="n"/>
      <c r="M2798" s="74" t="n"/>
      <c r="O2798" s="78">
        <f>IF($A2798="","",YEAR($A2798)*100+MONTH($A2798))</f>
        <v/>
      </c>
      <c r="P2798" s="79">
        <f>IF(OR($F2798="",$D2798=""),"",IF($D2798="Receita",$F2798,IF($D2798="Transferência",0,-$F2798)))</f>
        <v/>
      </c>
    </row>
    <row r="2799">
      <c r="A2799" s="73" t="n"/>
      <c r="B2799" s="74" t="n"/>
      <c r="C2799" s="74" t="n"/>
      <c r="D2799" s="75">
        <f>IF($C2799="","",IFERROR(INDEX(CAT_TIPO,MATCH($C2799,CAT_NOME,0)),"Sem categoria"))</f>
        <v/>
      </c>
      <c r="E2799" s="75">
        <f>IF($C2799="","",IFERROR(INDEX(CAT_GRUPO,MATCH($C2799,CAT_NOME,0)),"Sem categoria"))</f>
        <v/>
      </c>
      <c r="F2799" s="76" t="n"/>
      <c r="G2799" s="74" t="n"/>
      <c r="H2799" s="74" t="n"/>
      <c r="I2799" s="74" t="n"/>
      <c r="J2799" s="77" t="n"/>
      <c r="K2799" s="77" t="n"/>
      <c r="L2799" s="74" t="n"/>
      <c r="M2799" s="74" t="n"/>
      <c r="O2799" s="78">
        <f>IF($A2799="","",YEAR($A2799)*100+MONTH($A2799))</f>
        <v/>
      </c>
      <c r="P2799" s="79">
        <f>IF(OR($F2799="",$D2799=""),"",IF($D2799="Receita",$F2799,IF($D2799="Transferência",0,-$F2799)))</f>
        <v/>
      </c>
    </row>
    <row r="2800">
      <c r="A2800" s="73" t="n"/>
      <c r="B2800" s="74" t="n"/>
      <c r="C2800" s="74" t="n"/>
      <c r="D2800" s="75">
        <f>IF($C2800="","",IFERROR(INDEX(CAT_TIPO,MATCH($C2800,CAT_NOME,0)),"Sem categoria"))</f>
        <v/>
      </c>
      <c r="E2800" s="75">
        <f>IF($C2800="","",IFERROR(INDEX(CAT_GRUPO,MATCH($C2800,CAT_NOME,0)),"Sem categoria"))</f>
        <v/>
      </c>
      <c r="F2800" s="76" t="n"/>
      <c r="G2800" s="74" t="n"/>
      <c r="H2800" s="74" t="n"/>
      <c r="I2800" s="74" t="n"/>
      <c r="J2800" s="77" t="n"/>
      <c r="K2800" s="77" t="n"/>
      <c r="L2800" s="74" t="n"/>
      <c r="M2800" s="74" t="n"/>
      <c r="O2800" s="78">
        <f>IF($A2800="","",YEAR($A2800)*100+MONTH($A2800))</f>
        <v/>
      </c>
      <c r="P2800" s="79">
        <f>IF(OR($F2800="",$D2800=""),"",IF($D2800="Receita",$F2800,IF($D2800="Transferência",0,-$F2800)))</f>
        <v/>
      </c>
    </row>
    <row r="2801">
      <c r="A2801" s="73" t="n"/>
      <c r="B2801" s="74" t="n"/>
      <c r="C2801" s="74" t="n"/>
      <c r="D2801" s="75">
        <f>IF($C2801="","",IFERROR(INDEX(CAT_TIPO,MATCH($C2801,CAT_NOME,0)),"Sem categoria"))</f>
        <v/>
      </c>
      <c r="E2801" s="75">
        <f>IF($C2801="","",IFERROR(INDEX(CAT_GRUPO,MATCH($C2801,CAT_NOME,0)),"Sem categoria"))</f>
        <v/>
      </c>
      <c r="F2801" s="76" t="n"/>
      <c r="G2801" s="74" t="n"/>
      <c r="H2801" s="74" t="n"/>
      <c r="I2801" s="74" t="n"/>
      <c r="J2801" s="77" t="n"/>
      <c r="K2801" s="77" t="n"/>
      <c r="L2801" s="74" t="n"/>
      <c r="M2801" s="74" t="n"/>
      <c r="O2801" s="78">
        <f>IF($A2801="","",YEAR($A2801)*100+MONTH($A2801))</f>
        <v/>
      </c>
      <c r="P2801" s="79">
        <f>IF(OR($F2801="",$D2801=""),"",IF($D2801="Receita",$F2801,IF($D2801="Transferência",0,-$F2801)))</f>
        <v/>
      </c>
    </row>
    <row r="2802">
      <c r="A2802" s="73" t="n"/>
      <c r="B2802" s="74" t="n"/>
      <c r="C2802" s="74" t="n"/>
      <c r="D2802" s="75">
        <f>IF($C2802="","",IFERROR(INDEX(CAT_TIPO,MATCH($C2802,CAT_NOME,0)),"Sem categoria"))</f>
        <v/>
      </c>
      <c r="E2802" s="75">
        <f>IF($C2802="","",IFERROR(INDEX(CAT_GRUPO,MATCH($C2802,CAT_NOME,0)),"Sem categoria"))</f>
        <v/>
      </c>
      <c r="F2802" s="76" t="n"/>
      <c r="G2802" s="74" t="n"/>
      <c r="H2802" s="74" t="n"/>
      <c r="I2802" s="74" t="n"/>
      <c r="J2802" s="77" t="n"/>
      <c r="K2802" s="77" t="n"/>
      <c r="L2802" s="74" t="n"/>
      <c r="M2802" s="74" t="n"/>
      <c r="O2802" s="78">
        <f>IF($A2802="","",YEAR($A2802)*100+MONTH($A2802))</f>
        <v/>
      </c>
      <c r="P2802" s="79">
        <f>IF(OR($F2802="",$D2802=""),"",IF($D2802="Receita",$F2802,IF($D2802="Transferência",0,-$F2802)))</f>
        <v/>
      </c>
    </row>
    <row r="2803">
      <c r="A2803" s="73" t="n"/>
      <c r="B2803" s="74" t="n"/>
      <c r="C2803" s="74" t="n"/>
      <c r="D2803" s="75">
        <f>IF($C2803="","",IFERROR(INDEX(CAT_TIPO,MATCH($C2803,CAT_NOME,0)),"Sem categoria"))</f>
        <v/>
      </c>
      <c r="E2803" s="75">
        <f>IF($C2803="","",IFERROR(INDEX(CAT_GRUPO,MATCH($C2803,CAT_NOME,0)),"Sem categoria"))</f>
        <v/>
      </c>
      <c r="F2803" s="76" t="n"/>
      <c r="G2803" s="74" t="n"/>
      <c r="H2803" s="74" t="n"/>
      <c r="I2803" s="74" t="n"/>
      <c r="J2803" s="77" t="n"/>
      <c r="K2803" s="77" t="n"/>
      <c r="L2803" s="74" t="n"/>
      <c r="M2803" s="74" t="n"/>
      <c r="O2803" s="78">
        <f>IF($A2803="","",YEAR($A2803)*100+MONTH($A2803))</f>
        <v/>
      </c>
      <c r="P2803" s="79">
        <f>IF(OR($F2803="",$D2803=""),"",IF($D2803="Receita",$F2803,IF($D2803="Transferência",0,-$F2803)))</f>
        <v/>
      </c>
    </row>
    <row r="2804">
      <c r="A2804" s="73" t="n"/>
      <c r="B2804" s="74" t="n"/>
      <c r="C2804" s="74" t="n"/>
      <c r="D2804" s="75">
        <f>IF($C2804="","",IFERROR(INDEX(CAT_TIPO,MATCH($C2804,CAT_NOME,0)),"Sem categoria"))</f>
        <v/>
      </c>
      <c r="E2804" s="75">
        <f>IF($C2804="","",IFERROR(INDEX(CAT_GRUPO,MATCH($C2804,CAT_NOME,0)),"Sem categoria"))</f>
        <v/>
      </c>
      <c r="F2804" s="76" t="n"/>
      <c r="G2804" s="74" t="n"/>
      <c r="H2804" s="74" t="n"/>
      <c r="I2804" s="74" t="n"/>
      <c r="J2804" s="77" t="n"/>
      <c r="K2804" s="77" t="n"/>
      <c r="L2804" s="74" t="n"/>
      <c r="M2804" s="74" t="n"/>
      <c r="O2804" s="78">
        <f>IF($A2804="","",YEAR($A2804)*100+MONTH($A2804))</f>
        <v/>
      </c>
      <c r="P2804" s="79">
        <f>IF(OR($F2804="",$D2804=""),"",IF($D2804="Receita",$F2804,IF($D2804="Transferência",0,-$F2804)))</f>
        <v/>
      </c>
    </row>
    <row r="2805">
      <c r="A2805" s="73" t="n"/>
      <c r="B2805" s="74" t="n"/>
      <c r="C2805" s="74" t="n"/>
      <c r="D2805" s="75">
        <f>IF($C2805="","",IFERROR(INDEX(CAT_TIPO,MATCH($C2805,CAT_NOME,0)),"Sem categoria"))</f>
        <v/>
      </c>
      <c r="E2805" s="75">
        <f>IF($C2805="","",IFERROR(INDEX(CAT_GRUPO,MATCH($C2805,CAT_NOME,0)),"Sem categoria"))</f>
        <v/>
      </c>
      <c r="F2805" s="76" t="n"/>
      <c r="G2805" s="74" t="n"/>
      <c r="H2805" s="74" t="n"/>
      <c r="I2805" s="74" t="n"/>
      <c r="J2805" s="77" t="n"/>
      <c r="K2805" s="77" t="n"/>
      <c r="L2805" s="74" t="n"/>
      <c r="M2805" s="74" t="n"/>
      <c r="O2805" s="78">
        <f>IF($A2805="","",YEAR($A2805)*100+MONTH($A2805))</f>
        <v/>
      </c>
      <c r="P2805" s="79">
        <f>IF(OR($F2805="",$D2805=""),"",IF($D2805="Receita",$F2805,IF($D2805="Transferência",0,-$F2805)))</f>
        <v/>
      </c>
    </row>
    <row r="2806">
      <c r="A2806" s="73" t="n"/>
      <c r="B2806" s="74" t="n"/>
      <c r="C2806" s="74" t="n"/>
      <c r="D2806" s="75">
        <f>IF($C2806="","",IFERROR(INDEX(CAT_TIPO,MATCH($C2806,CAT_NOME,0)),"Sem categoria"))</f>
        <v/>
      </c>
      <c r="E2806" s="75">
        <f>IF($C2806="","",IFERROR(INDEX(CAT_GRUPO,MATCH($C2806,CAT_NOME,0)),"Sem categoria"))</f>
        <v/>
      </c>
      <c r="F2806" s="76" t="n"/>
      <c r="G2806" s="74" t="n"/>
      <c r="H2806" s="74" t="n"/>
      <c r="I2806" s="74" t="n"/>
      <c r="J2806" s="77" t="n"/>
      <c r="K2806" s="77" t="n"/>
      <c r="L2806" s="74" t="n"/>
      <c r="M2806" s="74" t="n"/>
      <c r="O2806" s="78">
        <f>IF($A2806="","",YEAR($A2806)*100+MONTH($A2806))</f>
        <v/>
      </c>
      <c r="P2806" s="79">
        <f>IF(OR($F2806="",$D2806=""),"",IF($D2806="Receita",$F2806,IF($D2806="Transferência",0,-$F2806)))</f>
        <v/>
      </c>
    </row>
    <row r="2807">
      <c r="A2807" s="73" t="n"/>
      <c r="B2807" s="74" t="n"/>
      <c r="C2807" s="74" t="n"/>
      <c r="D2807" s="75">
        <f>IF($C2807="","",IFERROR(INDEX(CAT_TIPO,MATCH($C2807,CAT_NOME,0)),"Sem categoria"))</f>
        <v/>
      </c>
      <c r="E2807" s="75">
        <f>IF($C2807="","",IFERROR(INDEX(CAT_GRUPO,MATCH($C2807,CAT_NOME,0)),"Sem categoria"))</f>
        <v/>
      </c>
      <c r="F2807" s="76" t="n"/>
      <c r="G2807" s="74" t="n"/>
      <c r="H2807" s="74" t="n"/>
      <c r="I2807" s="74" t="n"/>
      <c r="J2807" s="77" t="n"/>
      <c r="K2807" s="77" t="n"/>
      <c r="L2807" s="74" t="n"/>
      <c r="M2807" s="74" t="n"/>
      <c r="O2807" s="78">
        <f>IF($A2807="","",YEAR($A2807)*100+MONTH($A2807))</f>
        <v/>
      </c>
      <c r="P2807" s="79">
        <f>IF(OR($F2807="",$D2807=""),"",IF($D2807="Receita",$F2807,IF($D2807="Transferência",0,-$F2807)))</f>
        <v/>
      </c>
    </row>
    <row r="2808">
      <c r="A2808" s="73" t="n"/>
      <c r="B2808" s="74" t="n"/>
      <c r="C2808" s="74" t="n"/>
      <c r="D2808" s="75">
        <f>IF($C2808="","",IFERROR(INDEX(CAT_TIPO,MATCH($C2808,CAT_NOME,0)),"Sem categoria"))</f>
        <v/>
      </c>
      <c r="E2808" s="75">
        <f>IF($C2808="","",IFERROR(INDEX(CAT_GRUPO,MATCH($C2808,CAT_NOME,0)),"Sem categoria"))</f>
        <v/>
      </c>
      <c r="F2808" s="76" t="n"/>
      <c r="G2808" s="74" t="n"/>
      <c r="H2808" s="74" t="n"/>
      <c r="I2808" s="74" t="n"/>
      <c r="J2808" s="77" t="n"/>
      <c r="K2808" s="77" t="n"/>
      <c r="L2808" s="74" t="n"/>
      <c r="M2808" s="74" t="n"/>
      <c r="O2808" s="78">
        <f>IF($A2808="","",YEAR($A2808)*100+MONTH($A2808))</f>
        <v/>
      </c>
      <c r="P2808" s="79">
        <f>IF(OR($F2808="",$D2808=""),"",IF($D2808="Receita",$F2808,IF($D2808="Transferência",0,-$F2808)))</f>
        <v/>
      </c>
    </row>
    <row r="2809">
      <c r="A2809" s="73" t="n"/>
      <c r="B2809" s="74" t="n"/>
      <c r="C2809" s="74" t="n"/>
      <c r="D2809" s="75">
        <f>IF($C2809="","",IFERROR(INDEX(CAT_TIPO,MATCH($C2809,CAT_NOME,0)),"Sem categoria"))</f>
        <v/>
      </c>
      <c r="E2809" s="75">
        <f>IF($C2809="","",IFERROR(INDEX(CAT_GRUPO,MATCH($C2809,CAT_NOME,0)),"Sem categoria"))</f>
        <v/>
      </c>
      <c r="F2809" s="76" t="n"/>
      <c r="G2809" s="74" t="n"/>
      <c r="H2809" s="74" t="n"/>
      <c r="I2809" s="74" t="n"/>
      <c r="J2809" s="77" t="n"/>
      <c r="K2809" s="77" t="n"/>
      <c r="L2809" s="74" t="n"/>
      <c r="M2809" s="74" t="n"/>
      <c r="O2809" s="78">
        <f>IF($A2809="","",YEAR($A2809)*100+MONTH($A2809))</f>
        <v/>
      </c>
      <c r="P2809" s="79">
        <f>IF(OR($F2809="",$D2809=""),"",IF($D2809="Receita",$F2809,IF($D2809="Transferência",0,-$F2809)))</f>
        <v/>
      </c>
    </row>
    <row r="2810">
      <c r="A2810" s="73" t="n"/>
      <c r="B2810" s="74" t="n"/>
      <c r="C2810" s="74" t="n"/>
      <c r="D2810" s="75">
        <f>IF($C2810="","",IFERROR(INDEX(CAT_TIPO,MATCH($C2810,CAT_NOME,0)),"Sem categoria"))</f>
        <v/>
      </c>
      <c r="E2810" s="75">
        <f>IF($C2810="","",IFERROR(INDEX(CAT_GRUPO,MATCH($C2810,CAT_NOME,0)),"Sem categoria"))</f>
        <v/>
      </c>
      <c r="F2810" s="76" t="n"/>
      <c r="G2810" s="74" t="n"/>
      <c r="H2810" s="74" t="n"/>
      <c r="I2810" s="74" t="n"/>
      <c r="J2810" s="77" t="n"/>
      <c r="K2810" s="77" t="n"/>
      <c r="L2810" s="74" t="n"/>
      <c r="M2810" s="74" t="n"/>
      <c r="O2810" s="78">
        <f>IF($A2810="","",YEAR($A2810)*100+MONTH($A2810))</f>
        <v/>
      </c>
      <c r="P2810" s="79">
        <f>IF(OR($F2810="",$D2810=""),"",IF($D2810="Receita",$F2810,IF($D2810="Transferência",0,-$F2810)))</f>
        <v/>
      </c>
    </row>
    <row r="2811">
      <c r="A2811" s="73" t="n"/>
      <c r="B2811" s="74" t="n"/>
      <c r="C2811" s="74" t="n"/>
      <c r="D2811" s="75">
        <f>IF($C2811="","",IFERROR(INDEX(CAT_TIPO,MATCH($C2811,CAT_NOME,0)),"Sem categoria"))</f>
        <v/>
      </c>
      <c r="E2811" s="75">
        <f>IF($C2811="","",IFERROR(INDEX(CAT_GRUPO,MATCH($C2811,CAT_NOME,0)),"Sem categoria"))</f>
        <v/>
      </c>
      <c r="F2811" s="76" t="n"/>
      <c r="G2811" s="74" t="n"/>
      <c r="H2811" s="74" t="n"/>
      <c r="I2811" s="74" t="n"/>
      <c r="J2811" s="77" t="n"/>
      <c r="K2811" s="77" t="n"/>
      <c r="L2811" s="74" t="n"/>
      <c r="M2811" s="74" t="n"/>
      <c r="O2811" s="78">
        <f>IF($A2811="","",YEAR($A2811)*100+MONTH($A2811))</f>
        <v/>
      </c>
      <c r="P2811" s="79">
        <f>IF(OR($F2811="",$D2811=""),"",IF($D2811="Receita",$F2811,IF($D2811="Transferência",0,-$F2811)))</f>
        <v/>
      </c>
    </row>
    <row r="2812">
      <c r="A2812" s="73" t="n"/>
      <c r="B2812" s="74" t="n"/>
      <c r="C2812" s="74" t="n"/>
      <c r="D2812" s="75">
        <f>IF($C2812="","",IFERROR(INDEX(CAT_TIPO,MATCH($C2812,CAT_NOME,0)),"Sem categoria"))</f>
        <v/>
      </c>
      <c r="E2812" s="75">
        <f>IF($C2812="","",IFERROR(INDEX(CAT_GRUPO,MATCH($C2812,CAT_NOME,0)),"Sem categoria"))</f>
        <v/>
      </c>
      <c r="F2812" s="76" t="n"/>
      <c r="G2812" s="74" t="n"/>
      <c r="H2812" s="74" t="n"/>
      <c r="I2812" s="74" t="n"/>
      <c r="J2812" s="77" t="n"/>
      <c r="K2812" s="77" t="n"/>
      <c r="L2812" s="74" t="n"/>
      <c r="M2812" s="74" t="n"/>
      <c r="O2812" s="78">
        <f>IF($A2812="","",YEAR($A2812)*100+MONTH($A2812))</f>
        <v/>
      </c>
      <c r="P2812" s="79">
        <f>IF(OR($F2812="",$D2812=""),"",IF($D2812="Receita",$F2812,IF($D2812="Transferência",0,-$F2812)))</f>
        <v/>
      </c>
    </row>
    <row r="2813">
      <c r="A2813" s="73" t="n"/>
      <c r="B2813" s="74" t="n"/>
      <c r="C2813" s="74" t="n"/>
      <c r="D2813" s="75">
        <f>IF($C2813="","",IFERROR(INDEX(CAT_TIPO,MATCH($C2813,CAT_NOME,0)),"Sem categoria"))</f>
        <v/>
      </c>
      <c r="E2813" s="75">
        <f>IF($C2813="","",IFERROR(INDEX(CAT_GRUPO,MATCH($C2813,CAT_NOME,0)),"Sem categoria"))</f>
        <v/>
      </c>
      <c r="F2813" s="76" t="n"/>
      <c r="G2813" s="74" t="n"/>
      <c r="H2813" s="74" t="n"/>
      <c r="I2813" s="74" t="n"/>
      <c r="J2813" s="77" t="n"/>
      <c r="K2813" s="77" t="n"/>
      <c r="L2813" s="74" t="n"/>
      <c r="M2813" s="74" t="n"/>
      <c r="O2813" s="78">
        <f>IF($A2813="","",YEAR($A2813)*100+MONTH($A2813))</f>
        <v/>
      </c>
      <c r="P2813" s="79">
        <f>IF(OR($F2813="",$D2813=""),"",IF($D2813="Receita",$F2813,IF($D2813="Transferência",0,-$F2813)))</f>
        <v/>
      </c>
    </row>
    <row r="2814">
      <c r="A2814" s="73" t="n"/>
      <c r="B2814" s="74" t="n"/>
      <c r="C2814" s="74" t="n"/>
      <c r="D2814" s="75">
        <f>IF($C2814="","",IFERROR(INDEX(CAT_TIPO,MATCH($C2814,CAT_NOME,0)),"Sem categoria"))</f>
        <v/>
      </c>
      <c r="E2814" s="75">
        <f>IF($C2814="","",IFERROR(INDEX(CAT_GRUPO,MATCH($C2814,CAT_NOME,0)),"Sem categoria"))</f>
        <v/>
      </c>
      <c r="F2814" s="76" t="n"/>
      <c r="G2814" s="74" t="n"/>
      <c r="H2814" s="74" t="n"/>
      <c r="I2814" s="74" t="n"/>
      <c r="J2814" s="77" t="n"/>
      <c r="K2814" s="77" t="n"/>
      <c r="L2814" s="74" t="n"/>
      <c r="M2814" s="74" t="n"/>
      <c r="O2814" s="78">
        <f>IF($A2814="","",YEAR($A2814)*100+MONTH($A2814))</f>
        <v/>
      </c>
      <c r="P2814" s="79">
        <f>IF(OR($F2814="",$D2814=""),"",IF($D2814="Receita",$F2814,IF($D2814="Transferência",0,-$F2814)))</f>
        <v/>
      </c>
    </row>
    <row r="2815">
      <c r="A2815" s="73" t="n"/>
      <c r="B2815" s="74" t="n"/>
      <c r="C2815" s="74" t="n"/>
      <c r="D2815" s="75">
        <f>IF($C2815="","",IFERROR(INDEX(CAT_TIPO,MATCH($C2815,CAT_NOME,0)),"Sem categoria"))</f>
        <v/>
      </c>
      <c r="E2815" s="75">
        <f>IF($C2815="","",IFERROR(INDEX(CAT_GRUPO,MATCH($C2815,CAT_NOME,0)),"Sem categoria"))</f>
        <v/>
      </c>
      <c r="F2815" s="76" t="n"/>
      <c r="G2815" s="74" t="n"/>
      <c r="H2815" s="74" t="n"/>
      <c r="I2815" s="74" t="n"/>
      <c r="J2815" s="77" t="n"/>
      <c r="K2815" s="77" t="n"/>
      <c r="L2815" s="74" t="n"/>
      <c r="M2815" s="74" t="n"/>
      <c r="O2815" s="78">
        <f>IF($A2815="","",YEAR($A2815)*100+MONTH($A2815))</f>
        <v/>
      </c>
      <c r="P2815" s="79">
        <f>IF(OR($F2815="",$D2815=""),"",IF($D2815="Receita",$F2815,IF($D2815="Transferência",0,-$F2815)))</f>
        <v/>
      </c>
    </row>
    <row r="2816">
      <c r="A2816" s="73" t="n"/>
      <c r="B2816" s="74" t="n"/>
      <c r="C2816" s="74" t="n"/>
      <c r="D2816" s="75">
        <f>IF($C2816="","",IFERROR(INDEX(CAT_TIPO,MATCH($C2816,CAT_NOME,0)),"Sem categoria"))</f>
        <v/>
      </c>
      <c r="E2816" s="75">
        <f>IF($C2816="","",IFERROR(INDEX(CAT_GRUPO,MATCH($C2816,CAT_NOME,0)),"Sem categoria"))</f>
        <v/>
      </c>
      <c r="F2816" s="76" t="n"/>
      <c r="G2816" s="74" t="n"/>
      <c r="H2816" s="74" t="n"/>
      <c r="I2816" s="74" t="n"/>
      <c r="J2816" s="77" t="n"/>
      <c r="K2816" s="77" t="n"/>
      <c r="L2816" s="74" t="n"/>
      <c r="M2816" s="74" t="n"/>
      <c r="O2816" s="78">
        <f>IF($A2816="","",YEAR($A2816)*100+MONTH($A2816))</f>
        <v/>
      </c>
      <c r="P2816" s="79">
        <f>IF(OR($F2816="",$D2816=""),"",IF($D2816="Receita",$F2816,IF($D2816="Transferência",0,-$F2816)))</f>
        <v/>
      </c>
    </row>
    <row r="2817">
      <c r="A2817" s="73" t="n"/>
      <c r="B2817" s="74" t="n"/>
      <c r="C2817" s="74" t="n"/>
      <c r="D2817" s="75">
        <f>IF($C2817="","",IFERROR(INDEX(CAT_TIPO,MATCH($C2817,CAT_NOME,0)),"Sem categoria"))</f>
        <v/>
      </c>
      <c r="E2817" s="75">
        <f>IF($C2817="","",IFERROR(INDEX(CAT_GRUPO,MATCH($C2817,CAT_NOME,0)),"Sem categoria"))</f>
        <v/>
      </c>
      <c r="F2817" s="76" t="n"/>
      <c r="G2817" s="74" t="n"/>
      <c r="H2817" s="74" t="n"/>
      <c r="I2817" s="74" t="n"/>
      <c r="J2817" s="77" t="n"/>
      <c r="K2817" s="77" t="n"/>
      <c r="L2817" s="74" t="n"/>
      <c r="M2817" s="74" t="n"/>
      <c r="O2817" s="78">
        <f>IF($A2817="","",YEAR($A2817)*100+MONTH($A2817))</f>
        <v/>
      </c>
      <c r="P2817" s="79">
        <f>IF(OR($F2817="",$D2817=""),"",IF($D2817="Receita",$F2817,IF($D2817="Transferência",0,-$F2817)))</f>
        <v/>
      </c>
    </row>
    <row r="2818">
      <c r="A2818" s="73" t="n"/>
      <c r="B2818" s="74" t="n"/>
      <c r="C2818" s="74" t="n"/>
      <c r="D2818" s="75">
        <f>IF($C2818="","",IFERROR(INDEX(CAT_TIPO,MATCH($C2818,CAT_NOME,0)),"Sem categoria"))</f>
        <v/>
      </c>
      <c r="E2818" s="75">
        <f>IF($C2818="","",IFERROR(INDEX(CAT_GRUPO,MATCH($C2818,CAT_NOME,0)),"Sem categoria"))</f>
        <v/>
      </c>
      <c r="F2818" s="76" t="n"/>
      <c r="G2818" s="74" t="n"/>
      <c r="H2818" s="74" t="n"/>
      <c r="I2818" s="74" t="n"/>
      <c r="J2818" s="77" t="n"/>
      <c r="K2818" s="77" t="n"/>
      <c r="L2818" s="74" t="n"/>
      <c r="M2818" s="74" t="n"/>
      <c r="O2818" s="78">
        <f>IF($A2818="","",YEAR($A2818)*100+MONTH($A2818))</f>
        <v/>
      </c>
      <c r="P2818" s="79">
        <f>IF(OR($F2818="",$D2818=""),"",IF($D2818="Receita",$F2818,IF($D2818="Transferência",0,-$F2818)))</f>
        <v/>
      </c>
    </row>
    <row r="2819">
      <c r="A2819" s="73" t="n"/>
      <c r="B2819" s="74" t="n"/>
      <c r="C2819" s="74" t="n"/>
      <c r="D2819" s="75">
        <f>IF($C2819="","",IFERROR(INDEX(CAT_TIPO,MATCH($C2819,CAT_NOME,0)),"Sem categoria"))</f>
        <v/>
      </c>
      <c r="E2819" s="75">
        <f>IF($C2819="","",IFERROR(INDEX(CAT_GRUPO,MATCH($C2819,CAT_NOME,0)),"Sem categoria"))</f>
        <v/>
      </c>
      <c r="F2819" s="76" t="n"/>
      <c r="G2819" s="74" t="n"/>
      <c r="H2819" s="74" t="n"/>
      <c r="I2819" s="74" t="n"/>
      <c r="J2819" s="77" t="n"/>
      <c r="K2819" s="77" t="n"/>
      <c r="L2819" s="74" t="n"/>
      <c r="M2819" s="74" t="n"/>
      <c r="O2819" s="78">
        <f>IF($A2819="","",YEAR($A2819)*100+MONTH($A2819))</f>
        <v/>
      </c>
      <c r="P2819" s="79">
        <f>IF(OR($F2819="",$D2819=""),"",IF($D2819="Receita",$F2819,IF($D2819="Transferência",0,-$F2819)))</f>
        <v/>
      </c>
    </row>
    <row r="2820">
      <c r="A2820" s="73" t="n"/>
      <c r="B2820" s="74" t="n"/>
      <c r="C2820" s="74" t="n"/>
      <c r="D2820" s="75">
        <f>IF($C2820="","",IFERROR(INDEX(CAT_TIPO,MATCH($C2820,CAT_NOME,0)),"Sem categoria"))</f>
        <v/>
      </c>
      <c r="E2820" s="75">
        <f>IF($C2820="","",IFERROR(INDEX(CAT_GRUPO,MATCH($C2820,CAT_NOME,0)),"Sem categoria"))</f>
        <v/>
      </c>
      <c r="F2820" s="76" t="n"/>
      <c r="G2820" s="74" t="n"/>
      <c r="H2820" s="74" t="n"/>
      <c r="I2820" s="74" t="n"/>
      <c r="J2820" s="77" t="n"/>
      <c r="K2820" s="77" t="n"/>
      <c r="L2820" s="74" t="n"/>
      <c r="M2820" s="74" t="n"/>
      <c r="O2820" s="78">
        <f>IF($A2820="","",YEAR($A2820)*100+MONTH($A2820))</f>
        <v/>
      </c>
      <c r="P2820" s="79">
        <f>IF(OR($F2820="",$D2820=""),"",IF($D2820="Receita",$F2820,IF($D2820="Transferência",0,-$F2820)))</f>
        <v/>
      </c>
    </row>
    <row r="2821">
      <c r="A2821" s="73" t="n"/>
      <c r="B2821" s="74" t="n"/>
      <c r="C2821" s="74" t="n"/>
      <c r="D2821" s="75">
        <f>IF($C2821="","",IFERROR(INDEX(CAT_TIPO,MATCH($C2821,CAT_NOME,0)),"Sem categoria"))</f>
        <v/>
      </c>
      <c r="E2821" s="75">
        <f>IF($C2821="","",IFERROR(INDEX(CAT_GRUPO,MATCH($C2821,CAT_NOME,0)),"Sem categoria"))</f>
        <v/>
      </c>
      <c r="F2821" s="76" t="n"/>
      <c r="G2821" s="74" t="n"/>
      <c r="H2821" s="74" t="n"/>
      <c r="I2821" s="74" t="n"/>
      <c r="J2821" s="77" t="n"/>
      <c r="K2821" s="77" t="n"/>
      <c r="L2821" s="74" t="n"/>
      <c r="M2821" s="74" t="n"/>
      <c r="O2821" s="78">
        <f>IF($A2821="","",YEAR($A2821)*100+MONTH($A2821))</f>
        <v/>
      </c>
      <c r="P2821" s="79">
        <f>IF(OR($F2821="",$D2821=""),"",IF($D2821="Receita",$F2821,IF($D2821="Transferência",0,-$F2821)))</f>
        <v/>
      </c>
    </row>
    <row r="2822">
      <c r="A2822" s="73" t="n"/>
      <c r="B2822" s="74" t="n"/>
      <c r="C2822" s="74" t="n"/>
      <c r="D2822" s="75">
        <f>IF($C2822="","",IFERROR(INDEX(CAT_TIPO,MATCH($C2822,CAT_NOME,0)),"Sem categoria"))</f>
        <v/>
      </c>
      <c r="E2822" s="75">
        <f>IF($C2822="","",IFERROR(INDEX(CAT_GRUPO,MATCH($C2822,CAT_NOME,0)),"Sem categoria"))</f>
        <v/>
      </c>
      <c r="F2822" s="76" t="n"/>
      <c r="G2822" s="74" t="n"/>
      <c r="H2822" s="74" t="n"/>
      <c r="I2822" s="74" t="n"/>
      <c r="J2822" s="77" t="n"/>
      <c r="K2822" s="77" t="n"/>
      <c r="L2822" s="74" t="n"/>
      <c r="M2822" s="74" t="n"/>
      <c r="O2822" s="78">
        <f>IF($A2822="","",YEAR($A2822)*100+MONTH($A2822))</f>
        <v/>
      </c>
      <c r="P2822" s="79">
        <f>IF(OR($F2822="",$D2822=""),"",IF($D2822="Receita",$F2822,IF($D2822="Transferência",0,-$F2822)))</f>
        <v/>
      </c>
    </row>
    <row r="2823">
      <c r="A2823" s="73" t="n"/>
      <c r="B2823" s="74" t="n"/>
      <c r="C2823" s="74" t="n"/>
      <c r="D2823" s="75">
        <f>IF($C2823="","",IFERROR(INDEX(CAT_TIPO,MATCH($C2823,CAT_NOME,0)),"Sem categoria"))</f>
        <v/>
      </c>
      <c r="E2823" s="75">
        <f>IF($C2823="","",IFERROR(INDEX(CAT_GRUPO,MATCH($C2823,CAT_NOME,0)),"Sem categoria"))</f>
        <v/>
      </c>
      <c r="F2823" s="76" t="n"/>
      <c r="G2823" s="74" t="n"/>
      <c r="H2823" s="74" t="n"/>
      <c r="I2823" s="74" t="n"/>
      <c r="J2823" s="77" t="n"/>
      <c r="K2823" s="77" t="n"/>
      <c r="L2823" s="74" t="n"/>
      <c r="M2823" s="74" t="n"/>
      <c r="O2823" s="78">
        <f>IF($A2823="","",YEAR($A2823)*100+MONTH($A2823))</f>
        <v/>
      </c>
      <c r="P2823" s="79">
        <f>IF(OR($F2823="",$D2823=""),"",IF($D2823="Receita",$F2823,IF($D2823="Transferência",0,-$F2823)))</f>
        <v/>
      </c>
    </row>
    <row r="2824">
      <c r="A2824" s="73" t="n"/>
      <c r="B2824" s="74" t="n"/>
      <c r="C2824" s="74" t="n"/>
      <c r="D2824" s="75">
        <f>IF($C2824="","",IFERROR(INDEX(CAT_TIPO,MATCH($C2824,CAT_NOME,0)),"Sem categoria"))</f>
        <v/>
      </c>
      <c r="E2824" s="75">
        <f>IF($C2824="","",IFERROR(INDEX(CAT_GRUPO,MATCH($C2824,CAT_NOME,0)),"Sem categoria"))</f>
        <v/>
      </c>
      <c r="F2824" s="76" t="n"/>
      <c r="G2824" s="74" t="n"/>
      <c r="H2824" s="74" t="n"/>
      <c r="I2824" s="74" t="n"/>
      <c r="J2824" s="77" t="n"/>
      <c r="K2824" s="77" t="n"/>
      <c r="L2824" s="74" t="n"/>
      <c r="M2824" s="74" t="n"/>
      <c r="O2824" s="78">
        <f>IF($A2824="","",YEAR($A2824)*100+MONTH($A2824))</f>
        <v/>
      </c>
      <c r="P2824" s="79">
        <f>IF(OR($F2824="",$D2824=""),"",IF($D2824="Receita",$F2824,IF($D2824="Transferência",0,-$F2824)))</f>
        <v/>
      </c>
    </row>
    <row r="2825">
      <c r="A2825" s="73" t="n"/>
      <c r="B2825" s="74" t="n"/>
      <c r="C2825" s="74" t="n"/>
      <c r="D2825" s="75">
        <f>IF($C2825="","",IFERROR(INDEX(CAT_TIPO,MATCH($C2825,CAT_NOME,0)),"Sem categoria"))</f>
        <v/>
      </c>
      <c r="E2825" s="75">
        <f>IF($C2825="","",IFERROR(INDEX(CAT_GRUPO,MATCH($C2825,CAT_NOME,0)),"Sem categoria"))</f>
        <v/>
      </c>
      <c r="F2825" s="76" t="n"/>
      <c r="G2825" s="74" t="n"/>
      <c r="H2825" s="74" t="n"/>
      <c r="I2825" s="74" t="n"/>
      <c r="J2825" s="77" t="n"/>
      <c r="K2825" s="77" t="n"/>
      <c r="L2825" s="74" t="n"/>
      <c r="M2825" s="74" t="n"/>
      <c r="O2825" s="78">
        <f>IF($A2825="","",YEAR($A2825)*100+MONTH($A2825))</f>
        <v/>
      </c>
      <c r="P2825" s="79">
        <f>IF(OR($F2825="",$D2825=""),"",IF($D2825="Receita",$F2825,IF($D2825="Transferência",0,-$F2825)))</f>
        <v/>
      </c>
    </row>
    <row r="2826">
      <c r="A2826" s="73" t="n"/>
      <c r="B2826" s="74" t="n"/>
      <c r="C2826" s="74" t="n"/>
      <c r="D2826" s="75">
        <f>IF($C2826="","",IFERROR(INDEX(CAT_TIPO,MATCH($C2826,CAT_NOME,0)),"Sem categoria"))</f>
        <v/>
      </c>
      <c r="E2826" s="75">
        <f>IF($C2826="","",IFERROR(INDEX(CAT_GRUPO,MATCH($C2826,CAT_NOME,0)),"Sem categoria"))</f>
        <v/>
      </c>
      <c r="F2826" s="76" t="n"/>
      <c r="G2826" s="74" t="n"/>
      <c r="H2826" s="74" t="n"/>
      <c r="I2826" s="74" t="n"/>
      <c r="J2826" s="77" t="n"/>
      <c r="K2826" s="77" t="n"/>
      <c r="L2826" s="74" t="n"/>
      <c r="M2826" s="74" t="n"/>
      <c r="O2826" s="78">
        <f>IF($A2826="","",YEAR($A2826)*100+MONTH($A2826))</f>
        <v/>
      </c>
      <c r="P2826" s="79">
        <f>IF(OR($F2826="",$D2826=""),"",IF($D2826="Receita",$F2826,IF($D2826="Transferência",0,-$F2826)))</f>
        <v/>
      </c>
    </row>
    <row r="2827">
      <c r="A2827" s="73" t="n"/>
      <c r="B2827" s="74" t="n"/>
      <c r="C2827" s="74" t="n"/>
      <c r="D2827" s="75">
        <f>IF($C2827="","",IFERROR(INDEX(CAT_TIPO,MATCH($C2827,CAT_NOME,0)),"Sem categoria"))</f>
        <v/>
      </c>
      <c r="E2827" s="75">
        <f>IF($C2827="","",IFERROR(INDEX(CAT_GRUPO,MATCH($C2827,CAT_NOME,0)),"Sem categoria"))</f>
        <v/>
      </c>
      <c r="F2827" s="76" t="n"/>
      <c r="G2827" s="74" t="n"/>
      <c r="H2827" s="74" t="n"/>
      <c r="I2827" s="74" t="n"/>
      <c r="J2827" s="77" t="n"/>
      <c r="K2827" s="77" t="n"/>
      <c r="L2827" s="74" t="n"/>
      <c r="M2827" s="74" t="n"/>
      <c r="O2827" s="78">
        <f>IF($A2827="","",YEAR($A2827)*100+MONTH($A2827))</f>
        <v/>
      </c>
      <c r="P2827" s="79">
        <f>IF(OR($F2827="",$D2827=""),"",IF($D2827="Receita",$F2827,IF($D2827="Transferência",0,-$F2827)))</f>
        <v/>
      </c>
    </row>
    <row r="2828">
      <c r="A2828" s="73" t="n"/>
      <c r="B2828" s="74" t="n"/>
      <c r="C2828" s="74" t="n"/>
      <c r="D2828" s="75">
        <f>IF($C2828="","",IFERROR(INDEX(CAT_TIPO,MATCH($C2828,CAT_NOME,0)),"Sem categoria"))</f>
        <v/>
      </c>
      <c r="E2828" s="75">
        <f>IF($C2828="","",IFERROR(INDEX(CAT_GRUPO,MATCH($C2828,CAT_NOME,0)),"Sem categoria"))</f>
        <v/>
      </c>
      <c r="F2828" s="76" t="n"/>
      <c r="G2828" s="74" t="n"/>
      <c r="H2828" s="74" t="n"/>
      <c r="I2828" s="74" t="n"/>
      <c r="J2828" s="77" t="n"/>
      <c r="K2828" s="77" t="n"/>
      <c r="L2828" s="74" t="n"/>
      <c r="M2828" s="74" t="n"/>
      <c r="O2828" s="78">
        <f>IF($A2828="","",YEAR($A2828)*100+MONTH($A2828))</f>
        <v/>
      </c>
      <c r="P2828" s="79">
        <f>IF(OR($F2828="",$D2828=""),"",IF($D2828="Receita",$F2828,IF($D2828="Transferência",0,-$F2828)))</f>
        <v/>
      </c>
    </row>
    <row r="2829">
      <c r="A2829" s="73" t="n"/>
      <c r="B2829" s="74" t="n"/>
      <c r="C2829" s="74" t="n"/>
      <c r="D2829" s="75">
        <f>IF($C2829="","",IFERROR(INDEX(CAT_TIPO,MATCH($C2829,CAT_NOME,0)),"Sem categoria"))</f>
        <v/>
      </c>
      <c r="E2829" s="75">
        <f>IF($C2829="","",IFERROR(INDEX(CAT_GRUPO,MATCH($C2829,CAT_NOME,0)),"Sem categoria"))</f>
        <v/>
      </c>
      <c r="F2829" s="76" t="n"/>
      <c r="G2829" s="74" t="n"/>
      <c r="H2829" s="74" t="n"/>
      <c r="I2829" s="74" t="n"/>
      <c r="J2829" s="77" t="n"/>
      <c r="K2829" s="77" t="n"/>
      <c r="L2829" s="74" t="n"/>
      <c r="M2829" s="74" t="n"/>
      <c r="O2829" s="78">
        <f>IF($A2829="","",YEAR($A2829)*100+MONTH($A2829))</f>
        <v/>
      </c>
      <c r="P2829" s="79">
        <f>IF(OR($F2829="",$D2829=""),"",IF($D2829="Receita",$F2829,IF($D2829="Transferência",0,-$F2829)))</f>
        <v/>
      </c>
    </row>
    <row r="2830">
      <c r="A2830" s="73" t="n"/>
      <c r="B2830" s="74" t="n"/>
      <c r="C2830" s="74" t="n"/>
      <c r="D2830" s="75">
        <f>IF($C2830="","",IFERROR(INDEX(CAT_TIPO,MATCH($C2830,CAT_NOME,0)),"Sem categoria"))</f>
        <v/>
      </c>
      <c r="E2830" s="75">
        <f>IF($C2830="","",IFERROR(INDEX(CAT_GRUPO,MATCH($C2830,CAT_NOME,0)),"Sem categoria"))</f>
        <v/>
      </c>
      <c r="F2830" s="76" t="n"/>
      <c r="G2830" s="74" t="n"/>
      <c r="H2830" s="74" t="n"/>
      <c r="I2830" s="74" t="n"/>
      <c r="J2830" s="77" t="n"/>
      <c r="K2830" s="77" t="n"/>
      <c r="L2830" s="74" t="n"/>
      <c r="M2830" s="74" t="n"/>
      <c r="O2830" s="78">
        <f>IF($A2830="","",YEAR($A2830)*100+MONTH($A2830))</f>
        <v/>
      </c>
      <c r="P2830" s="79">
        <f>IF(OR($F2830="",$D2830=""),"",IF($D2830="Receita",$F2830,IF($D2830="Transferência",0,-$F2830)))</f>
        <v/>
      </c>
    </row>
    <row r="2831">
      <c r="A2831" s="73" t="n"/>
      <c r="B2831" s="74" t="n"/>
      <c r="C2831" s="74" t="n"/>
      <c r="D2831" s="75">
        <f>IF($C2831="","",IFERROR(INDEX(CAT_TIPO,MATCH($C2831,CAT_NOME,0)),"Sem categoria"))</f>
        <v/>
      </c>
      <c r="E2831" s="75">
        <f>IF($C2831="","",IFERROR(INDEX(CAT_GRUPO,MATCH($C2831,CAT_NOME,0)),"Sem categoria"))</f>
        <v/>
      </c>
      <c r="F2831" s="76" t="n"/>
      <c r="G2831" s="74" t="n"/>
      <c r="H2831" s="74" t="n"/>
      <c r="I2831" s="74" t="n"/>
      <c r="J2831" s="77" t="n"/>
      <c r="K2831" s="77" t="n"/>
      <c r="L2831" s="74" t="n"/>
      <c r="M2831" s="74" t="n"/>
      <c r="O2831" s="78">
        <f>IF($A2831="","",YEAR($A2831)*100+MONTH($A2831))</f>
        <v/>
      </c>
      <c r="P2831" s="79">
        <f>IF(OR($F2831="",$D2831=""),"",IF($D2831="Receita",$F2831,IF($D2831="Transferência",0,-$F2831)))</f>
        <v/>
      </c>
    </row>
    <row r="2832">
      <c r="A2832" s="73" t="n"/>
      <c r="B2832" s="74" t="n"/>
      <c r="C2832" s="74" t="n"/>
      <c r="D2832" s="75">
        <f>IF($C2832="","",IFERROR(INDEX(CAT_TIPO,MATCH($C2832,CAT_NOME,0)),"Sem categoria"))</f>
        <v/>
      </c>
      <c r="E2832" s="75">
        <f>IF($C2832="","",IFERROR(INDEX(CAT_GRUPO,MATCH($C2832,CAT_NOME,0)),"Sem categoria"))</f>
        <v/>
      </c>
      <c r="F2832" s="76" t="n"/>
      <c r="G2832" s="74" t="n"/>
      <c r="H2832" s="74" t="n"/>
      <c r="I2832" s="74" t="n"/>
      <c r="J2832" s="77" t="n"/>
      <c r="K2832" s="77" t="n"/>
      <c r="L2832" s="74" t="n"/>
      <c r="M2832" s="74" t="n"/>
      <c r="O2832" s="78">
        <f>IF($A2832="","",YEAR($A2832)*100+MONTH($A2832))</f>
        <v/>
      </c>
      <c r="P2832" s="79">
        <f>IF(OR($F2832="",$D2832=""),"",IF($D2832="Receita",$F2832,IF($D2832="Transferência",0,-$F2832)))</f>
        <v/>
      </c>
    </row>
    <row r="2833">
      <c r="A2833" s="73" t="n"/>
      <c r="B2833" s="74" t="n"/>
      <c r="C2833" s="74" t="n"/>
      <c r="D2833" s="75">
        <f>IF($C2833="","",IFERROR(INDEX(CAT_TIPO,MATCH($C2833,CAT_NOME,0)),"Sem categoria"))</f>
        <v/>
      </c>
      <c r="E2833" s="75">
        <f>IF($C2833="","",IFERROR(INDEX(CAT_GRUPO,MATCH($C2833,CAT_NOME,0)),"Sem categoria"))</f>
        <v/>
      </c>
      <c r="F2833" s="76" t="n"/>
      <c r="G2833" s="74" t="n"/>
      <c r="H2833" s="74" t="n"/>
      <c r="I2833" s="74" t="n"/>
      <c r="J2833" s="77" t="n"/>
      <c r="K2833" s="77" t="n"/>
      <c r="L2833" s="74" t="n"/>
      <c r="M2833" s="74" t="n"/>
      <c r="O2833" s="78">
        <f>IF($A2833="","",YEAR($A2833)*100+MONTH($A2833))</f>
        <v/>
      </c>
      <c r="P2833" s="79">
        <f>IF(OR($F2833="",$D2833=""),"",IF($D2833="Receita",$F2833,IF($D2833="Transferência",0,-$F2833)))</f>
        <v/>
      </c>
    </row>
    <row r="2834">
      <c r="A2834" s="73" t="n"/>
      <c r="B2834" s="74" t="n"/>
      <c r="C2834" s="74" t="n"/>
      <c r="D2834" s="75">
        <f>IF($C2834="","",IFERROR(INDEX(CAT_TIPO,MATCH($C2834,CAT_NOME,0)),"Sem categoria"))</f>
        <v/>
      </c>
      <c r="E2834" s="75">
        <f>IF($C2834="","",IFERROR(INDEX(CAT_GRUPO,MATCH($C2834,CAT_NOME,0)),"Sem categoria"))</f>
        <v/>
      </c>
      <c r="F2834" s="76" t="n"/>
      <c r="G2834" s="74" t="n"/>
      <c r="H2834" s="74" t="n"/>
      <c r="I2834" s="74" t="n"/>
      <c r="J2834" s="77" t="n"/>
      <c r="K2834" s="77" t="n"/>
      <c r="L2834" s="74" t="n"/>
      <c r="M2834" s="74" t="n"/>
      <c r="O2834" s="78">
        <f>IF($A2834="","",YEAR($A2834)*100+MONTH($A2834))</f>
        <v/>
      </c>
      <c r="P2834" s="79">
        <f>IF(OR($F2834="",$D2834=""),"",IF($D2834="Receita",$F2834,IF($D2834="Transferência",0,-$F2834)))</f>
        <v/>
      </c>
    </row>
    <row r="2835">
      <c r="A2835" s="73" t="n"/>
      <c r="B2835" s="74" t="n"/>
      <c r="C2835" s="74" t="n"/>
      <c r="D2835" s="75">
        <f>IF($C2835="","",IFERROR(INDEX(CAT_TIPO,MATCH($C2835,CAT_NOME,0)),"Sem categoria"))</f>
        <v/>
      </c>
      <c r="E2835" s="75">
        <f>IF($C2835="","",IFERROR(INDEX(CAT_GRUPO,MATCH($C2835,CAT_NOME,0)),"Sem categoria"))</f>
        <v/>
      </c>
      <c r="F2835" s="76" t="n"/>
      <c r="G2835" s="74" t="n"/>
      <c r="H2835" s="74" t="n"/>
      <c r="I2835" s="74" t="n"/>
      <c r="J2835" s="77" t="n"/>
      <c r="K2835" s="77" t="n"/>
      <c r="L2835" s="74" t="n"/>
      <c r="M2835" s="74" t="n"/>
      <c r="O2835" s="78">
        <f>IF($A2835="","",YEAR($A2835)*100+MONTH($A2835))</f>
        <v/>
      </c>
      <c r="P2835" s="79">
        <f>IF(OR($F2835="",$D2835=""),"",IF($D2835="Receita",$F2835,IF($D2835="Transferência",0,-$F2835)))</f>
        <v/>
      </c>
    </row>
    <row r="2836">
      <c r="A2836" s="73" t="n"/>
      <c r="B2836" s="74" t="n"/>
      <c r="C2836" s="74" t="n"/>
      <c r="D2836" s="75">
        <f>IF($C2836="","",IFERROR(INDEX(CAT_TIPO,MATCH($C2836,CAT_NOME,0)),"Sem categoria"))</f>
        <v/>
      </c>
      <c r="E2836" s="75">
        <f>IF($C2836="","",IFERROR(INDEX(CAT_GRUPO,MATCH($C2836,CAT_NOME,0)),"Sem categoria"))</f>
        <v/>
      </c>
      <c r="F2836" s="76" t="n"/>
      <c r="G2836" s="74" t="n"/>
      <c r="H2836" s="74" t="n"/>
      <c r="I2836" s="74" t="n"/>
      <c r="J2836" s="77" t="n"/>
      <c r="K2836" s="77" t="n"/>
      <c r="L2836" s="74" t="n"/>
      <c r="M2836" s="74" t="n"/>
      <c r="O2836" s="78">
        <f>IF($A2836="","",YEAR($A2836)*100+MONTH($A2836))</f>
        <v/>
      </c>
      <c r="P2836" s="79">
        <f>IF(OR($F2836="",$D2836=""),"",IF($D2836="Receita",$F2836,IF($D2836="Transferência",0,-$F2836)))</f>
        <v/>
      </c>
    </row>
    <row r="2837">
      <c r="A2837" s="73" t="n"/>
      <c r="B2837" s="74" t="n"/>
      <c r="C2837" s="74" t="n"/>
      <c r="D2837" s="75">
        <f>IF($C2837="","",IFERROR(INDEX(CAT_TIPO,MATCH($C2837,CAT_NOME,0)),"Sem categoria"))</f>
        <v/>
      </c>
      <c r="E2837" s="75">
        <f>IF($C2837="","",IFERROR(INDEX(CAT_GRUPO,MATCH($C2837,CAT_NOME,0)),"Sem categoria"))</f>
        <v/>
      </c>
      <c r="F2837" s="76" t="n"/>
      <c r="G2837" s="74" t="n"/>
      <c r="H2837" s="74" t="n"/>
      <c r="I2837" s="74" t="n"/>
      <c r="J2837" s="77" t="n"/>
      <c r="K2837" s="77" t="n"/>
      <c r="L2837" s="74" t="n"/>
      <c r="M2837" s="74" t="n"/>
      <c r="O2837" s="78">
        <f>IF($A2837="","",YEAR($A2837)*100+MONTH($A2837))</f>
        <v/>
      </c>
      <c r="P2837" s="79">
        <f>IF(OR($F2837="",$D2837=""),"",IF($D2837="Receita",$F2837,IF($D2837="Transferência",0,-$F2837)))</f>
        <v/>
      </c>
    </row>
    <row r="2838">
      <c r="A2838" s="73" t="n"/>
      <c r="B2838" s="74" t="n"/>
      <c r="C2838" s="74" t="n"/>
      <c r="D2838" s="75">
        <f>IF($C2838="","",IFERROR(INDEX(CAT_TIPO,MATCH($C2838,CAT_NOME,0)),"Sem categoria"))</f>
        <v/>
      </c>
      <c r="E2838" s="75">
        <f>IF($C2838="","",IFERROR(INDEX(CAT_GRUPO,MATCH($C2838,CAT_NOME,0)),"Sem categoria"))</f>
        <v/>
      </c>
      <c r="F2838" s="76" t="n"/>
      <c r="G2838" s="74" t="n"/>
      <c r="H2838" s="74" t="n"/>
      <c r="I2838" s="74" t="n"/>
      <c r="J2838" s="77" t="n"/>
      <c r="K2838" s="77" t="n"/>
      <c r="L2838" s="74" t="n"/>
      <c r="M2838" s="74" t="n"/>
      <c r="O2838" s="78">
        <f>IF($A2838="","",YEAR($A2838)*100+MONTH($A2838))</f>
        <v/>
      </c>
      <c r="P2838" s="79">
        <f>IF(OR($F2838="",$D2838=""),"",IF($D2838="Receita",$F2838,IF($D2838="Transferência",0,-$F2838)))</f>
        <v/>
      </c>
    </row>
    <row r="2839">
      <c r="A2839" s="73" t="n"/>
      <c r="B2839" s="74" t="n"/>
      <c r="C2839" s="74" t="n"/>
      <c r="D2839" s="75">
        <f>IF($C2839="","",IFERROR(INDEX(CAT_TIPO,MATCH($C2839,CAT_NOME,0)),"Sem categoria"))</f>
        <v/>
      </c>
      <c r="E2839" s="75">
        <f>IF($C2839="","",IFERROR(INDEX(CAT_GRUPO,MATCH($C2839,CAT_NOME,0)),"Sem categoria"))</f>
        <v/>
      </c>
      <c r="F2839" s="76" t="n"/>
      <c r="G2839" s="74" t="n"/>
      <c r="H2839" s="74" t="n"/>
      <c r="I2839" s="74" t="n"/>
      <c r="J2839" s="77" t="n"/>
      <c r="K2839" s="77" t="n"/>
      <c r="L2839" s="74" t="n"/>
      <c r="M2839" s="74" t="n"/>
      <c r="O2839" s="78">
        <f>IF($A2839="","",YEAR($A2839)*100+MONTH($A2839))</f>
        <v/>
      </c>
      <c r="P2839" s="79">
        <f>IF(OR($F2839="",$D2839=""),"",IF($D2839="Receita",$F2839,IF($D2839="Transferência",0,-$F2839)))</f>
        <v/>
      </c>
    </row>
    <row r="2840">
      <c r="A2840" s="73" t="n"/>
      <c r="B2840" s="74" t="n"/>
      <c r="C2840" s="74" t="n"/>
      <c r="D2840" s="75">
        <f>IF($C2840="","",IFERROR(INDEX(CAT_TIPO,MATCH($C2840,CAT_NOME,0)),"Sem categoria"))</f>
        <v/>
      </c>
      <c r="E2840" s="75">
        <f>IF($C2840="","",IFERROR(INDEX(CAT_GRUPO,MATCH($C2840,CAT_NOME,0)),"Sem categoria"))</f>
        <v/>
      </c>
      <c r="F2840" s="76" t="n"/>
      <c r="G2840" s="74" t="n"/>
      <c r="H2840" s="74" t="n"/>
      <c r="I2840" s="74" t="n"/>
      <c r="J2840" s="77" t="n"/>
      <c r="K2840" s="77" t="n"/>
      <c r="L2840" s="74" t="n"/>
      <c r="M2840" s="74" t="n"/>
      <c r="O2840" s="78">
        <f>IF($A2840="","",YEAR($A2840)*100+MONTH($A2840))</f>
        <v/>
      </c>
      <c r="P2840" s="79">
        <f>IF(OR($F2840="",$D2840=""),"",IF($D2840="Receita",$F2840,IF($D2840="Transferência",0,-$F2840)))</f>
        <v/>
      </c>
    </row>
    <row r="2841">
      <c r="A2841" s="73" t="n"/>
      <c r="B2841" s="74" t="n"/>
      <c r="C2841" s="74" t="n"/>
      <c r="D2841" s="75">
        <f>IF($C2841="","",IFERROR(INDEX(CAT_TIPO,MATCH($C2841,CAT_NOME,0)),"Sem categoria"))</f>
        <v/>
      </c>
      <c r="E2841" s="75">
        <f>IF($C2841="","",IFERROR(INDEX(CAT_GRUPO,MATCH($C2841,CAT_NOME,0)),"Sem categoria"))</f>
        <v/>
      </c>
      <c r="F2841" s="76" t="n"/>
      <c r="G2841" s="74" t="n"/>
      <c r="H2841" s="74" t="n"/>
      <c r="I2841" s="74" t="n"/>
      <c r="J2841" s="77" t="n"/>
      <c r="K2841" s="77" t="n"/>
      <c r="L2841" s="74" t="n"/>
      <c r="M2841" s="74" t="n"/>
      <c r="O2841" s="78">
        <f>IF($A2841="","",YEAR($A2841)*100+MONTH($A2841))</f>
        <v/>
      </c>
      <c r="P2841" s="79">
        <f>IF(OR($F2841="",$D2841=""),"",IF($D2841="Receita",$F2841,IF($D2841="Transferência",0,-$F2841)))</f>
        <v/>
      </c>
    </row>
    <row r="2842">
      <c r="A2842" s="73" t="n"/>
      <c r="B2842" s="74" t="n"/>
      <c r="C2842" s="74" t="n"/>
      <c r="D2842" s="75">
        <f>IF($C2842="","",IFERROR(INDEX(CAT_TIPO,MATCH($C2842,CAT_NOME,0)),"Sem categoria"))</f>
        <v/>
      </c>
      <c r="E2842" s="75">
        <f>IF($C2842="","",IFERROR(INDEX(CAT_GRUPO,MATCH($C2842,CAT_NOME,0)),"Sem categoria"))</f>
        <v/>
      </c>
      <c r="F2842" s="76" t="n"/>
      <c r="G2842" s="74" t="n"/>
      <c r="H2842" s="74" t="n"/>
      <c r="I2842" s="74" t="n"/>
      <c r="J2842" s="77" t="n"/>
      <c r="K2842" s="77" t="n"/>
      <c r="L2842" s="74" t="n"/>
      <c r="M2842" s="74" t="n"/>
      <c r="O2842" s="78">
        <f>IF($A2842="","",YEAR($A2842)*100+MONTH($A2842))</f>
        <v/>
      </c>
      <c r="P2842" s="79">
        <f>IF(OR($F2842="",$D2842=""),"",IF($D2842="Receita",$F2842,IF($D2842="Transferência",0,-$F2842)))</f>
        <v/>
      </c>
    </row>
    <row r="2843">
      <c r="A2843" s="73" t="n"/>
      <c r="B2843" s="74" t="n"/>
      <c r="C2843" s="74" t="n"/>
      <c r="D2843" s="75">
        <f>IF($C2843="","",IFERROR(INDEX(CAT_TIPO,MATCH($C2843,CAT_NOME,0)),"Sem categoria"))</f>
        <v/>
      </c>
      <c r="E2843" s="75">
        <f>IF($C2843="","",IFERROR(INDEX(CAT_GRUPO,MATCH($C2843,CAT_NOME,0)),"Sem categoria"))</f>
        <v/>
      </c>
      <c r="F2843" s="76" t="n"/>
      <c r="G2843" s="74" t="n"/>
      <c r="H2843" s="74" t="n"/>
      <c r="I2843" s="74" t="n"/>
      <c r="J2843" s="77" t="n"/>
      <c r="K2843" s="77" t="n"/>
      <c r="L2843" s="74" t="n"/>
      <c r="M2843" s="74" t="n"/>
      <c r="O2843" s="78">
        <f>IF($A2843="","",YEAR($A2843)*100+MONTH($A2843))</f>
        <v/>
      </c>
      <c r="P2843" s="79">
        <f>IF(OR($F2843="",$D2843=""),"",IF($D2843="Receita",$F2843,IF($D2843="Transferência",0,-$F2843)))</f>
        <v/>
      </c>
    </row>
    <row r="2844">
      <c r="A2844" s="73" t="n"/>
      <c r="B2844" s="74" t="n"/>
      <c r="C2844" s="74" t="n"/>
      <c r="D2844" s="75">
        <f>IF($C2844="","",IFERROR(INDEX(CAT_TIPO,MATCH($C2844,CAT_NOME,0)),"Sem categoria"))</f>
        <v/>
      </c>
      <c r="E2844" s="75">
        <f>IF($C2844="","",IFERROR(INDEX(CAT_GRUPO,MATCH($C2844,CAT_NOME,0)),"Sem categoria"))</f>
        <v/>
      </c>
      <c r="F2844" s="76" t="n"/>
      <c r="G2844" s="74" t="n"/>
      <c r="H2844" s="74" t="n"/>
      <c r="I2844" s="74" t="n"/>
      <c r="J2844" s="77" t="n"/>
      <c r="K2844" s="77" t="n"/>
      <c r="L2844" s="74" t="n"/>
      <c r="M2844" s="74" t="n"/>
      <c r="O2844" s="78">
        <f>IF($A2844="","",YEAR($A2844)*100+MONTH($A2844))</f>
        <v/>
      </c>
      <c r="P2844" s="79">
        <f>IF(OR($F2844="",$D2844=""),"",IF($D2844="Receita",$F2844,IF($D2844="Transferência",0,-$F2844)))</f>
        <v/>
      </c>
    </row>
    <row r="2845">
      <c r="A2845" s="73" t="n"/>
      <c r="B2845" s="74" t="n"/>
      <c r="C2845" s="74" t="n"/>
      <c r="D2845" s="75">
        <f>IF($C2845="","",IFERROR(INDEX(CAT_TIPO,MATCH($C2845,CAT_NOME,0)),"Sem categoria"))</f>
        <v/>
      </c>
      <c r="E2845" s="75">
        <f>IF($C2845="","",IFERROR(INDEX(CAT_GRUPO,MATCH($C2845,CAT_NOME,0)),"Sem categoria"))</f>
        <v/>
      </c>
      <c r="F2845" s="76" t="n"/>
      <c r="G2845" s="74" t="n"/>
      <c r="H2845" s="74" t="n"/>
      <c r="I2845" s="74" t="n"/>
      <c r="J2845" s="77" t="n"/>
      <c r="K2845" s="77" t="n"/>
      <c r="L2845" s="74" t="n"/>
      <c r="M2845" s="74" t="n"/>
      <c r="O2845" s="78">
        <f>IF($A2845="","",YEAR($A2845)*100+MONTH($A2845))</f>
        <v/>
      </c>
      <c r="P2845" s="79">
        <f>IF(OR($F2845="",$D2845=""),"",IF($D2845="Receita",$F2845,IF($D2845="Transferência",0,-$F2845)))</f>
        <v/>
      </c>
    </row>
    <row r="2846">
      <c r="A2846" s="73" t="n"/>
      <c r="B2846" s="74" t="n"/>
      <c r="C2846" s="74" t="n"/>
      <c r="D2846" s="75">
        <f>IF($C2846="","",IFERROR(INDEX(CAT_TIPO,MATCH($C2846,CAT_NOME,0)),"Sem categoria"))</f>
        <v/>
      </c>
      <c r="E2846" s="75">
        <f>IF($C2846="","",IFERROR(INDEX(CAT_GRUPO,MATCH($C2846,CAT_NOME,0)),"Sem categoria"))</f>
        <v/>
      </c>
      <c r="F2846" s="76" t="n"/>
      <c r="G2846" s="74" t="n"/>
      <c r="H2846" s="74" t="n"/>
      <c r="I2846" s="74" t="n"/>
      <c r="J2846" s="77" t="n"/>
      <c r="K2846" s="77" t="n"/>
      <c r="L2846" s="74" t="n"/>
      <c r="M2846" s="74" t="n"/>
      <c r="O2846" s="78">
        <f>IF($A2846="","",YEAR($A2846)*100+MONTH($A2846))</f>
        <v/>
      </c>
      <c r="P2846" s="79">
        <f>IF(OR($F2846="",$D2846=""),"",IF($D2846="Receita",$F2846,IF($D2846="Transferência",0,-$F2846)))</f>
        <v/>
      </c>
    </row>
    <row r="2847">
      <c r="A2847" s="73" t="n"/>
      <c r="B2847" s="74" t="n"/>
      <c r="C2847" s="74" t="n"/>
      <c r="D2847" s="75">
        <f>IF($C2847="","",IFERROR(INDEX(CAT_TIPO,MATCH($C2847,CAT_NOME,0)),"Sem categoria"))</f>
        <v/>
      </c>
      <c r="E2847" s="75">
        <f>IF($C2847="","",IFERROR(INDEX(CAT_GRUPO,MATCH($C2847,CAT_NOME,0)),"Sem categoria"))</f>
        <v/>
      </c>
      <c r="F2847" s="76" t="n"/>
      <c r="G2847" s="74" t="n"/>
      <c r="H2847" s="74" t="n"/>
      <c r="I2847" s="74" t="n"/>
      <c r="J2847" s="77" t="n"/>
      <c r="K2847" s="77" t="n"/>
      <c r="L2847" s="74" t="n"/>
      <c r="M2847" s="74" t="n"/>
      <c r="O2847" s="78">
        <f>IF($A2847="","",YEAR($A2847)*100+MONTH($A2847))</f>
        <v/>
      </c>
      <c r="P2847" s="79">
        <f>IF(OR($F2847="",$D2847=""),"",IF($D2847="Receita",$F2847,IF($D2847="Transferência",0,-$F2847)))</f>
        <v/>
      </c>
    </row>
    <row r="2848">
      <c r="A2848" s="73" t="n"/>
      <c r="B2848" s="74" t="n"/>
      <c r="C2848" s="74" t="n"/>
      <c r="D2848" s="75">
        <f>IF($C2848="","",IFERROR(INDEX(CAT_TIPO,MATCH($C2848,CAT_NOME,0)),"Sem categoria"))</f>
        <v/>
      </c>
      <c r="E2848" s="75">
        <f>IF($C2848="","",IFERROR(INDEX(CAT_GRUPO,MATCH($C2848,CAT_NOME,0)),"Sem categoria"))</f>
        <v/>
      </c>
      <c r="F2848" s="76" t="n"/>
      <c r="G2848" s="74" t="n"/>
      <c r="H2848" s="74" t="n"/>
      <c r="I2848" s="74" t="n"/>
      <c r="J2848" s="77" t="n"/>
      <c r="K2848" s="77" t="n"/>
      <c r="L2848" s="74" t="n"/>
      <c r="M2848" s="74" t="n"/>
      <c r="O2848" s="78">
        <f>IF($A2848="","",YEAR($A2848)*100+MONTH($A2848))</f>
        <v/>
      </c>
      <c r="P2848" s="79">
        <f>IF(OR($F2848="",$D2848=""),"",IF($D2848="Receita",$F2848,IF($D2848="Transferência",0,-$F2848)))</f>
        <v/>
      </c>
    </row>
    <row r="2849">
      <c r="A2849" s="73" t="n"/>
      <c r="B2849" s="74" t="n"/>
      <c r="C2849" s="74" t="n"/>
      <c r="D2849" s="75">
        <f>IF($C2849="","",IFERROR(INDEX(CAT_TIPO,MATCH($C2849,CAT_NOME,0)),"Sem categoria"))</f>
        <v/>
      </c>
      <c r="E2849" s="75">
        <f>IF($C2849="","",IFERROR(INDEX(CAT_GRUPO,MATCH($C2849,CAT_NOME,0)),"Sem categoria"))</f>
        <v/>
      </c>
      <c r="F2849" s="76" t="n"/>
      <c r="G2849" s="74" t="n"/>
      <c r="H2849" s="74" t="n"/>
      <c r="I2849" s="74" t="n"/>
      <c r="J2849" s="77" t="n"/>
      <c r="K2849" s="77" t="n"/>
      <c r="L2849" s="74" t="n"/>
      <c r="M2849" s="74" t="n"/>
      <c r="O2849" s="78">
        <f>IF($A2849="","",YEAR($A2849)*100+MONTH($A2849))</f>
        <v/>
      </c>
      <c r="P2849" s="79">
        <f>IF(OR($F2849="",$D2849=""),"",IF($D2849="Receita",$F2849,IF($D2849="Transferência",0,-$F2849)))</f>
        <v/>
      </c>
    </row>
    <row r="2850">
      <c r="A2850" s="73" t="n"/>
      <c r="B2850" s="74" t="n"/>
      <c r="C2850" s="74" t="n"/>
      <c r="D2850" s="75">
        <f>IF($C2850="","",IFERROR(INDEX(CAT_TIPO,MATCH($C2850,CAT_NOME,0)),"Sem categoria"))</f>
        <v/>
      </c>
      <c r="E2850" s="75">
        <f>IF($C2850="","",IFERROR(INDEX(CAT_GRUPO,MATCH($C2850,CAT_NOME,0)),"Sem categoria"))</f>
        <v/>
      </c>
      <c r="F2850" s="76" t="n"/>
      <c r="G2850" s="74" t="n"/>
      <c r="H2850" s="74" t="n"/>
      <c r="I2850" s="74" t="n"/>
      <c r="J2850" s="77" t="n"/>
      <c r="K2850" s="77" t="n"/>
      <c r="L2850" s="74" t="n"/>
      <c r="M2850" s="74" t="n"/>
      <c r="O2850" s="78">
        <f>IF($A2850="","",YEAR($A2850)*100+MONTH($A2850))</f>
        <v/>
      </c>
      <c r="P2850" s="79">
        <f>IF(OR($F2850="",$D2850=""),"",IF($D2850="Receita",$F2850,IF($D2850="Transferência",0,-$F2850)))</f>
        <v/>
      </c>
    </row>
    <row r="2851">
      <c r="A2851" s="73" t="n"/>
      <c r="B2851" s="74" t="n"/>
      <c r="C2851" s="74" t="n"/>
      <c r="D2851" s="75">
        <f>IF($C2851="","",IFERROR(INDEX(CAT_TIPO,MATCH($C2851,CAT_NOME,0)),"Sem categoria"))</f>
        <v/>
      </c>
      <c r="E2851" s="75">
        <f>IF($C2851="","",IFERROR(INDEX(CAT_GRUPO,MATCH($C2851,CAT_NOME,0)),"Sem categoria"))</f>
        <v/>
      </c>
      <c r="F2851" s="76" t="n"/>
      <c r="G2851" s="74" t="n"/>
      <c r="H2851" s="74" t="n"/>
      <c r="I2851" s="74" t="n"/>
      <c r="J2851" s="77" t="n"/>
      <c r="K2851" s="77" t="n"/>
      <c r="L2851" s="74" t="n"/>
      <c r="M2851" s="74" t="n"/>
      <c r="O2851" s="78">
        <f>IF($A2851="","",YEAR($A2851)*100+MONTH($A2851))</f>
        <v/>
      </c>
      <c r="P2851" s="79">
        <f>IF(OR($F2851="",$D2851=""),"",IF($D2851="Receita",$F2851,IF($D2851="Transferência",0,-$F2851)))</f>
        <v/>
      </c>
    </row>
    <row r="2852">
      <c r="A2852" s="73" t="n"/>
      <c r="B2852" s="74" t="n"/>
      <c r="C2852" s="74" t="n"/>
      <c r="D2852" s="75">
        <f>IF($C2852="","",IFERROR(INDEX(CAT_TIPO,MATCH($C2852,CAT_NOME,0)),"Sem categoria"))</f>
        <v/>
      </c>
      <c r="E2852" s="75">
        <f>IF($C2852="","",IFERROR(INDEX(CAT_GRUPO,MATCH($C2852,CAT_NOME,0)),"Sem categoria"))</f>
        <v/>
      </c>
      <c r="F2852" s="76" t="n"/>
      <c r="G2852" s="74" t="n"/>
      <c r="H2852" s="74" t="n"/>
      <c r="I2852" s="74" t="n"/>
      <c r="J2852" s="77" t="n"/>
      <c r="K2852" s="77" t="n"/>
      <c r="L2852" s="74" t="n"/>
      <c r="M2852" s="74" t="n"/>
      <c r="O2852" s="78">
        <f>IF($A2852="","",YEAR($A2852)*100+MONTH($A2852))</f>
        <v/>
      </c>
      <c r="P2852" s="79">
        <f>IF(OR($F2852="",$D2852=""),"",IF($D2852="Receita",$F2852,IF($D2852="Transferência",0,-$F2852)))</f>
        <v/>
      </c>
    </row>
    <row r="2853">
      <c r="A2853" s="73" t="n"/>
      <c r="B2853" s="74" t="n"/>
      <c r="C2853" s="74" t="n"/>
      <c r="D2853" s="75">
        <f>IF($C2853="","",IFERROR(INDEX(CAT_TIPO,MATCH($C2853,CAT_NOME,0)),"Sem categoria"))</f>
        <v/>
      </c>
      <c r="E2853" s="75">
        <f>IF($C2853="","",IFERROR(INDEX(CAT_GRUPO,MATCH($C2853,CAT_NOME,0)),"Sem categoria"))</f>
        <v/>
      </c>
      <c r="F2853" s="76" t="n"/>
      <c r="G2853" s="74" t="n"/>
      <c r="H2853" s="74" t="n"/>
      <c r="I2853" s="74" t="n"/>
      <c r="J2853" s="77" t="n"/>
      <c r="K2853" s="77" t="n"/>
      <c r="L2853" s="74" t="n"/>
      <c r="M2853" s="74" t="n"/>
      <c r="O2853" s="78">
        <f>IF($A2853="","",YEAR($A2853)*100+MONTH($A2853))</f>
        <v/>
      </c>
      <c r="P2853" s="79">
        <f>IF(OR($F2853="",$D2853=""),"",IF($D2853="Receita",$F2853,IF($D2853="Transferência",0,-$F2853)))</f>
        <v/>
      </c>
    </row>
    <row r="2854">
      <c r="A2854" s="73" t="n"/>
      <c r="B2854" s="74" t="n"/>
      <c r="C2854" s="74" t="n"/>
      <c r="D2854" s="75">
        <f>IF($C2854="","",IFERROR(INDEX(CAT_TIPO,MATCH($C2854,CAT_NOME,0)),"Sem categoria"))</f>
        <v/>
      </c>
      <c r="E2854" s="75">
        <f>IF($C2854="","",IFERROR(INDEX(CAT_GRUPO,MATCH($C2854,CAT_NOME,0)),"Sem categoria"))</f>
        <v/>
      </c>
      <c r="F2854" s="76" t="n"/>
      <c r="G2854" s="74" t="n"/>
      <c r="H2854" s="74" t="n"/>
      <c r="I2854" s="74" t="n"/>
      <c r="J2854" s="77" t="n"/>
      <c r="K2854" s="77" t="n"/>
      <c r="L2854" s="74" t="n"/>
      <c r="M2854" s="74" t="n"/>
      <c r="O2854" s="78">
        <f>IF($A2854="","",YEAR($A2854)*100+MONTH($A2854))</f>
        <v/>
      </c>
      <c r="P2854" s="79">
        <f>IF(OR($F2854="",$D2854=""),"",IF($D2854="Receita",$F2854,IF($D2854="Transferência",0,-$F2854)))</f>
        <v/>
      </c>
    </row>
    <row r="2855">
      <c r="A2855" s="73" t="n"/>
      <c r="B2855" s="74" t="n"/>
      <c r="C2855" s="74" t="n"/>
      <c r="D2855" s="75">
        <f>IF($C2855="","",IFERROR(INDEX(CAT_TIPO,MATCH($C2855,CAT_NOME,0)),"Sem categoria"))</f>
        <v/>
      </c>
      <c r="E2855" s="75">
        <f>IF($C2855="","",IFERROR(INDEX(CAT_GRUPO,MATCH($C2855,CAT_NOME,0)),"Sem categoria"))</f>
        <v/>
      </c>
      <c r="F2855" s="76" t="n"/>
      <c r="G2855" s="74" t="n"/>
      <c r="H2855" s="74" t="n"/>
      <c r="I2855" s="74" t="n"/>
      <c r="J2855" s="77" t="n"/>
      <c r="K2855" s="77" t="n"/>
      <c r="L2855" s="74" t="n"/>
      <c r="M2855" s="74" t="n"/>
      <c r="O2855" s="78">
        <f>IF($A2855="","",YEAR($A2855)*100+MONTH($A2855))</f>
        <v/>
      </c>
      <c r="P2855" s="79">
        <f>IF(OR($F2855="",$D2855=""),"",IF($D2855="Receita",$F2855,IF($D2855="Transferência",0,-$F2855)))</f>
        <v/>
      </c>
    </row>
    <row r="2856">
      <c r="A2856" s="73" t="n"/>
      <c r="B2856" s="74" t="n"/>
      <c r="C2856" s="74" t="n"/>
      <c r="D2856" s="75">
        <f>IF($C2856="","",IFERROR(INDEX(CAT_TIPO,MATCH($C2856,CAT_NOME,0)),"Sem categoria"))</f>
        <v/>
      </c>
      <c r="E2856" s="75">
        <f>IF($C2856="","",IFERROR(INDEX(CAT_GRUPO,MATCH($C2856,CAT_NOME,0)),"Sem categoria"))</f>
        <v/>
      </c>
      <c r="F2856" s="76" t="n"/>
      <c r="G2856" s="74" t="n"/>
      <c r="H2856" s="74" t="n"/>
      <c r="I2856" s="74" t="n"/>
      <c r="J2856" s="77" t="n"/>
      <c r="K2856" s="77" t="n"/>
      <c r="L2856" s="74" t="n"/>
      <c r="M2856" s="74" t="n"/>
      <c r="O2856" s="78">
        <f>IF($A2856="","",YEAR($A2856)*100+MONTH($A2856))</f>
        <v/>
      </c>
      <c r="P2856" s="79">
        <f>IF(OR($F2856="",$D2856=""),"",IF($D2856="Receita",$F2856,IF($D2856="Transferência",0,-$F2856)))</f>
        <v/>
      </c>
    </row>
    <row r="2857">
      <c r="A2857" s="73" t="n"/>
      <c r="B2857" s="74" t="n"/>
      <c r="C2857" s="74" t="n"/>
      <c r="D2857" s="75">
        <f>IF($C2857="","",IFERROR(INDEX(CAT_TIPO,MATCH($C2857,CAT_NOME,0)),"Sem categoria"))</f>
        <v/>
      </c>
      <c r="E2857" s="75">
        <f>IF($C2857="","",IFERROR(INDEX(CAT_GRUPO,MATCH($C2857,CAT_NOME,0)),"Sem categoria"))</f>
        <v/>
      </c>
      <c r="F2857" s="76" t="n"/>
      <c r="G2857" s="74" t="n"/>
      <c r="H2857" s="74" t="n"/>
      <c r="I2857" s="74" t="n"/>
      <c r="J2857" s="77" t="n"/>
      <c r="K2857" s="77" t="n"/>
      <c r="L2857" s="74" t="n"/>
      <c r="M2857" s="74" t="n"/>
      <c r="O2857" s="78">
        <f>IF($A2857="","",YEAR($A2857)*100+MONTH($A2857))</f>
        <v/>
      </c>
      <c r="P2857" s="79">
        <f>IF(OR($F2857="",$D2857=""),"",IF($D2857="Receita",$F2857,IF($D2857="Transferência",0,-$F2857)))</f>
        <v/>
      </c>
    </row>
    <row r="2858">
      <c r="A2858" s="73" t="n"/>
      <c r="B2858" s="74" t="n"/>
      <c r="C2858" s="74" t="n"/>
      <c r="D2858" s="75">
        <f>IF($C2858="","",IFERROR(INDEX(CAT_TIPO,MATCH($C2858,CAT_NOME,0)),"Sem categoria"))</f>
        <v/>
      </c>
      <c r="E2858" s="75">
        <f>IF($C2858="","",IFERROR(INDEX(CAT_GRUPO,MATCH($C2858,CAT_NOME,0)),"Sem categoria"))</f>
        <v/>
      </c>
      <c r="F2858" s="76" t="n"/>
      <c r="G2858" s="74" t="n"/>
      <c r="H2858" s="74" t="n"/>
      <c r="I2858" s="74" t="n"/>
      <c r="J2858" s="77" t="n"/>
      <c r="K2858" s="77" t="n"/>
      <c r="L2858" s="74" t="n"/>
      <c r="M2858" s="74" t="n"/>
      <c r="O2858" s="78">
        <f>IF($A2858="","",YEAR($A2858)*100+MONTH($A2858))</f>
        <v/>
      </c>
      <c r="P2858" s="79">
        <f>IF(OR($F2858="",$D2858=""),"",IF($D2858="Receita",$F2858,IF($D2858="Transferência",0,-$F2858)))</f>
        <v/>
      </c>
    </row>
    <row r="2859">
      <c r="A2859" s="73" t="n"/>
      <c r="B2859" s="74" t="n"/>
      <c r="C2859" s="74" t="n"/>
      <c r="D2859" s="75">
        <f>IF($C2859="","",IFERROR(INDEX(CAT_TIPO,MATCH($C2859,CAT_NOME,0)),"Sem categoria"))</f>
        <v/>
      </c>
      <c r="E2859" s="75">
        <f>IF($C2859="","",IFERROR(INDEX(CAT_GRUPO,MATCH($C2859,CAT_NOME,0)),"Sem categoria"))</f>
        <v/>
      </c>
      <c r="F2859" s="76" t="n"/>
      <c r="G2859" s="74" t="n"/>
      <c r="H2859" s="74" t="n"/>
      <c r="I2859" s="74" t="n"/>
      <c r="J2859" s="77" t="n"/>
      <c r="K2859" s="77" t="n"/>
      <c r="L2859" s="74" t="n"/>
      <c r="M2859" s="74" t="n"/>
      <c r="O2859" s="78">
        <f>IF($A2859="","",YEAR($A2859)*100+MONTH($A2859))</f>
        <v/>
      </c>
      <c r="P2859" s="79">
        <f>IF(OR($F2859="",$D2859=""),"",IF($D2859="Receita",$F2859,IF($D2859="Transferência",0,-$F2859)))</f>
        <v/>
      </c>
    </row>
    <row r="2860">
      <c r="A2860" s="73" t="n"/>
      <c r="B2860" s="74" t="n"/>
      <c r="C2860" s="74" t="n"/>
      <c r="D2860" s="75">
        <f>IF($C2860="","",IFERROR(INDEX(CAT_TIPO,MATCH($C2860,CAT_NOME,0)),"Sem categoria"))</f>
        <v/>
      </c>
      <c r="E2860" s="75">
        <f>IF($C2860="","",IFERROR(INDEX(CAT_GRUPO,MATCH($C2860,CAT_NOME,0)),"Sem categoria"))</f>
        <v/>
      </c>
      <c r="F2860" s="76" t="n"/>
      <c r="G2860" s="74" t="n"/>
      <c r="H2860" s="74" t="n"/>
      <c r="I2860" s="74" t="n"/>
      <c r="J2860" s="77" t="n"/>
      <c r="K2860" s="77" t="n"/>
      <c r="L2860" s="74" t="n"/>
      <c r="M2860" s="74" t="n"/>
      <c r="O2860" s="78">
        <f>IF($A2860="","",YEAR($A2860)*100+MONTH($A2860))</f>
        <v/>
      </c>
      <c r="P2860" s="79">
        <f>IF(OR($F2860="",$D2860=""),"",IF($D2860="Receita",$F2860,IF($D2860="Transferência",0,-$F2860)))</f>
        <v/>
      </c>
    </row>
    <row r="2861">
      <c r="A2861" s="73" t="n"/>
      <c r="B2861" s="74" t="n"/>
      <c r="C2861" s="74" t="n"/>
      <c r="D2861" s="75">
        <f>IF($C2861="","",IFERROR(INDEX(CAT_TIPO,MATCH($C2861,CAT_NOME,0)),"Sem categoria"))</f>
        <v/>
      </c>
      <c r="E2861" s="75">
        <f>IF($C2861="","",IFERROR(INDEX(CAT_GRUPO,MATCH($C2861,CAT_NOME,0)),"Sem categoria"))</f>
        <v/>
      </c>
      <c r="F2861" s="76" t="n"/>
      <c r="G2861" s="74" t="n"/>
      <c r="H2861" s="74" t="n"/>
      <c r="I2861" s="74" t="n"/>
      <c r="J2861" s="77" t="n"/>
      <c r="K2861" s="77" t="n"/>
      <c r="L2861" s="74" t="n"/>
      <c r="M2861" s="74" t="n"/>
      <c r="O2861" s="78">
        <f>IF($A2861="","",YEAR($A2861)*100+MONTH($A2861))</f>
        <v/>
      </c>
      <c r="P2861" s="79">
        <f>IF(OR($F2861="",$D2861=""),"",IF($D2861="Receita",$F2861,IF($D2861="Transferência",0,-$F2861)))</f>
        <v/>
      </c>
    </row>
    <row r="2862">
      <c r="A2862" s="73" t="n"/>
      <c r="B2862" s="74" t="n"/>
      <c r="C2862" s="74" t="n"/>
      <c r="D2862" s="75">
        <f>IF($C2862="","",IFERROR(INDEX(CAT_TIPO,MATCH($C2862,CAT_NOME,0)),"Sem categoria"))</f>
        <v/>
      </c>
      <c r="E2862" s="75">
        <f>IF($C2862="","",IFERROR(INDEX(CAT_GRUPO,MATCH($C2862,CAT_NOME,0)),"Sem categoria"))</f>
        <v/>
      </c>
      <c r="F2862" s="76" t="n"/>
      <c r="G2862" s="74" t="n"/>
      <c r="H2862" s="74" t="n"/>
      <c r="I2862" s="74" t="n"/>
      <c r="J2862" s="77" t="n"/>
      <c r="K2862" s="77" t="n"/>
      <c r="L2862" s="74" t="n"/>
      <c r="M2862" s="74" t="n"/>
      <c r="O2862" s="78">
        <f>IF($A2862="","",YEAR($A2862)*100+MONTH($A2862))</f>
        <v/>
      </c>
      <c r="P2862" s="79">
        <f>IF(OR($F2862="",$D2862=""),"",IF($D2862="Receita",$F2862,IF($D2862="Transferência",0,-$F2862)))</f>
        <v/>
      </c>
    </row>
    <row r="2863">
      <c r="A2863" s="73" t="n"/>
      <c r="B2863" s="74" t="n"/>
      <c r="C2863" s="74" t="n"/>
      <c r="D2863" s="75">
        <f>IF($C2863="","",IFERROR(INDEX(CAT_TIPO,MATCH($C2863,CAT_NOME,0)),"Sem categoria"))</f>
        <v/>
      </c>
      <c r="E2863" s="75">
        <f>IF($C2863="","",IFERROR(INDEX(CAT_GRUPO,MATCH($C2863,CAT_NOME,0)),"Sem categoria"))</f>
        <v/>
      </c>
      <c r="F2863" s="76" t="n"/>
      <c r="G2863" s="74" t="n"/>
      <c r="H2863" s="74" t="n"/>
      <c r="I2863" s="74" t="n"/>
      <c r="J2863" s="77" t="n"/>
      <c r="K2863" s="77" t="n"/>
      <c r="L2863" s="74" t="n"/>
      <c r="M2863" s="74" t="n"/>
      <c r="O2863" s="78">
        <f>IF($A2863="","",YEAR($A2863)*100+MONTH($A2863))</f>
        <v/>
      </c>
      <c r="P2863" s="79">
        <f>IF(OR($F2863="",$D2863=""),"",IF($D2863="Receita",$F2863,IF($D2863="Transferência",0,-$F2863)))</f>
        <v/>
      </c>
    </row>
    <row r="2864">
      <c r="A2864" s="73" t="n"/>
      <c r="B2864" s="74" t="n"/>
      <c r="C2864" s="74" t="n"/>
      <c r="D2864" s="75">
        <f>IF($C2864="","",IFERROR(INDEX(CAT_TIPO,MATCH($C2864,CAT_NOME,0)),"Sem categoria"))</f>
        <v/>
      </c>
      <c r="E2864" s="75">
        <f>IF($C2864="","",IFERROR(INDEX(CAT_GRUPO,MATCH($C2864,CAT_NOME,0)),"Sem categoria"))</f>
        <v/>
      </c>
      <c r="F2864" s="76" t="n"/>
      <c r="G2864" s="74" t="n"/>
      <c r="H2864" s="74" t="n"/>
      <c r="I2864" s="74" t="n"/>
      <c r="J2864" s="77" t="n"/>
      <c r="K2864" s="77" t="n"/>
      <c r="L2864" s="74" t="n"/>
      <c r="M2864" s="74" t="n"/>
      <c r="O2864" s="78">
        <f>IF($A2864="","",YEAR($A2864)*100+MONTH($A2864))</f>
        <v/>
      </c>
      <c r="P2864" s="79">
        <f>IF(OR($F2864="",$D2864=""),"",IF($D2864="Receita",$F2864,IF($D2864="Transferência",0,-$F2864)))</f>
        <v/>
      </c>
    </row>
    <row r="2865">
      <c r="A2865" s="73" t="n"/>
      <c r="B2865" s="74" t="n"/>
      <c r="C2865" s="74" t="n"/>
      <c r="D2865" s="75">
        <f>IF($C2865="","",IFERROR(INDEX(CAT_TIPO,MATCH($C2865,CAT_NOME,0)),"Sem categoria"))</f>
        <v/>
      </c>
      <c r="E2865" s="75">
        <f>IF($C2865="","",IFERROR(INDEX(CAT_GRUPO,MATCH($C2865,CAT_NOME,0)),"Sem categoria"))</f>
        <v/>
      </c>
      <c r="F2865" s="76" t="n"/>
      <c r="G2865" s="74" t="n"/>
      <c r="H2865" s="74" t="n"/>
      <c r="I2865" s="74" t="n"/>
      <c r="J2865" s="77" t="n"/>
      <c r="K2865" s="77" t="n"/>
      <c r="L2865" s="74" t="n"/>
      <c r="M2865" s="74" t="n"/>
      <c r="O2865" s="78">
        <f>IF($A2865="","",YEAR($A2865)*100+MONTH($A2865))</f>
        <v/>
      </c>
      <c r="P2865" s="79">
        <f>IF(OR($F2865="",$D2865=""),"",IF($D2865="Receita",$F2865,IF($D2865="Transferência",0,-$F2865)))</f>
        <v/>
      </c>
    </row>
    <row r="2866">
      <c r="A2866" s="73" t="n"/>
      <c r="B2866" s="74" t="n"/>
      <c r="C2866" s="74" t="n"/>
      <c r="D2866" s="75">
        <f>IF($C2866="","",IFERROR(INDEX(CAT_TIPO,MATCH($C2866,CAT_NOME,0)),"Sem categoria"))</f>
        <v/>
      </c>
      <c r="E2866" s="75">
        <f>IF($C2866="","",IFERROR(INDEX(CAT_GRUPO,MATCH($C2866,CAT_NOME,0)),"Sem categoria"))</f>
        <v/>
      </c>
      <c r="F2866" s="76" t="n"/>
      <c r="G2866" s="74" t="n"/>
      <c r="H2866" s="74" t="n"/>
      <c r="I2866" s="74" t="n"/>
      <c r="J2866" s="77" t="n"/>
      <c r="K2866" s="77" t="n"/>
      <c r="L2866" s="74" t="n"/>
      <c r="M2866" s="74" t="n"/>
      <c r="O2866" s="78">
        <f>IF($A2866="","",YEAR($A2866)*100+MONTH($A2866))</f>
        <v/>
      </c>
      <c r="P2866" s="79">
        <f>IF(OR($F2866="",$D2866=""),"",IF($D2866="Receita",$F2866,IF($D2866="Transferência",0,-$F2866)))</f>
        <v/>
      </c>
    </row>
    <row r="2867">
      <c r="A2867" s="73" t="n"/>
      <c r="B2867" s="74" t="n"/>
      <c r="C2867" s="74" t="n"/>
      <c r="D2867" s="75">
        <f>IF($C2867="","",IFERROR(INDEX(CAT_TIPO,MATCH($C2867,CAT_NOME,0)),"Sem categoria"))</f>
        <v/>
      </c>
      <c r="E2867" s="75">
        <f>IF($C2867="","",IFERROR(INDEX(CAT_GRUPO,MATCH($C2867,CAT_NOME,0)),"Sem categoria"))</f>
        <v/>
      </c>
      <c r="F2867" s="76" t="n"/>
      <c r="G2867" s="74" t="n"/>
      <c r="H2867" s="74" t="n"/>
      <c r="I2867" s="74" t="n"/>
      <c r="J2867" s="77" t="n"/>
      <c r="K2867" s="77" t="n"/>
      <c r="L2867" s="74" t="n"/>
      <c r="M2867" s="74" t="n"/>
      <c r="O2867" s="78">
        <f>IF($A2867="","",YEAR($A2867)*100+MONTH($A2867))</f>
        <v/>
      </c>
      <c r="P2867" s="79">
        <f>IF(OR($F2867="",$D2867=""),"",IF($D2867="Receita",$F2867,IF($D2867="Transferência",0,-$F2867)))</f>
        <v/>
      </c>
    </row>
    <row r="2868">
      <c r="A2868" s="73" t="n"/>
      <c r="B2868" s="74" t="n"/>
      <c r="C2868" s="74" t="n"/>
      <c r="D2868" s="75">
        <f>IF($C2868="","",IFERROR(INDEX(CAT_TIPO,MATCH($C2868,CAT_NOME,0)),"Sem categoria"))</f>
        <v/>
      </c>
      <c r="E2868" s="75">
        <f>IF($C2868="","",IFERROR(INDEX(CAT_GRUPO,MATCH($C2868,CAT_NOME,0)),"Sem categoria"))</f>
        <v/>
      </c>
      <c r="F2868" s="76" t="n"/>
      <c r="G2868" s="74" t="n"/>
      <c r="H2868" s="74" t="n"/>
      <c r="I2868" s="74" t="n"/>
      <c r="J2868" s="77" t="n"/>
      <c r="K2868" s="77" t="n"/>
      <c r="L2868" s="74" t="n"/>
      <c r="M2868" s="74" t="n"/>
      <c r="O2868" s="78">
        <f>IF($A2868="","",YEAR($A2868)*100+MONTH($A2868))</f>
        <v/>
      </c>
      <c r="P2868" s="79">
        <f>IF(OR($F2868="",$D2868=""),"",IF($D2868="Receita",$F2868,IF($D2868="Transferência",0,-$F2868)))</f>
        <v/>
      </c>
    </row>
    <row r="2869">
      <c r="A2869" s="73" t="n"/>
      <c r="B2869" s="74" t="n"/>
      <c r="C2869" s="74" t="n"/>
      <c r="D2869" s="75">
        <f>IF($C2869="","",IFERROR(INDEX(CAT_TIPO,MATCH($C2869,CAT_NOME,0)),"Sem categoria"))</f>
        <v/>
      </c>
      <c r="E2869" s="75">
        <f>IF($C2869="","",IFERROR(INDEX(CAT_GRUPO,MATCH($C2869,CAT_NOME,0)),"Sem categoria"))</f>
        <v/>
      </c>
      <c r="F2869" s="76" t="n"/>
      <c r="G2869" s="74" t="n"/>
      <c r="H2869" s="74" t="n"/>
      <c r="I2869" s="74" t="n"/>
      <c r="J2869" s="77" t="n"/>
      <c r="K2869" s="77" t="n"/>
      <c r="L2869" s="74" t="n"/>
      <c r="M2869" s="74" t="n"/>
      <c r="O2869" s="78">
        <f>IF($A2869="","",YEAR($A2869)*100+MONTH($A2869))</f>
        <v/>
      </c>
      <c r="P2869" s="79">
        <f>IF(OR($F2869="",$D2869=""),"",IF($D2869="Receita",$F2869,IF($D2869="Transferência",0,-$F2869)))</f>
        <v/>
      </c>
    </row>
    <row r="2870">
      <c r="A2870" s="73" t="n"/>
      <c r="B2870" s="74" t="n"/>
      <c r="C2870" s="74" t="n"/>
      <c r="D2870" s="75">
        <f>IF($C2870="","",IFERROR(INDEX(CAT_TIPO,MATCH($C2870,CAT_NOME,0)),"Sem categoria"))</f>
        <v/>
      </c>
      <c r="E2870" s="75">
        <f>IF($C2870="","",IFERROR(INDEX(CAT_GRUPO,MATCH($C2870,CAT_NOME,0)),"Sem categoria"))</f>
        <v/>
      </c>
      <c r="F2870" s="76" t="n"/>
      <c r="G2870" s="74" t="n"/>
      <c r="H2870" s="74" t="n"/>
      <c r="I2870" s="74" t="n"/>
      <c r="J2870" s="77" t="n"/>
      <c r="K2870" s="77" t="n"/>
      <c r="L2870" s="74" t="n"/>
      <c r="M2870" s="74" t="n"/>
      <c r="O2870" s="78">
        <f>IF($A2870="","",YEAR($A2870)*100+MONTH($A2870))</f>
        <v/>
      </c>
      <c r="P2870" s="79">
        <f>IF(OR($F2870="",$D2870=""),"",IF($D2870="Receita",$F2870,IF($D2870="Transferência",0,-$F2870)))</f>
        <v/>
      </c>
    </row>
    <row r="2871">
      <c r="A2871" s="73" t="n"/>
      <c r="B2871" s="74" t="n"/>
      <c r="C2871" s="74" t="n"/>
      <c r="D2871" s="75">
        <f>IF($C2871="","",IFERROR(INDEX(CAT_TIPO,MATCH($C2871,CAT_NOME,0)),"Sem categoria"))</f>
        <v/>
      </c>
      <c r="E2871" s="75">
        <f>IF($C2871="","",IFERROR(INDEX(CAT_GRUPO,MATCH($C2871,CAT_NOME,0)),"Sem categoria"))</f>
        <v/>
      </c>
      <c r="F2871" s="76" t="n"/>
      <c r="G2871" s="74" t="n"/>
      <c r="H2871" s="74" t="n"/>
      <c r="I2871" s="74" t="n"/>
      <c r="J2871" s="77" t="n"/>
      <c r="K2871" s="77" t="n"/>
      <c r="L2871" s="74" t="n"/>
      <c r="M2871" s="74" t="n"/>
      <c r="O2871" s="78">
        <f>IF($A2871="","",YEAR($A2871)*100+MONTH($A2871))</f>
        <v/>
      </c>
      <c r="P2871" s="79">
        <f>IF(OR($F2871="",$D2871=""),"",IF($D2871="Receita",$F2871,IF($D2871="Transferência",0,-$F2871)))</f>
        <v/>
      </c>
    </row>
    <row r="2872">
      <c r="A2872" s="73" t="n"/>
      <c r="B2872" s="74" t="n"/>
      <c r="C2872" s="74" t="n"/>
      <c r="D2872" s="75">
        <f>IF($C2872="","",IFERROR(INDEX(CAT_TIPO,MATCH($C2872,CAT_NOME,0)),"Sem categoria"))</f>
        <v/>
      </c>
      <c r="E2872" s="75">
        <f>IF($C2872="","",IFERROR(INDEX(CAT_GRUPO,MATCH($C2872,CAT_NOME,0)),"Sem categoria"))</f>
        <v/>
      </c>
      <c r="F2872" s="76" t="n"/>
      <c r="G2872" s="74" t="n"/>
      <c r="H2872" s="74" t="n"/>
      <c r="I2872" s="74" t="n"/>
      <c r="J2872" s="77" t="n"/>
      <c r="K2872" s="77" t="n"/>
      <c r="L2872" s="74" t="n"/>
      <c r="M2872" s="74" t="n"/>
      <c r="O2872" s="78">
        <f>IF($A2872="","",YEAR($A2872)*100+MONTH($A2872))</f>
        <v/>
      </c>
      <c r="P2872" s="79">
        <f>IF(OR($F2872="",$D2872=""),"",IF($D2872="Receita",$F2872,IF($D2872="Transferência",0,-$F2872)))</f>
        <v/>
      </c>
    </row>
    <row r="2873">
      <c r="A2873" s="73" t="n"/>
      <c r="B2873" s="74" t="n"/>
      <c r="C2873" s="74" t="n"/>
      <c r="D2873" s="75">
        <f>IF($C2873="","",IFERROR(INDEX(CAT_TIPO,MATCH($C2873,CAT_NOME,0)),"Sem categoria"))</f>
        <v/>
      </c>
      <c r="E2873" s="75">
        <f>IF($C2873="","",IFERROR(INDEX(CAT_GRUPO,MATCH($C2873,CAT_NOME,0)),"Sem categoria"))</f>
        <v/>
      </c>
      <c r="F2873" s="76" t="n"/>
      <c r="G2873" s="74" t="n"/>
      <c r="H2873" s="74" t="n"/>
      <c r="I2873" s="74" t="n"/>
      <c r="J2873" s="77" t="n"/>
      <c r="K2873" s="77" t="n"/>
      <c r="L2873" s="74" t="n"/>
      <c r="M2873" s="74" t="n"/>
      <c r="O2873" s="78">
        <f>IF($A2873="","",YEAR($A2873)*100+MONTH($A2873))</f>
        <v/>
      </c>
      <c r="P2873" s="79">
        <f>IF(OR($F2873="",$D2873=""),"",IF($D2873="Receita",$F2873,IF($D2873="Transferência",0,-$F2873)))</f>
        <v/>
      </c>
    </row>
    <row r="2874">
      <c r="A2874" s="73" t="n"/>
      <c r="B2874" s="74" t="n"/>
      <c r="C2874" s="74" t="n"/>
      <c r="D2874" s="75">
        <f>IF($C2874="","",IFERROR(INDEX(CAT_TIPO,MATCH($C2874,CAT_NOME,0)),"Sem categoria"))</f>
        <v/>
      </c>
      <c r="E2874" s="75">
        <f>IF($C2874="","",IFERROR(INDEX(CAT_GRUPO,MATCH($C2874,CAT_NOME,0)),"Sem categoria"))</f>
        <v/>
      </c>
      <c r="F2874" s="76" t="n"/>
      <c r="G2874" s="74" t="n"/>
      <c r="H2874" s="74" t="n"/>
      <c r="I2874" s="74" t="n"/>
      <c r="J2874" s="77" t="n"/>
      <c r="K2874" s="77" t="n"/>
      <c r="L2874" s="74" t="n"/>
      <c r="M2874" s="74" t="n"/>
      <c r="O2874" s="78">
        <f>IF($A2874="","",YEAR($A2874)*100+MONTH($A2874))</f>
        <v/>
      </c>
      <c r="P2874" s="79">
        <f>IF(OR($F2874="",$D2874=""),"",IF($D2874="Receita",$F2874,IF($D2874="Transferência",0,-$F2874)))</f>
        <v/>
      </c>
    </row>
    <row r="2875">
      <c r="A2875" s="73" t="n"/>
      <c r="B2875" s="74" t="n"/>
      <c r="C2875" s="74" t="n"/>
      <c r="D2875" s="75">
        <f>IF($C2875="","",IFERROR(INDEX(CAT_TIPO,MATCH($C2875,CAT_NOME,0)),"Sem categoria"))</f>
        <v/>
      </c>
      <c r="E2875" s="75">
        <f>IF($C2875="","",IFERROR(INDEX(CAT_GRUPO,MATCH($C2875,CAT_NOME,0)),"Sem categoria"))</f>
        <v/>
      </c>
      <c r="F2875" s="76" t="n"/>
      <c r="G2875" s="74" t="n"/>
      <c r="H2875" s="74" t="n"/>
      <c r="I2875" s="74" t="n"/>
      <c r="J2875" s="77" t="n"/>
      <c r="K2875" s="77" t="n"/>
      <c r="L2875" s="74" t="n"/>
      <c r="M2875" s="74" t="n"/>
      <c r="O2875" s="78">
        <f>IF($A2875="","",YEAR($A2875)*100+MONTH($A2875))</f>
        <v/>
      </c>
      <c r="P2875" s="79">
        <f>IF(OR($F2875="",$D2875=""),"",IF($D2875="Receita",$F2875,IF($D2875="Transferência",0,-$F2875)))</f>
        <v/>
      </c>
    </row>
    <row r="2876">
      <c r="A2876" s="73" t="n"/>
      <c r="B2876" s="74" t="n"/>
      <c r="C2876" s="74" t="n"/>
      <c r="D2876" s="75">
        <f>IF($C2876="","",IFERROR(INDEX(CAT_TIPO,MATCH($C2876,CAT_NOME,0)),"Sem categoria"))</f>
        <v/>
      </c>
      <c r="E2876" s="75">
        <f>IF($C2876="","",IFERROR(INDEX(CAT_GRUPO,MATCH($C2876,CAT_NOME,0)),"Sem categoria"))</f>
        <v/>
      </c>
      <c r="F2876" s="76" t="n"/>
      <c r="G2876" s="74" t="n"/>
      <c r="H2876" s="74" t="n"/>
      <c r="I2876" s="74" t="n"/>
      <c r="J2876" s="77" t="n"/>
      <c r="K2876" s="77" t="n"/>
      <c r="L2876" s="74" t="n"/>
      <c r="M2876" s="74" t="n"/>
      <c r="O2876" s="78">
        <f>IF($A2876="","",YEAR($A2876)*100+MONTH($A2876))</f>
        <v/>
      </c>
      <c r="P2876" s="79">
        <f>IF(OR($F2876="",$D2876=""),"",IF($D2876="Receita",$F2876,IF($D2876="Transferência",0,-$F2876)))</f>
        <v/>
      </c>
    </row>
    <row r="2877">
      <c r="A2877" s="73" t="n"/>
      <c r="B2877" s="74" t="n"/>
      <c r="C2877" s="74" t="n"/>
      <c r="D2877" s="75">
        <f>IF($C2877="","",IFERROR(INDEX(CAT_TIPO,MATCH($C2877,CAT_NOME,0)),"Sem categoria"))</f>
        <v/>
      </c>
      <c r="E2877" s="75">
        <f>IF($C2877="","",IFERROR(INDEX(CAT_GRUPO,MATCH($C2877,CAT_NOME,0)),"Sem categoria"))</f>
        <v/>
      </c>
      <c r="F2877" s="76" t="n"/>
      <c r="G2877" s="74" t="n"/>
      <c r="H2877" s="74" t="n"/>
      <c r="I2877" s="74" t="n"/>
      <c r="J2877" s="77" t="n"/>
      <c r="K2877" s="77" t="n"/>
      <c r="L2877" s="74" t="n"/>
      <c r="M2877" s="74" t="n"/>
      <c r="O2877" s="78">
        <f>IF($A2877="","",YEAR($A2877)*100+MONTH($A2877))</f>
        <v/>
      </c>
      <c r="P2877" s="79">
        <f>IF(OR($F2877="",$D2877=""),"",IF($D2877="Receita",$F2877,IF($D2877="Transferência",0,-$F2877)))</f>
        <v/>
      </c>
    </row>
    <row r="2878">
      <c r="A2878" s="73" t="n"/>
      <c r="B2878" s="74" t="n"/>
      <c r="C2878" s="74" t="n"/>
      <c r="D2878" s="75">
        <f>IF($C2878="","",IFERROR(INDEX(CAT_TIPO,MATCH($C2878,CAT_NOME,0)),"Sem categoria"))</f>
        <v/>
      </c>
      <c r="E2878" s="75">
        <f>IF($C2878="","",IFERROR(INDEX(CAT_GRUPO,MATCH($C2878,CAT_NOME,0)),"Sem categoria"))</f>
        <v/>
      </c>
      <c r="F2878" s="76" t="n"/>
      <c r="G2878" s="74" t="n"/>
      <c r="H2878" s="74" t="n"/>
      <c r="I2878" s="74" t="n"/>
      <c r="J2878" s="77" t="n"/>
      <c r="K2878" s="77" t="n"/>
      <c r="L2878" s="74" t="n"/>
      <c r="M2878" s="74" t="n"/>
      <c r="O2878" s="78">
        <f>IF($A2878="","",YEAR($A2878)*100+MONTH($A2878))</f>
        <v/>
      </c>
      <c r="P2878" s="79">
        <f>IF(OR($F2878="",$D2878=""),"",IF($D2878="Receita",$F2878,IF($D2878="Transferência",0,-$F2878)))</f>
        <v/>
      </c>
    </row>
    <row r="2879">
      <c r="A2879" s="73" t="n"/>
      <c r="B2879" s="74" t="n"/>
      <c r="C2879" s="74" t="n"/>
      <c r="D2879" s="75">
        <f>IF($C2879="","",IFERROR(INDEX(CAT_TIPO,MATCH($C2879,CAT_NOME,0)),"Sem categoria"))</f>
        <v/>
      </c>
      <c r="E2879" s="75">
        <f>IF($C2879="","",IFERROR(INDEX(CAT_GRUPO,MATCH($C2879,CAT_NOME,0)),"Sem categoria"))</f>
        <v/>
      </c>
      <c r="F2879" s="76" t="n"/>
      <c r="G2879" s="74" t="n"/>
      <c r="H2879" s="74" t="n"/>
      <c r="I2879" s="74" t="n"/>
      <c r="J2879" s="77" t="n"/>
      <c r="K2879" s="77" t="n"/>
      <c r="L2879" s="74" t="n"/>
      <c r="M2879" s="74" t="n"/>
      <c r="O2879" s="78">
        <f>IF($A2879="","",YEAR($A2879)*100+MONTH($A2879))</f>
        <v/>
      </c>
      <c r="P2879" s="79">
        <f>IF(OR($F2879="",$D2879=""),"",IF($D2879="Receita",$F2879,IF($D2879="Transferência",0,-$F2879)))</f>
        <v/>
      </c>
    </row>
    <row r="2880">
      <c r="A2880" s="73" t="n"/>
      <c r="B2880" s="74" t="n"/>
      <c r="C2880" s="74" t="n"/>
      <c r="D2880" s="75">
        <f>IF($C2880="","",IFERROR(INDEX(CAT_TIPO,MATCH($C2880,CAT_NOME,0)),"Sem categoria"))</f>
        <v/>
      </c>
      <c r="E2880" s="75">
        <f>IF($C2880="","",IFERROR(INDEX(CAT_GRUPO,MATCH($C2880,CAT_NOME,0)),"Sem categoria"))</f>
        <v/>
      </c>
      <c r="F2880" s="76" t="n"/>
      <c r="G2880" s="74" t="n"/>
      <c r="H2880" s="74" t="n"/>
      <c r="I2880" s="74" t="n"/>
      <c r="J2880" s="77" t="n"/>
      <c r="K2880" s="77" t="n"/>
      <c r="L2880" s="74" t="n"/>
      <c r="M2880" s="74" t="n"/>
      <c r="O2880" s="78">
        <f>IF($A2880="","",YEAR($A2880)*100+MONTH($A2880))</f>
        <v/>
      </c>
      <c r="P2880" s="79">
        <f>IF(OR($F2880="",$D2880=""),"",IF($D2880="Receita",$F2880,IF($D2880="Transferência",0,-$F2880)))</f>
        <v/>
      </c>
    </row>
    <row r="2881">
      <c r="A2881" s="73" t="n"/>
      <c r="B2881" s="74" t="n"/>
      <c r="C2881" s="74" t="n"/>
      <c r="D2881" s="75">
        <f>IF($C2881="","",IFERROR(INDEX(CAT_TIPO,MATCH($C2881,CAT_NOME,0)),"Sem categoria"))</f>
        <v/>
      </c>
      <c r="E2881" s="75">
        <f>IF($C2881="","",IFERROR(INDEX(CAT_GRUPO,MATCH($C2881,CAT_NOME,0)),"Sem categoria"))</f>
        <v/>
      </c>
      <c r="F2881" s="76" t="n"/>
      <c r="G2881" s="74" t="n"/>
      <c r="H2881" s="74" t="n"/>
      <c r="I2881" s="74" t="n"/>
      <c r="J2881" s="77" t="n"/>
      <c r="K2881" s="77" t="n"/>
      <c r="L2881" s="74" t="n"/>
      <c r="M2881" s="74" t="n"/>
      <c r="O2881" s="78">
        <f>IF($A2881="","",YEAR($A2881)*100+MONTH($A2881))</f>
        <v/>
      </c>
      <c r="P2881" s="79">
        <f>IF(OR($F2881="",$D2881=""),"",IF($D2881="Receita",$F2881,IF($D2881="Transferência",0,-$F2881)))</f>
        <v/>
      </c>
    </row>
    <row r="2882">
      <c r="A2882" s="73" t="n"/>
      <c r="B2882" s="74" t="n"/>
      <c r="C2882" s="74" t="n"/>
      <c r="D2882" s="75">
        <f>IF($C2882="","",IFERROR(INDEX(CAT_TIPO,MATCH($C2882,CAT_NOME,0)),"Sem categoria"))</f>
        <v/>
      </c>
      <c r="E2882" s="75">
        <f>IF($C2882="","",IFERROR(INDEX(CAT_GRUPO,MATCH($C2882,CAT_NOME,0)),"Sem categoria"))</f>
        <v/>
      </c>
      <c r="F2882" s="76" t="n"/>
      <c r="G2882" s="74" t="n"/>
      <c r="H2882" s="74" t="n"/>
      <c r="I2882" s="74" t="n"/>
      <c r="J2882" s="77" t="n"/>
      <c r="K2882" s="77" t="n"/>
      <c r="L2882" s="74" t="n"/>
      <c r="M2882" s="74" t="n"/>
      <c r="O2882" s="78">
        <f>IF($A2882="","",YEAR($A2882)*100+MONTH($A2882))</f>
        <v/>
      </c>
      <c r="P2882" s="79">
        <f>IF(OR($F2882="",$D2882=""),"",IF($D2882="Receita",$F2882,IF($D2882="Transferência",0,-$F2882)))</f>
        <v/>
      </c>
    </row>
    <row r="2883">
      <c r="A2883" s="73" t="n"/>
      <c r="B2883" s="74" t="n"/>
      <c r="C2883" s="74" t="n"/>
      <c r="D2883" s="75">
        <f>IF($C2883="","",IFERROR(INDEX(CAT_TIPO,MATCH($C2883,CAT_NOME,0)),"Sem categoria"))</f>
        <v/>
      </c>
      <c r="E2883" s="75">
        <f>IF($C2883="","",IFERROR(INDEX(CAT_GRUPO,MATCH($C2883,CAT_NOME,0)),"Sem categoria"))</f>
        <v/>
      </c>
      <c r="F2883" s="76" t="n"/>
      <c r="G2883" s="74" t="n"/>
      <c r="H2883" s="74" t="n"/>
      <c r="I2883" s="74" t="n"/>
      <c r="J2883" s="77" t="n"/>
      <c r="K2883" s="77" t="n"/>
      <c r="L2883" s="74" t="n"/>
      <c r="M2883" s="74" t="n"/>
      <c r="O2883" s="78">
        <f>IF($A2883="","",YEAR($A2883)*100+MONTH($A2883))</f>
        <v/>
      </c>
      <c r="P2883" s="79">
        <f>IF(OR($F2883="",$D2883=""),"",IF($D2883="Receita",$F2883,IF($D2883="Transferência",0,-$F2883)))</f>
        <v/>
      </c>
    </row>
    <row r="2884">
      <c r="A2884" s="73" t="n"/>
      <c r="B2884" s="74" t="n"/>
      <c r="C2884" s="74" t="n"/>
      <c r="D2884" s="75">
        <f>IF($C2884="","",IFERROR(INDEX(CAT_TIPO,MATCH($C2884,CAT_NOME,0)),"Sem categoria"))</f>
        <v/>
      </c>
      <c r="E2884" s="75">
        <f>IF($C2884="","",IFERROR(INDEX(CAT_GRUPO,MATCH($C2884,CAT_NOME,0)),"Sem categoria"))</f>
        <v/>
      </c>
      <c r="F2884" s="76" t="n"/>
      <c r="G2884" s="74" t="n"/>
      <c r="H2884" s="74" t="n"/>
      <c r="I2884" s="74" t="n"/>
      <c r="J2884" s="77" t="n"/>
      <c r="K2884" s="77" t="n"/>
      <c r="L2884" s="74" t="n"/>
      <c r="M2884" s="74" t="n"/>
      <c r="O2884" s="78">
        <f>IF($A2884="","",YEAR($A2884)*100+MONTH($A2884))</f>
        <v/>
      </c>
      <c r="P2884" s="79">
        <f>IF(OR($F2884="",$D2884=""),"",IF($D2884="Receita",$F2884,IF($D2884="Transferência",0,-$F2884)))</f>
        <v/>
      </c>
    </row>
    <row r="2885">
      <c r="A2885" s="73" t="n"/>
      <c r="B2885" s="74" t="n"/>
      <c r="C2885" s="74" t="n"/>
      <c r="D2885" s="75">
        <f>IF($C2885="","",IFERROR(INDEX(CAT_TIPO,MATCH($C2885,CAT_NOME,0)),"Sem categoria"))</f>
        <v/>
      </c>
      <c r="E2885" s="75">
        <f>IF($C2885="","",IFERROR(INDEX(CAT_GRUPO,MATCH($C2885,CAT_NOME,0)),"Sem categoria"))</f>
        <v/>
      </c>
      <c r="F2885" s="76" t="n"/>
      <c r="G2885" s="74" t="n"/>
      <c r="H2885" s="74" t="n"/>
      <c r="I2885" s="74" t="n"/>
      <c r="J2885" s="77" t="n"/>
      <c r="K2885" s="77" t="n"/>
      <c r="L2885" s="74" t="n"/>
      <c r="M2885" s="74" t="n"/>
      <c r="O2885" s="78">
        <f>IF($A2885="","",YEAR($A2885)*100+MONTH($A2885))</f>
        <v/>
      </c>
      <c r="P2885" s="79">
        <f>IF(OR($F2885="",$D2885=""),"",IF($D2885="Receita",$F2885,IF($D2885="Transferência",0,-$F2885)))</f>
        <v/>
      </c>
    </row>
    <row r="2886">
      <c r="A2886" s="73" t="n"/>
      <c r="B2886" s="74" t="n"/>
      <c r="C2886" s="74" t="n"/>
      <c r="D2886" s="75">
        <f>IF($C2886="","",IFERROR(INDEX(CAT_TIPO,MATCH($C2886,CAT_NOME,0)),"Sem categoria"))</f>
        <v/>
      </c>
      <c r="E2886" s="75">
        <f>IF($C2886="","",IFERROR(INDEX(CAT_GRUPO,MATCH($C2886,CAT_NOME,0)),"Sem categoria"))</f>
        <v/>
      </c>
      <c r="F2886" s="76" t="n"/>
      <c r="G2886" s="74" t="n"/>
      <c r="H2886" s="74" t="n"/>
      <c r="I2886" s="74" t="n"/>
      <c r="J2886" s="77" t="n"/>
      <c r="K2886" s="77" t="n"/>
      <c r="L2886" s="74" t="n"/>
      <c r="M2886" s="74" t="n"/>
      <c r="O2886" s="78">
        <f>IF($A2886="","",YEAR($A2886)*100+MONTH($A2886))</f>
        <v/>
      </c>
      <c r="P2886" s="79">
        <f>IF(OR($F2886="",$D2886=""),"",IF($D2886="Receita",$F2886,IF($D2886="Transferência",0,-$F2886)))</f>
        <v/>
      </c>
    </row>
    <row r="2887">
      <c r="A2887" s="73" t="n"/>
      <c r="B2887" s="74" t="n"/>
      <c r="C2887" s="74" t="n"/>
      <c r="D2887" s="75">
        <f>IF($C2887="","",IFERROR(INDEX(CAT_TIPO,MATCH($C2887,CAT_NOME,0)),"Sem categoria"))</f>
        <v/>
      </c>
      <c r="E2887" s="75">
        <f>IF($C2887="","",IFERROR(INDEX(CAT_GRUPO,MATCH($C2887,CAT_NOME,0)),"Sem categoria"))</f>
        <v/>
      </c>
      <c r="F2887" s="76" t="n"/>
      <c r="G2887" s="74" t="n"/>
      <c r="H2887" s="74" t="n"/>
      <c r="I2887" s="74" t="n"/>
      <c r="J2887" s="77" t="n"/>
      <c r="K2887" s="77" t="n"/>
      <c r="L2887" s="74" t="n"/>
      <c r="M2887" s="74" t="n"/>
      <c r="O2887" s="78">
        <f>IF($A2887="","",YEAR($A2887)*100+MONTH($A2887))</f>
        <v/>
      </c>
      <c r="P2887" s="79">
        <f>IF(OR($F2887="",$D2887=""),"",IF($D2887="Receita",$F2887,IF($D2887="Transferência",0,-$F2887)))</f>
        <v/>
      </c>
    </row>
    <row r="2888">
      <c r="A2888" s="73" t="n"/>
      <c r="B2888" s="74" t="n"/>
      <c r="C2888" s="74" t="n"/>
      <c r="D2888" s="75">
        <f>IF($C2888="","",IFERROR(INDEX(CAT_TIPO,MATCH($C2888,CAT_NOME,0)),"Sem categoria"))</f>
        <v/>
      </c>
      <c r="E2888" s="75">
        <f>IF($C2888="","",IFERROR(INDEX(CAT_GRUPO,MATCH($C2888,CAT_NOME,0)),"Sem categoria"))</f>
        <v/>
      </c>
      <c r="F2888" s="76" t="n"/>
      <c r="G2888" s="74" t="n"/>
      <c r="H2888" s="74" t="n"/>
      <c r="I2888" s="74" t="n"/>
      <c r="J2888" s="77" t="n"/>
      <c r="K2888" s="77" t="n"/>
      <c r="L2888" s="74" t="n"/>
      <c r="M2888" s="74" t="n"/>
      <c r="O2888" s="78">
        <f>IF($A2888="","",YEAR($A2888)*100+MONTH($A2888))</f>
        <v/>
      </c>
      <c r="P2888" s="79">
        <f>IF(OR($F2888="",$D2888=""),"",IF($D2888="Receita",$F2888,IF($D2888="Transferência",0,-$F2888)))</f>
        <v/>
      </c>
    </row>
    <row r="2889">
      <c r="A2889" s="73" t="n"/>
      <c r="B2889" s="74" t="n"/>
      <c r="C2889" s="74" t="n"/>
      <c r="D2889" s="75">
        <f>IF($C2889="","",IFERROR(INDEX(CAT_TIPO,MATCH($C2889,CAT_NOME,0)),"Sem categoria"))</f>
        <v/>
      </c>
      <c r="E2889" s="75">
        <f>IF($C2889="","",IFERROR(INDEX(CAT_GRUPO,MATCH($C2889,CAT_NOME,0)),"Sem categoria"))</f>
        <v/>
      </c>
      <c r="F2889" s="76" t="n"/>
      <c r="G2889" s="74" t="n"/>
      <c r="H2889" s="74" t="n"/>
      <c r="I2889" s="74" t="n"/>
      <c r="J2889" s="77" t="n"/>
      <c r="K2889" s="77" t="n"/>
      <c r="L2889" s="74" t="n"/>
      <c r="M2889" s="74" t="n"/>
      <c r="O2889" s="78">
        <f>IF($A2889="","",YEAR($A2889)*100+MONTH($A2889))</f>
        <v/>
      </c>
      <c r="P2889" s="79">
        <f>IF(OR($F2889="",$D2889=""),"",IF($D2889="Receita",$F2889,IF($D2889="Transferência",0,-$F2889)))</f>
        <v/>
      </c>
    </row>
    <row r="2890">
      <c r="A2890" s="73" t="n"/>
      <c r="B2890" s="74" t="n"/>
      <c r="C2890" s="74" t="n"/>
      <c r="D2890" s="75">
        <f>IF($C2890="","",IFERROR(INDEX(CAT_TIPO,MATCH($C2890,CAT_NOME,0)),"Sem categoria"))</f>
        <v/>
      </c>
      <c r="E2890" s="75">
        <f>IF($C2890="","",IFERROR(INDEX(CAT_GRUPO,MATCH($C2890,CAT_NOME,0)),"Sem categoria"))</f>
        <v/>
      </c>
      <c r="F2890" s="76" t="n"/>
      <c r="G2890" s="74" t="n"/>
      <c r="H2890" s="74" t="n"/>
      <c r="I2890" s="74" t="n"/>
      <c r="J2890" s="77" t="n"/>
      <c r="K2890" s="77" t="n"/>
      <c r="L2890" s="74" t="n"/>
      <c r="M2890" s="74" t="n"/>
      <c r="O2890" s="78">
        <f>IF($A2890="","",YEAR($A2890)*100+MONTH($A2890))</f>
        <v/>
      </c>
      <c r="P2890" s="79">
        <f>IF(OR($F2890="",$D2890=""),"",IF($D2890="Receita",$F2890,IF($D2890="Transferência",0,-$F2890)))</f>
        <v/>
      </c>
    </row>
    <row r="2891">
      <c r="A2891" s="73" t="n"/>
      <c r="B2891" s="74" t="n"/>
      <c r="C2891" s="74" t="n"/>
      <c r="D2891" s="75">
        <f>IF($C2891="","",IFERROR(INDEX(CAT_TIPO,MATCH($C2891,CAT_NOME,0)),"Sem categoria"))</f>
        <v/>
      </c>
      <c r="E2891" s="75">
        <f>IF($C2891="","",IFERROR(INDEX(CAT_GRUPO,MATCH($C2891,CAT_NOME,0)),"Sem categoria"))</f>
        <v/>
      </c>
      <c r="F2891" s="76" t="n"/>
      <c r="G2891" s="74" t="n"/>
      <c r="H2891" s="74" t="n"/>
      <c r="I2891" s="74" t="n"/>
      <c r="J2891" s="77" t="n"/>
      <c r="K2891" s="77" t="n"/>
      <c r="L2891" s="74" t="n"/>
      <c r="M2891" s="74" t="n"/>
      <c r="O2891" s="78">
        <f>IF($A2891="","",YEAR($A2891)*100+MONTH($A2891))</f>
        <v/>
      </c>
      <c r="P2891" s="79">
        <f>IF(OR($F2891="",$D2891=""),"",IF($D2891="Receita",$F2891,IF($D2891="Transferência",0,-$F2891)))</f>
        <v/>
      </c>
    </row>
    <row r="2892">
      <c r="A2892" s="73" t="n"/>
      <c r="B2892" s="74" t="n"/>
      <c r="C2892" s="74" t="n"/>
      <c r="D2892" s="75">
        <f>IF($C2892="","",IFERROR(INDEX(CAT_TIPO,MATCH($C2892,CAT_NOME,0)),"Sem categoria"))</f>
        <v/>
      </c>
      <c r="E2892" s="75">
        <f>IF($C2892="","",IFERROR(INDEX(CAT_GRUPO,MATCH($C2892,CAT_NOME,0)),"Sem categoria"))</f>
        <v/>
      </c>
      <c r="F2892" s="76" t="n"/>
      <c r="G2892" s="74" t="n"/>
      <c r="H2892" s="74" t="n"/>
      <c r="I2892" s="74" t="n"/>
      <c r="J2892" s="77" t="n"/>
      <c r="K2892" s="77" t="n"/>
      <c r="L2892" s="74" t="n"/>
      <c r="M2892" s="74" t="n"/>
      <c r="O2892" s="78">
        <f>IF($A2892="","",YEAR($A2892)*100+MONTH($A2892))</f>
        <v/>
      </c>
      <c r="P2892" s="79">
        <f>IF(OR($F2892="",$D2892=""),"",IF($D2892="Receita",$F2892,IF($D2892="Transferência",0,-$F2892)))</f>
        <v/>
      </c>
    </row>
    <row r="2893">
      <c r="A2893" s="73" t="n"/>
      <c r="B2893" s="74" t="n"/>
      <c r="C2893" s="74" t="n"/>
      <c r="D2893" s="75">
        <f>IF($C2893="","",IFERROR(INDEX(CAT_TIPO,MATCH($C2893,CAT_NOME,0)),"Sem categoria"))</f>
        <v/>
      </c>
      <c r="E2893" s="75">
        <f>IF($C2893="","",IFERROR(INDEX(CAT_GRUPO,MATCH($C2893,CAT_NOME,0)),"Sem categoria"))</f>
        <v/>
      </c>
      <c r="F2893" s="76" t="n"/>
      <c r="G2893" s="74" t="n"/>
      <c r="H2893" s="74" t="n"/>
      <c r="I2893" s="74" t="n"/>
      <c r="J2893" s="77" t="n"/>
      <c r="K2893" s="77" t="n"/>
      <c r="L2893" s="74" t="n"/>
      <c r="M2893" s="74" t="n"/>
      <c r="O2893" s="78">
        <f>IF($A2893="","",YEAR($A2893)*100+MONTH($A2893))</f>
        <v/>
      </c>
      <c r="P2893" s="79">
        <f>IF(OR($F2893="",$D2893=""),"",IF($D2893="Receita",$F2893,IF($D2893="Transferência",0,-$F2893)))</f>
        <v/>
      </c>
    </row>
    <row r="2894">
      <c r="A2894" s="73" t="n"/>
      <c r="B2894" s="74" t="n"/>
      <c r="C2894" s="74" t="n"/>
      <c r="D2894" s="75">
        <f>IF($C2894="","",IFERROR(INDEX(CAT_TIPO,MATCH($C2894,CAT_NOME,0)),"Sem categoria"))</f>
        <v/>
      </c>
      <c r="E2894" s="75">
        <f>IF($C2894="","",IFERROR(INDEX(CAT_GRUPO,MATCH($C2894,CAT_NOME,0)),"Sem categoria"))</f>
        <v/>
      </c>
      <c r="F2894" s="76" t="n"/>
      <c r="G2894" s="74" t="n"/>
      <c r="H2894" s="74" t="n"/>
      <c r="I2894" s="74" t="n"/>
      <c r="J2894" s="77" t="n"/>
      <c r="K2894" s="77" t="n"/>
      <c r="L2894" s="74" t="n"/>
      <c r="M2894" s="74" t="n"/>
      <c r="O2894" s="78">
        <f>IF($A2894="","",YEAR($A2894)*100+MONTH($A2894))</f>
        <v/>
      </c>
      <c r="P2894" s="79">
        <f>IF(OR($F2894="",$D2894=""),"",IF($D2894="Receita",$F2894,IF($D2894="Transferência",0,-$F2894)))</f>
        <v/>
      </c>
    </row>
    <row r="2895">
      <c r="A2895" s="73" t="n"/>
      <c r="B2895" s="74" t="n"/>
      <c r="C2895" s="74" t="n"/>
      <c r="D2895" s="75">
        <f>IF($C2895="","",IFERROR(INDEX(CAT_TIPO,MATCH($C2895,CAT_NOME,0)),"Sem categoria"))</f>
        <v/>
      </c>
      <c r="E2895" s="75">
        <f>IF($C2895="","",IFERROR(INDEX(CAT_GRUPO,MATCH($C2895,CAT_NOME,0)),"Sem categoria"))</f>
        <v/>
      </c>
      <c r="F2895" s="76" t="n"/>
      <c r="G2895" s="74" t="n"/>
      <c r="H2895" s="74" t="n"/>
      <c r="I2895" s="74" t="n"/>
      <c r="J2895" s="77" t="n"/>
      <c r="K2895" s="77" t="n"/>
      <c r="L2895" s="74" t="n"/>
      <c r="M2895" s="74" t="n"/>
      <c r="O2895" s="78">
        <f>IF($A2895="","",YEAR($A2895)*100+MONTH($A2895))</f>
        <v/>
      </c>
      <c r="P2895" s="79">
        <f>IF(OR($F2895="",$D2895=""),"",IF($D2895="Receita",$F2895,IF($D2895="Transferência",0,-$F2895)))</f>
        <v/>
      </c>
    </row>
    <row r="2896">
      <c r="A2896" s="73" t="n"/>
      <c r="B2896" s="74" t="n"/>
      <c r="C2896" s="74" t="n"/>
      <c r="D2896" s="75">
        <f>IF($C2896="","",IFERROR(INDEX(CAT_TIPO,MATCH($C2896,CAT_NOME,0)),"Sem categoria"))</f>
        <v/>
      </c>
      <c r="E2896" s="75">
        <f>IF($C2896="","",IFERROR(INDEX(CAT_GRUPO,MATCH($C2896,CAT_NOME,0)),"Sem categoria"))</f>
        <v/>
      </c>
      <c r="F2896" s="76" t="n"/>
      <c r="G2896" s="74" t="n"/>
      <c r="H2896" s="74" t="n"/>
      <c r="I2896" s="74" t="n"/>
      <c r="J2896" s="77" t="n"/>
      <c r="K2896" s="77" t="n"/>
      <c r="L2896" s="74" t="n"/>
      <c r="M2896" s="74" t="n"/>
      <c r="O2896" s="78">
        <f>IF($A2896="","",YEAR($A2896)*100+MONTH($A2896))</f>
        <v/>
      </c>
      <c r="P2896" s="79">
        <f>IF(OR($F2896="",$D2896=""),"",IF($D2896="Receita",$F2896,IF($D2896="Transferência",0,-$F2896)))</f>
        <v/>
      </c>
    </row>
    <row r="2897">
      <c r="A2897" s="73" t="n"/>
      <c r="B2897" s="74" t="n"/>
      <c r="C2897" s="74" t="n"/>
      <c r="D2897" s="75">
        <f>IF($C2897="","",IFERROR(INDEX(CAT_TIPO,MATCH($C2897,CAT_NOME,0)),"Sem categoria"))</f>
        <v/>
      </c>
      <c r="E2897" s="75">
        <f>IF($C2897="","",IFERROR(INDEX(CAT_GRUPO,MATCH($C2897,CAT_NOME,0)),"Sem categoria"))</f>
        <v/>
      </c>
      <c r="F2897" s="76" t="n"/>
      <c r="G2897" s="74" t="n"/>
      <c r="H2897" s="74" t="n"/>
      <c r="I2897" s="74" t="n"/>
      <c r="J2897" s="77" t="n"/>
      <c r="K2897" s="77" t="n"/>
      <c r="L2897" s="74" t="n"/>
      <c r="M2897" s="74" t="n"/>
      <c r="O2897" s="78">
        <f>IF($A2897="","",YEAR($A2897)*100+MONTH($A2897))</f>
        <v/>
      </c>
      <c r="P2897" s="79">
        <f>IF(OR($F2897="",$D2897=""),"",IF($D2897="Receita",$F2897,IF($D2897="Transferência",0,-$F2897)))</f>
        <v/>
      </c>
    </row>
    <row r="2898">
      <c r="A2898" s="73" t="n"/>
      <c r="B2898" s="74" t="n"/>
      <c r="C2898" s="74" t="n"/>
      <c r="D2898" s="75">
        <f>IF($C2898="","",IFERROR(INDEX(CAT_TIPO,MATCH($C2898,CAT_NOME,0)),"Sem categoria"))</f>
        <v/>
      </c>
      <c r="E2898" s="75">
        <f>IF($C2898="","",IFERROR(INDEX(CAT_GRUPO,MATCH($C2898,CAT_NOME,0)),"Sem categoria"))</f>
        <v/>
      </c>
      <c r="F2898" s="76" t="n"/>
      <c r="G2898" s="74" t="n"/>
      <c r="H2898" s="74" t="n"/>
      <c r="I2898" s="74" t="n"/>
      <c r="J2898" s="77" t="n"/>
      <c r="K2898" s="77" t="n"/>
      <c r="L2898" s="74" t="n"/>
      <c r="M2898" s="74" t="n"/>
      <c r="O2898" s="78">
        <f>IF($A2898="","",YEAR($A2898)*100+MONTH($A2898))</f>
        <v/>
      </c>
      <c r="P2898" s="79">
        <f>IF(OR($F2898="",$D2898=""),"",IF($D2898="Receita",$F2898,IF($D2898="Transferência",0,-$F2898)))</f>
        <v/>
      </c>
    </row>
    <row r="2899">
      <c r="A2899" s="73" t="n"/>
      <c r="B2899" s="74" t="n"/>
      <c r="C2899" s="74" t="n"/>
      <c r="D2899" s="75">
        <f>IF($C2899="","",IFERROR(INDEX(CAT_TIPO,MATCH($C2899,CAT_NOME,0)),"Sem categoria"))</f>
        <v/>
      </c>
      <c r="E2899" s="75">
        <f>IF($C2899="","",IFERROR(INDEX(CAT_GRUPO,MATCH($C2899,CAT_NOME,0)),"Sem categoria"))</f>
        <v/>
      </c>
      <c r="F2899" s="76" t="n"/>
      <c r="G2899" s="74" t="n"/>
      <c r="H2899" s="74" t="n"/>
      <c r="I2899" s="74" t="n"/>
      <c r="J2899" s="77" t="n"/>
      <c r="K2899" s="77" t="n"/>
      <c r="L2899" s="74" t="n"/>
      <c r="M2899" s="74" t="n"/>
      <c r="O2899" s="78">
        <f>IF($A2899="","",YEAR($A2899)*100+MONTH($A2899))</f>
        <v/>
      </c>
      <c r="P2899" s="79">
        <f>IF(OR($F2899="",$D2899=""),"",IF($D2899="Receita",$F2899,IF($D2899="Transferência",0,-$F2899)))</f>
        <v/>
      </c>
    </row>
    <row r="2900">
      <c r="A2900" s="73" t="n"/>
      <c r="B2900" s="74" t="n"/>
      <c r="C2900" s="74" t="n"/>
      <c r="D2900" s="75">
        <f>IF($C2900="","",IFERROR(INDEX(CAT_TIPO,MATCH($C2900,CAT_NOME,0)),"Sem categoria"))</f>
        <v/>
      </c>
      <c r="E2900" s="75">
        <f>IF($C2900="","",IFERROR(INDEX(CAT_GRUPO,MATCH($C2900,CAT_NOME,0)),"Sem categoria"))</f>
        <v/>
      </c>
      <c r="F2900" s="76" t="n"/>
      <c r="G2900" s="74" t="n"/>
      <c r="H2900" s="74" t="n"/>
      <c r="I2900" s="74" t="n"/>
      <c r="J2900" s="77" t="n"/>
      <c r="K2900" s="77" t="n"/>
      <c r="L2900" s="74" t="n"/>
      <c r="M2900" s="74" t="n"/>
      <c r="O2900" s="78">
        <f>IF($A2900="","",YEAR($A2900)*100+MONTH($A2900))</f>
        <v/>
      </c>
      <c r="P2900" s="79">
        <f>IF(OR($F2900="",$D2900=""),"",IF($D2900="Receita",$F2900,IF($D2900="Transferência",0,-$F2900)))</f>
        <v/>
      </c>
    </row>
    <row r="2901">
      <c r="A2901" s="73" t="n"/>
      <c r="B2901" s="74" t="n"/>
      <c r="C2901" s="74" t="n"/>
      <c r="D2901" s="75">
        <f>IF($C2901="","",IFERROR(INDEX(CAT_TIPO,MATCH($C2901,CAT_NOME,0)),"Sem categoria"))</f>
        <v/>
      </c>
      <c r="E2901" s="75">
        <f>IF($C2901="","",IFERROR(INDEX(CAT_GRUPO,MATCH($C2901,CAT_NOME,0)),"Sem categoria"))</f>
        <v/>
      </c>
      <c r="F2901" s="76" t="n"/>
      <c r="G2901" s="74" t="n"/>
      <c r="H2901" s="74" t="n"/>
      <c r="I2901" s="74" t="n"/>
      <c r="J2901" s="77" t="n"/>
      <c r="K2901" s="77" t="n"/>
      <c r="L2901" s="74" t="n"/>
      <c r="M2901" s="74" t="n"/>
      <c r="O2901" s="78">
        <f>IF($A2901="","",YEAR($A2901)*100+MONTH($A2901))</f>
        <v/>
      </c>
      <c r="P2901" s="79">
        <f>IF(OR($F2901="",$D2901=""),"",IF($D2901="Receita",$F2901,IF($D2901="Transferência",0,-$F2901)))</f>
        <v/>
      </c>
    </row>
    <row r="2902">
      <c r="A2902" s="73" t="n"/>
      <c r="B2902" s="74" t="n"/>
      <c r="C2902" s="74" t="n"/>
      <c r="D2902" s="75">
        <f>IF($C2902="","",IFERROR(INDEX(CAT_TIPO,MATCH($C2902,CAT_NOME,0)),"Sem categoria"))</f>
        <v/>
      </c>
      <c r="E2902" s="75">
        <f>IF($C2902="","",IFERROR(INDEX(CAT_GRUPO,MATCH($C2902,CAT_NOME,0)),"Sem categoria"))</f>
        <v/>
      </c>
      <c r="F2902" s="76" t="n"/>
      <c r="G2902" s="74" t="n"/>
      <c r="H2902" s="74" t="n"/>
      <c r="I2902" s="74" t="n"/>
      <c r="J2902" s="77" t="n"/>
      <c r="K2902" s="77" t="n"/>
      <c r="L2902" s="74" t="n"/>
      <c r="M2902" s="74" t="n"/>
      <c r="O2902" s="78">
        <f>IF($A2902="","",YEAR($A2902)*100+MONTH($A2902))</f>
        <v/>
      </c>
      <c r="P2902" s="79">
        <f>IF(OR($F2902="",$D2902=""),"",IF($D2902="Receita",$F2902,IF($D2902="Transferência",0,-$F2902)))</f>
        <v/>
      </c>
    </row>
    <row r="2903">
      <c r="A2903" s="73" t="n"/>
      <c r="B2903" s="74" t="n"/>
      <c r="C2903" s="74" t="n"/>
      <c r="D2903" s="75">
        <f>IF($C2903="","",IFERROR(INDEX(CAT_TIPO,MATCH($C2903,CAT_NOME,0)),"Sem categoria"))</f>
        <v/>
      </c>
      <c r="E2903" s="75">
        <f>IF($C2903="","",IFERROR(INDEX(CAT_GRUPO,MATCH($C2903,CAT_NOME,0)),"Sem categoria"))</f>
        <v/>
      </c>
      <c r="F2903" s="76" t="n"/>
      <c r="G2903" s="74" t="n"/>
      <c r="H2903" s="74" t="n"/>
      <c r="I2903" s="74" t="n"/>
      <c r="J2903" s="77" t="n"/>
      <c r="K2903" s="77" t="n"/>
      <c r="L2903" s="74" t="n"/>
      <c r="M2903" s="74" t="n"/>
      <c r="O2903" s="78">
        <f>IF($A2903="","",YEAR($A2903)*100+MONTH($A2903))</f>
        <v/>
      </c>
      <c r="P2903" s="79">
        <f>IF(OR($F2903="",$D2903=""),"",IF($D2903="Receita",$F2903,IF($D2903="Transferência",0,-$F2903)))</f>
        <v/>
      </c>
    </row>
    <row r="2904">
      <c r="A2904" s="73" t="n"/>
      <c r="B2904" s="74" t="n"/>
      <c r="C2904" s="74" t="n"/>
      <c r="D2904" s="75">
        <f>IF($C2904="","",IFERROR(INDEX(CAT_TIPO,MATCH($C2904,CAT_NOME,0)),"Sem categoria"))</f>
        <v/>
      </c>
      <c r="E2904" s="75">
        <f>IF($C2904="","",IFERROR(INDEX(CAT_GRUPO,MATCH($C2904,CAT_NOME,0)),"Sem categoria"))</f>
        <v/>
      </c>
      <c r="F2904" s="76" t="n"/>
      <c r="G2904" s="74" t="n"/>
      <c r="H2904" s="74" t="n"/>
      <c r="I2904" s="74" t="n"/>
      <c r="J2904" s="77" t="n"/>
      <c r="K2904" s="77" t="n"/>
      <c r="L2904" s="74" t="n"/>
      <c r="M2904" s="74" t="n"/>
      <c r="O2904" s="78">
        <f>IF($A2904="","",YEAR($A2904)*100+MONTH($A2904))</f>
        <v/>
      </c>
      <c r="P2904" s="79">
        <f>IF(OR($F2904="",$D2904=""),"",IF($D2904="Receita",$F2904,IF($D2904="Transferência",0,-$F2904)))</f>
        <v/>
      </c>
    </row>
    <row r="2905">
      <c r="A2905" s="73" t="n"/>
      <c r="B2905" s="74" t="n"/>
      <c r="C2905" s="74" t="n"/>
      <c r="D2905" s="75">
        <f>IF($C2905="","",IFERROR(INDEX(CAT_TIPO,MATCH($C2905,CAT_NOME,0)),"Sem categoria"))</f>
        <v/>
      </c>
      <c r="E2905" s="75">
        <f>IF($C2905="","",IFERROR(INDEX(CAT_GRUPO,MATCH($C2905,CAT_NOME,0)),"Sem categoria"))</f>
        <v/>
      </c>
      <c r="F2905" s="76" t="n"/>
      <c r="G2905" s="74" t="n"/>
      <c r="H2905" s="74" t="n"/>
      <c r="I2905" s="74" t="n"/>
      <c r="J2905" s="77" t="n"/>
      <c r="K2905" s="77" t="n"/>
      <c r="L2905" s="74" t="n"/>
      <c r="M2905" s="74" t="n"/>
      <c r="O2905" s="78">
        <f>IF($A2905="","",YEAR($A2905)*100+MONTH($A2905))</f>
        <v/>
      </c>
      <c r="P2905" s="79">
        <f>IF(OR($F2905="",$D2905=""),"",IF($D2905="Receita",$F2905,IF($D2905="Transferência",0,-$F2905)))</f>
        <v/>
      </c>
    </row>
    <row r="2906">
      <c r="A2906" s="73" t="n"/>
      <c r="B2906" s="74" t="n"/>
      <c r="C2906" s="74" t="n"/>
      <c r="D2906" s="75">
        <f>IF($C2906="","",IFERROR(INDEX(CAT_TIPO,MATCH($C2906,CAT_NOME,0)),"Sem categoria"))</f>
        <v/>
      </c>
      <c r="E2906" s="75">
        <f>IF($C2906="","",IFERROR(INDEX(CAT_GRUPO,MATCH($C2906,CAT_NOME,0)),"Sem categoria"))</f>
        <v/>
      </c>
      <c r="F2906" s="76" t="n"/>
      <c r="G2906" s="74" t="n"/>
      <c r="H2906" s="74" t="n"/>
      <c r="I2906" s="74" t="n"/>
      <c r="J2906" s="77" t="n"/>
      <c r="K2906" s="77" t="n"/>
      <c r="L2906" s="74" t="n"/>
      <c r="M2906" s="74" t="n"/>
      <c r="O2906" s="78">
        <f>IF($A2906="","",YEAR($A2906)*100+MONTH($A2906))</f>
        <v/>
      </c>
      <c r="P2906" s="79">
        <f>IF(OR($F2906="",$D2906=""),"",IF($D2906="Receita",$F2906,IF($D2906="Transferência",0,-$F2906)))</f>
        <v/>
      </c>
    </row>
    <row r="2907">
      <c r="A2907" s="73" t="n"/>
      <c r="B2907" s="74" t="n"/>
      <c r="C2907" s="74" t="n"/>
      <c r="D2907" s="75">
        <f>IF($C2907="","",IFERROR(INDEX(CAT_TIPO,MATCH($C2907,CAT_NOME,0)),"Sem categoria"))</f>
        <v/>
      </c>
      <c r="E2907" s="75">
        <f>IF($C2907="","",IFERROR(INDEX(CAT_GRUPO,MATCH($C2907,CAT_NOME,0)),"Sem categoria"))</f>
        <v/>
      </c>
      <c r="F2907" s="76" t="n"/>
      <c r="G2907" s="74" t="n"/>
      <c r="H2907" s="74" t="n"/>
      <c r="I2907" s="74" t="n"/>
      <c r="J2907" s="77" t="n"/>
      <c r="K2907" s="77" t="n"/>
      <c r="L2907" s="74" t="n"/>
      <c r="M2907" s="74" t="n"/>
      <c r="O2907" s="78">
        <f>IF($A2907="","",YEAR($A2907)*100+MONTH($A2907))</f>
        <v/>
      </c>
      <c r="P2907" s="79">
        <f>IF(OR($F2907="",$D2907=""),"",IF($D2907="Receita",$F2907,IF($D2907="Transferência",0,-$F2907)))</f>
        <v/>
      </c>
    </row>
    <row r="2908">
      <c r="A2908" s="73" t="n"/>
      <c r="B2908" s="74" t="n"/>
      <c r="C2908" s="74" t="n"/>
      <c r="D2908" s="75">
        <f>IF($C2908="","",IFERROR(INDEX(CAT_TIPO,MATCH($C2908,CAT_NOME,0)),"Sem categoria"))</f>
        <v/>
      </c>
      <c r="E2908" s="75">
        <f>IF($C2908="","",IFERROR(INDEX(CAT_GRUPO,MATCH($C2908,CAT_NOME,0)),"Sem categoria"))</f>
        <v/>
      </c>
      <c r="F2908" s="76" t="n"/>
      <c r="G2908" s="74" t="n"/>
      <c r="H2908" s="74" t="n"/>
      <c r="I2908" s="74" t="n"/>
      <c r="J2908" s="77" t="n"/>
      <c r="K2908" s="77" t="n"/>
      <c r="L2908" s="74" t="n"/>
      <c r="M2908" s="74" t="n"/>
      <c r="O2908" s="78">
        <f>IF($A2908="","",YEAR($A2908)*100+MONTH($A2908))</f>
        <v/>
      </c>
      <c r="P2908" s="79">
        <f>IF(OR($F2908="",$D2908=""),"",IF($D2908="Receita",$F2908,IF($D2908="Transferência",0,-$F2908)))</f>
        <v/>
      </c>
    </row>
    <row r="2909">
      <c r="A2909" s="73" t="n"/>
      <c r="B2909" s="74" t="n"/>
      <c r="C2909" s="74" t="n"/>
      <c r="D2909" s="75">
        <f>IF($C2909="","",IFERROR(INDEX(CAT_TIPO,MATCH($C2909,CAT_NOME,0)),"Sem categoria"))</f>
        <v/>
      </c>
      <c r="E2909" s="75">
        <f>IF($C2909="","",IFERROR(INDEX(CAT_GRUPO,MATCH($C2909,CAT_NOME,0)),"Sem categoria"))</f>
        <v/>
      </c>
      <c r="F2909" s="76" t="n"/>
      <c r="G2909" s="74" t="n"/>
      <c r="H2909" s="74" t="n"/>
      <c r="I2909" s="74" t="n"/>
      <c r="J2909" s="77" t="n"/>
      <c r="K2909" s="77" t="n"/>
      <c r="L2909" s="74" t="n"/>
      <c r="M2909" s="74" t="n"/>
      <c r="O2909" s="78">
        <f>IF($A2909="","",YEAR($A2909)*100+MONTH($A2909))</f>
        <v/>
      </c>
      <c r="P2909" s="79">
        <f>IF(OR($F2909="",$D2909=""),"",IF($D2909="Receita",$F2909,IF($D2909="Transferência",0,-$F2909)))</f>
        <v/>
      </c>
    </row>
    <row r="2910">
      <c r="A2910" s="73" t="n"/>
      <c r="B2910" s="74" t="n"/>
      <c r="C2910" s="74" t="n"/>
      <c r="D2910" s="75">
        <f>IF($C2910="","",IFERROR(INDEX(CAT_TIPO,MATCH($C2910,CAT_NOME,0)),"Sem categoria"))</f>
        <v/>
      </c>
      <c r="E2910" s="75">
        <f>IF($C2910="","",IFERROR(INDEX(CAT_GRUPO,MATCH($C2910,CAT_NOME,0)),"Sem categoria"))</f>
        <v/>
      </c>
      <c r="F2910" s="76" t="n"/>
      <c r="G2910" s="74" t="n"/>
      <c r="H2910" s="74" t="n"/>
      <c r="I2910" s="74" t="n"/>
      <c r="J2910" s="77" t="n"/>
      <c r="K2910" s="77" t="n"/>
      <c r="L2910" s="74" t="n"/>
      <c r="M2910" s="74" t="n"/>
      <c r="O2910" s="78">
        <f>IF($A2910="","",YEAR($A2910)*100+MONTH($A2910))</f>
        <v/>
      </c>
      <c r="P2910" s="79">
        <f>IF(OR($F2910="",$D2910=""),"",IF($D2910="Receita",$F2910,IF($D2910="Transferência",0,-$F2910)))</f>
        <v/>
      </c>
    </row>
    <row r="2911">
      <c r="A2911" s="73" t="n"/>
      <c r="B2911" s="74" t="n"/>
      <c r="C2911" s="74" t="n"/>
      <c r="D2911" s="75">
        <f>IF($C2911="","",IFERROR(INDEX(CAT_TIPO,MATCH($C2911,CAT_NOME,0)),"Sem categoria"))</f>
        <v/>
      </c>
      <c r="E2911" s="75">
        <f>IF($C2911="","",IFERROR(INDEX(CAT_GRUPO,MATCH($C2911,CAT_NOME,0)),"Sem categoria"))</f>
        <v/>
      </c>
      <c r="F2911" s="76" t="n"/>
      <c r="G2911" s="74" t="n"/>
      <c r="H2911" s="74" t="n"/>
      <c r="I2911" s="74" t="n"/>
      <c r="J2911" s="77" t="n"/>
      <c r="K2911" s="77" t="n"/>
      <c r="L2911" s="74" t="n"/>
      <c r="M2911" s="74" t="n"/>
      <c r="O2911" s="78">
        <f>IF($A2911="","",YEAR($A2911)*100+MONTH($A2911))</f>
        <v/>
      </c>
      <c r="P2911" s="79">
        <f>IF(OR($F2911="",$D2911=""),"",IF($D2911="Receita",$F2911,IF($D2911="Transferência",0,-$F2911)))</f>
        <v/>
      </c>
    </row>
    <row r="2912">
      <c r="A2912" s="73" t="n"/>
      <c r="B2912" s="74" t="n"/>
      <c r="C2912" s="74" t="n"/>
      <c r="D2912" s="75">
        <f>IF($C2912="","",IFERROR(INDEX(CAT_TIPO,MATCH($C2912,CAT_NOME,0)),"Sem categoria"))</f>
        <v/>
      </c>
      <c r="E2912" s="75">
        <f>IF($C2912="","",IFERROR(INDEX(CAT_GRUPO,MATCH($C2912,CAT_NOME,0)),"Sem categoria"))</f>
        <v/>
      </c>
      <c r="F2912" s="76" t="n"/>
      <c r="G2912" s="74" t="n"/>
      <c r="H2912" s="74" t="n"/>
      <c r="I2912" s="74" t="n"/>
      <c r="J2912" s="77" t="n"/>
      <c r="K2912" s="77" t="n"/>
      <c r="L2912" s="74" t="n"/>
      <c r="M2912" s="74" t="n"/>
      <c r="O2912" s="78">
        <f>IF($A2912="","",YEAR($A2912)*100+MONTH($A2912))</f>
        <v/>
      </c>
      <c r="P2912" s="79">
        <f>IF(OR($F2912="",$D2912=""),"",IF($D2912="Receita",$F2912,IF($D2912="Transferência",0,-$F2912)))</f>
        <v/>
      </c>
    </row>
    <row r="2913">
      <c r="A2913" s="73" t="n"/>
      <c r="B2913" s="74" t="n"/>
      <c r="C2913" s="74" t="n"/>
      <c r="D2913" s="75">
        <f>IF($C2913="","",IFERROR(INDEX(CAT_TIPO,MATCH($C2913,CAT_NOME,0)),"Sem categoria"))</f>
        <v/>
      </c>
      <c r="E2913" s="75">
        <f>IF($C2913="","",IFERROR(INDEX(CAT_GRUPO,MATCH($C2913,CAT_NOME,0)),"Sem categoria"))</f>
        <v/>
      </c>
      <c r="F2913" s="76" t="n"/>
      <c r="G2913" s="74" t="n"/>
      <c r="H2913" s="74" t="n"/>
      <c r="I2913" s="74" t="n"/>
      <c r="J2913" s="77" t="n"/>
      <c r="K2913" s="77" t="n"/>
      <c r="L2913" s="74" t="n"/>
      <c r="M2913" s="74" t="n"/>
      <c r="O2913" s="78">
        <f>IF($A2913="","",YEAR($A2913)*100+MONTH($A2913))</f>
        <v/>
      </c>
      <c r="P2913" s="79">
        <f>IF(OR($F2913="",$D2913=""),"",IF($D2913="Receita",$F2913,IF($D2913="Transferência",0,-$F2913)))</f>
        <v/>
      </c>
    </row>
    <row r="2914">
      <c r="A2914" s="73" t="n"/>
      <c r="B2914" s="74" t="n"/>
      <c r="C2914" s="74" t="n"/>
      <c r="D2914" s="75">
        <f>IF($C2914="","",IFERROR(INDEX(CAT_TIPO,MATCH($C2914,CAT_NOME,0)),"Sem categoria"))</f>
        <v/>
      </c>
      <c r="E2914" s="75">
        <f>IF($C2914="","",IFERROR(INDEX(CAT_GRUPO,MATCH($C2914,CAT_NOME,0)),"Sem categoria"))</f>
        <v/>
      </c>
      <c r="F2914" s="76" t="n"/>
      <c r="G2914" s="74" t="n"/>
      <c r="H2914" s="74" t="n"/>
      <c r="I2914" s="74" t="n"/>
      <c r="J2914" s="77" t="n"/>
      <c r="K2914" s="77" t="n"/>
      <c r="L2914" s="74" t="n"/>
      <c r="M2914" s="74" t="n"/>
      <c r="O2914" s="78">
        <f>IF($A2914="","",YEAR($A2914)*100+MONTH($A2914))</f>
        <v/>
      </c>
      <c r="P2914" s="79">
        <f>IF(OR($F2914="",$D2914=""),"",IF($D2914="Receita",$F2914,IF($D2914="Transferência",0,-$F2914)))</f>
        <v/>
      </c>
    </row>
    <row r="2915">
      <c r="A2915" s="73" t="n"/>
      <c r="B2915" s="74" t="n"/>
      <c r="C2915" s="74" t="n"/>
      <c r="D2915" s="75">
        <f>IF($C2915="","",IFERROR(INDEX(CAT_TIPO,MATCH($C2915,CAT_NOME,0)),"Sem categoria"))</f>
        <v/>
      </c>
      <c r="E2915" s="75">
        <f>IF($C2915="","",IFERROR(INDEX(CAT_GRUPO,MATCH($C2915,CAT_NOME,0)),"Sem categoria"))</f>
        <v/>
      </c>
      <c r="F2915" s="76" t="n"/>
      <c r="G2915" s="74" t="n"/>
      <c r="H2915" s="74" t="n"/>
      <c r="I2915" s="74" t="n"/>
      <c r="J2915" s="77" t="n"/>
      <c r="K2915" s="77" t="n"/>
      <c r="L2915" s="74" t="n"/>
      <c r="M2915" s="74" t="n"/>
      <c r="O2915" s="78">
        <f>IF($A2915="","",YEAR($A2915)*100+MONTH($A2915))</f>
        <v/>
      </c>
      <c r="P2915" s="79">
        <f>IF(OR($F2915="",$D2915=""),"",IF($D2915="Receita",$F2915,IF($D2915="Transferência",0,-$F2915)))</f>
        <v/>
      </c>
    </row>
    <row r="2916">
      <c r="A2916" s="73" t="n"/>
      <c r="B2916" s="74" t="n"/>
      <c r="C2916" s="74" t="n"/>
      <c r="D2916" s="75">
        <f>IF($C2916="","",IFERROR(INDEX(CAT_TIPO,MATCH($C2916,CAT_NOME,0)),"Sem categoria"))</f>
        <v/>
      </c>
      <c r="E2916" s="75">
        <f>IF($C2916="","",IFERROR(INDEX(CAT_GRUPO,MATCH($C2916,CAT_NOME,0)),"Sem categoria"))</f>
        <v/>
      </c>
      <c r="F2916" s="76" t="n"/>
      <c r="G2916" s="74" t="n"/>
      <c r="H2916" s="74" t="n"/>
      <c r="I2916" s="74" t="n"/>
      <c r="J2916" s="77" t="n"/>
      <c r="K2916" s="77" t="n"/>
      <c r="L2916" s="74" t="n"/>
      <c r="M2916" s="74" t="n"/>
      <c r="O2916" s="78">
        <f>IF($A2916="","",YEAR($A2916)*100+MONTH($A2916))</f>
        <v/>
      </c>
      <c r="P2916" s="79">
        <f>IF(OR($F2916="",$D2916=""),"",IF($D2916="Receita",$F2916,IF($D2916="Transferência",0,-$F2916)))</f>
        <v/>
      </c>
    </row>
    <row r="2917">
      <c r="A2917" s="73" t="n"/>
      <c r="B2917" s="74" t="n"/>
      <c r="C2917" s="74" t="n"/>
      <c r="D2917" s="75">
        <f>IF($C2917="","",IFERROR(INDEX(CAT_TIPO,MATCH($C2917,CAT_NOME,0)),"Sem categoria"))</f>
        <v/>
      </c>
      <c r="E2917" s="75">
        <f>IF($C2917="","",IFERROR(INDEX(CAT_GRUPO,MATCH($C2917,CAT_NOME,0)),"Sem categoria"))</f>
        <v/>
      </c>
      <c r="F2917" s="76" t="n"/>
      <c r="G2917" s="74" t="n"/>
      <c r="H2917" s="74" t="n"/>
      <c r="I2917" s="74" t="n"/>
      <c r="J2917" s="77" t="n"/>
      <c r="K2917" s="77" t="n"/>
      <c r="L2917" s="74" t="n"/>
      <c r="M2917" s="74" t="n"/>
      <c r="O2917" s="78">
        <f>IF($A2917="","",YEAR($A2917)*100+MONTH($A2917))</f>
        <v/>
      </c>
      <c r="P2917" s="79">
        <f>IF(OR($F2917="",$D2917=""),"",IF($D2917="Receita",$F2917,IF($D2917="Transferência",0,-$F2917)))</f>
        <v/>
      </c>
    </row>
    <row r="2918">
      <c r="A2918" s="73" t="n"/>
      <c r="B2918" s="74" t="n"/>
      <c r="C2918" s="74" t="n"/>
      <c r="D2918" s="75">
        <f>IF($C2918="","",IFERROR(INDEX(CAT_TIPO,MATCH($C2918,CAT_NOME,0)),"Sem categoria"))</f>
        <v/>
      </c>
      <c r="E2918" s="75">
        <f>IF($C2918="","",IFERROR(INDEX(CAT_GRUPO,MATCH($C2918,CAT_NOME,0)),"Sem categoria"))</f>
        <v/>
      </c>
      <c r="F2918" s="76" t="n"/>
      <c r="G2918" s="74" t="n"/>
      <c r="H2918" s="74" t="n"/>
      <c r="I2918" s="74" t="n"/>
      <c r="J2918" s="77" t="n"/>
      <c r="K2918" s="77" t="n"/>
      <c r="L2918" s="74" t="n"/>
      <c r="M2918" s="74" t="n"/>
      <c r="O2918" s="78">
        <f>IF($A2918="","",YEAR($A2918)*100+MONTH($A2918))</f>
        <v/>
      </c>
      <c r="P2918" s="79">
        <f>IF(OR($F2918="",$D2918=""),"",IF($D2918="Receita",$F2918,IF($D2918="Transferência",0,-$F2918)))</f>
        <v/>
      </c>
    </row>
    <row r="2919">
      <c r="A2919" s="73" t="n"/>
      <c r="B2919" s="74" t="n"/>
      <c r="C2919" s="74" t="n"/>
      <c r="D2919" s="75">
        <f>IF($C2919="","",IFERROR(INDEX(CAT_TIPO,MATCH($C2919,CAT_NOME,0)),"Sem categoria"))</f>
        <v/>
      </c>
      <c r="E2919" s="75">
        <f>IF($C2919="","",IFERROR(INDEX(CAT_GRUPO,MATCH($C2919,CAT_NOME,0)),"Sem categoria"))</f>
        <v/>
      </c>
      <c r="F2919" s="76" t="n"/>
      <c r="G2919" s="74" t="n"/>
      <c r="H2919" s="74" t="n"/>
      <c r="I2919" s="74" t="n"/>
      <c r="J2919" s="77" t="n"/>
      <c r="K2919" s="77" t="n"/>
      <c r="L2919" s="74" t="n"/>
      <c r="M2919" s="74" t="n"/>
      <c r="O2919" s="78">
        <f>IF($A2919="","",YEAR($A2919)*100+MONTH($A2919))</f>
        <v/>
      </c>
      <c r="P2919" s="79">
        <f>IF(OR($F2919="",$D2919=""),"",IF($D2919="Receita",$F2919,IF($D2919="Transferência",0,-$F2919)))</f>
        <v/>
      </c>
    </row>
    <row r="2920">
      <c r="A2920" s="73" t="n"/>
      <c r="B2920" s="74" t="n"/>
      <c r="C2920" s="74" t="n"/>
      <c r="D2920" s="75">
        <f>IF($C2920="","",IFERROR(INDEX(CAT_TIPO,MATCH($C2920,CAT_NOME,0)),"Sem categoria"))</f>
        <v/>
      </c>
      <c r="E2920" s="75">
        <f>IF($C2920="","",IFERROR(INDEX(CAT_GRUPO,MATCH($C2920,CAT_NOME,0)),"Sem categoria"))</f>
        <v/>
      </c>
      <c r="F2920" s="76" t="n"/>
      <c r="G2920" s="74" t="n"/>
      <c r="H2920" s="74" t="n"/>
      <c r="I2920" s="74" t="n"/>
      <c r="J2920" s="77" t="n"/>
      <c r="K2920" s="77" t="n"/>
      <c r="L2920" s="74" t="n"/>
      <c r="M2920" s="74" t="n"/>
      <c r="O2920" s="78">
        <f>IF($A2920="","",YEAR($A2920)*100+MONTH($A2920))</f>
        <v/>
      </c>
      <c r="P2920" s="79">
        <f>IF(OR($F2920="",$D2920=""),"",IF($D2920="Receita",$F2920,IF($D2920="Transferência",0,-$F2920)))</f>
        <v/>
      </c>
    </row>
    <row r="2921">
      <c r="A2921" s="73" t="n"/>
      <c r="B2921" s="74" t="n"/>
      <c r="C2921" s="74" t="n"/>
      <c r="D2921" s="75">
        <f>IF($C2921="","",IFERROR(INDEX(CAT_TIPO,MATCH($C2921,CAT_NOME,0)),"Sem categoria"))</f>
        <v/>
      </c>
      <c r="E2921" s="75">
        <f>IF($C2921="","",IFERROR(INDEX(CAT_GRUPO,MATCH($C2921,CAT_NOME,0)),"Sem categoria"))</f>
        <v/>
      </c>
      <c r="F2921" s="76" t="n"/>
      <c r="G2921" s="74" t="n"/>
      <c r="H2921" s="74" t="n"/>
      <c r="I2921" s="74" t="n"/>
      <c r="J2921" s="77" t="n"/>
      <c r="K2921" s="77" t="n"/>
      <c r="L2921" s="74" t="n"/>
      <c r="M2921" s="74" t="n"/>
      <c r="O2921" s="78">
        <f>IF($A2921="","",YEAR($A2921)*100+MONTH($A2921))</f>
        <v/>
      </c>
      <c r="P2921" s="79">
        <f>IF(OR($F2921="",$D2921=""),"",IF($D2921="Receita",$F2921,IF($D2921="Transferência",0,-$F2921)))</f>
        <v/>
      </c>
    </row>
    <row r="2922">
      <c r="A2922" s="73" t="n"/>
      <c r="B2922" s="74" t="n"/>
      <c r="C2922" s="74" t="n"/>
      <c r="D2922" s="75">
        <f>IF($C2922="","",IFERROR(INDEX(CAT_TIPO,MATCH($C2922,CAT_NOME,0)),"Sem categoria"))</f>
        <v/>
      </c>
      <c r="E2922" s="75">
        <f>IF($C2922="","",IFERROR(INDEX(CAT_GRUPO,MATCH($C2922,CAT_NOME,0)),"Sem categoria"))</f>
        <v/>
      </c>
      <c r="F2922" s="76" t="n"/>
      <c r="G2922" s="74" t="n"/>
      <c r="H2922" s="74" t="n"/>
      <c r="I2922" s="74" t="n"/>
      <c r="J2922" s="77" t="n"/>
      <c r="K2922" s="77" t="n"/>
      <c r="L2922" s="74" t="n"/>
      <c r="M2922" s="74" t="n"/>
      <c r="O2922" s="78">
        <f>IF($A2922="","",YEAR($A2922)*100+MONTH($A2922))</f>
        <v/>
      </c>
      <c r="P2922" s="79">
        <f>IF(OR($F2922="",$D2922=""),"",IF($D2922="Receita",$F2922,IF($D2922="Transferência",0,-$F2922)))</f>
        <v/>
      </c>
    </row>
    <row r="2923">
      <c r="A2923" s="73" t="n"/>
      <c r="B2923" s="74" t="n"/>
      <c r="C2923" s="74" t="n"/>
      <c r="D2923" s="75">
        <f>IF($C2923="","",IFERROR(INDEX(CAT_TIPO,MATCH($C2923,CAT_NOME,0)),"Sem categoria"))</f>
        <v/>
      </c>
      <c r="E2923" s="75">
        <f>IF($C2923="","",IFERROR(INDEX(CAT_GRUPO,MATCH($C2923,CAT_NOME,0)),"Sem categoria"))</f>
        <v/>
      </c>
      <c r="F2923" s="76" t="n"/>
      <c r="G2923" s="74" t="n"/>
      <c r="H2923" s="74" t="n"/>
      <c r="I2923" s="74" t="n"/>
      <c r="J2923" s="77" t="n"/>
      <c r="K2923" s="77" t="n"/>
      <c r="L2923" s="74" t="n"/>
      <c r="M2923" s="74" t="n"/>
      <c r="O2923" s="78">
        <f>IF($A2923="","",YEAR($A2923)*100+MONTH($A2923))</f>
        <v/>
      </c>
      <c r="P2923" s="79">
        <f>IF(OR($F2923="",$D2923=""),"",IF($D2923="Receita",$F2923,IF($D2923="Transferência",0,-$F2923)))</f>
        <v/>
      </c>
    </row>
    <row r="2924">
      <c r="A2924" s="73" t="n"/>
      <c r="B2924" s="74" t="n"/>
      <c r="C2924" s="74" t="n"/>
      <c r="D2924" s="75">
        <f>IF($C2924="","",IFERROR(INDEX(CAT_TIPO,MATCH($C2924,CAT_NOME,0)),"Sem categoria"))</f>
        <v/>
      </c>
      <c r="E2924" s="75">
        <f>IF($C2924="","",IFERROR(INDEX(CAT_GRUPO,MATCH($C2924,CAT_NOME,0)),"Sem categoria"))</f>
        <v/>
      </c>
      <c r="F2924" s="76" t="n"/>
      <c r="G2924" s="74" t="n"/>
      <c r="H2924" s="74" t="n"/>
      <c r="I2924" s="74" t="n"/>
      <c r="J2924" s="77" t="n"/>
      <c r="K2924" s="77" t="n"/>
      <c r="L2924" s="74" t="n"/>
      <c r="M2924" s="74" t="n"/>
      <c r="O2924" s="78">
        <f>IF($A2924="","",YEAR($A2924)*100+MONTH($A2924))</f>
        <v/>
      </c>
      <c r="P2924" s="79">
        <f>IF(OR($F2924="",$D2924=""),"",IF($D2924="Receita",$F2924,IF($D2924="Transferência",0,-$F2924)))</f>
        <v/>
      </c>
    </row>
    <row r="2925">
      <c r="A2925" s="73" t="n"/>
      <c r="B2925" s="74" t="n"/>
      <c r="C2925" s="74" t="n"/>
      <c r="D2925" s="75">
        <f>IF($C2925="","",IFERROR(INDEX(CAT_TIPO,MATCH($C2925,CAT_NOME,0)),"Sem categoria"))</f>
        <v/>
      </c>
      <c r="E2925" s="75">
        <f>IF($C2925="","",IFERROR(INDEX(CAT_GRUPO,MATCH($C2925,CAT_NOME,0)),"Sem categoria"))</f>
        <v/>
      </c>
      <c r="F2925" s="76" t="n"/>
      <c r="G2925" s="74" t="n"/>
      <c r="H2925" s="74" t="n"/>
      <c r="I2925" s="74" t="n"/>
      <c r="J2925" s="77" t="n"/>
      <c r="K2925" s="77" t="n"/>
      <c r="L2925" s="74" t="n"/>
      <c r="M2925" s="74" t="n"/>
      <c r="O2925" s="78">
        <f>IF($A2925="","",YEAR($A2925)*100+MONTH($A2925))</f>
        <v/>
      </c>
      <c r="P2925" s="79">
        <f>IF(OR($F2925="",$D2925=""),"",IF($D2925="Receita",$F2925,IF($D2925="Transferência",0,-$F2925)))</f>
        <v/>
      </c>
    </row>
    <row r="2926">
      <c r="A2926" s="73" t="n"/>
      <c r="B2926" s="74" t="n"/>
      <c r="C2926" s="74" t="n"/>
      <c r="D2926" s="75">
        <f>IF($C2926="","",IFERROR(INDEX(CAT_TIPO,MATCH($C2926,CAT_NOME,0)),"Sem categoria"))</f>
        <v/>
      </c>
      <c r="E2926" s="75">
        <f>IF($C2926="","",IFERROR(INDEX(CAT_GRUPO,MATCH($C2926,CAT_NOME,0)),"Sem categoria"))</f>
        <v/>
      </c>
      <c r="F2926" s="76" t="n"/>
      <c r="G2926" s="74" t="n"/>
      <c r="H2926" s="74" t="n"/>
      <c r="I2926" s="74" t="n"/>
      <c r="J2926" s="77" t="n"/>
      <c r="K2926" s="77" t="n"/>
      <c r="L2926" s="74" t="n"/>
      <c r="M2926" s="74" t="n"/>
      <c r="O2926" s="78">
        <f>IF($A2926="","",YEAR($A2926)*100+MONTH($A2926))</f>
        <v/>
      </c>
      <c r="P2926" s="79">
        <f>IF(OR($F2926="",$D2926=""),"",IF($D2926="Receita",$F2926,IF($D2926="Transferência",0,-$F2926)))</f>
        <v/>
      </c>
    </row>
    <row r="2927">
      <c r="A2927" s="73" t="n"/>
      <c r="B2927" s="74" t="n"/>
      <c r="C2927" s="74" t="n"/>
      <c r="D2927" s="75">
        <f>IF($C2927="","",IFERROR(INDEX(CAT_TIPO,MATCH($C2927,CAT_NOME,0)),"Sem categoria"))</f>
        <v/>
      </c>
      <c r="E2927" s="75">
        <f>IF($C2927="","",IFERROR(INDEX(CAT_GRUPO,MATCH($C2927,CAT_NOME,0)),"Sem categoria"))</f>
        <v/>
      </c>
      <c r="F2927" s="76" t="n"/>
      <c r="G2927" s="74" t="n"/>
      <c r="H2927" s="74" t="n"/>
      <c r="I2927" s="74" t="n"/>
      <c r="J2927" s="77" t="n"/>
      <c r="K2927" s="77" t="n"/>
      <c r="L2927" s="74" t="n"/>
      <c r="M2927" s="74" t="n"/>
      <c r="O2927" s="78">
        <f>IF($A2927="","",YEAR($A2927)*100+MONTH($A2927))</f>
        <v/>
      </c>
      <c r="P2927" s="79">
        <f>IF(OR($F2927="",$D2927=""),"",IF($D2927="Receita",$F2927,IF($D2927="Transferência",0,-$F2927)))</f>
        <v/>
      </c>
    </row>
    <row r="2928">
      <c r="A2928" s="73" t="n"/>
      <c r="B2928" s="74" t="n"/>
      <c r="C2928" s="74" t="n"/>
      <c r="D2928" s="75">
        <f>IF($C2928="","",IFERROR(INDEX(CAT_TIPO,MATCH($C2928,CAT_NOME,0)),"Sem categoria"))</f>
        <v/>
      </c>
      <c r="E2928" s="75">
        <f>IF($C2928="","",IFERROR(INDEX(CAT_GRUPO,MATCH($C2928,CAT_NOME,0)),"Sem categoria"))</f>
        <v/>
      </c>
      <c r="F2928" s="76" t="n"/>
      <c r="G2928" s="74" t="n"/>
      <c r="H2928" s="74" t="n"/>
      <c r="I2928" s="74" t="n"/>
      <c r="J2928" s="77" t="n"/>
      <c r="K2928" s="77" t="n"/>
      <c r="L2928" s="74" t="n"/>
      <c r="M2928" s="74" t="n"/>
      <c r="O2928" s="78">
        <f>IF($A2928="","",YEAR($A2928)*100+MONTH($A2928))</f>
        <v/>
      </c>
      <c r="P2928" s="79">
        <f>IF(OR($F2928="",$D2928=""),"",IF($D2928="Receita",$F2928,IF($D2928="Transferência",0,-$F2928)))</f>
        <v/>
      </c>
    </row>
    <row r="2929">
      <c r="A2929" s="73" t="n"/>
      <c r="B2929" s="74" t="n"/>
      <c r="C2929" s="74" t="n"/>
      <c r="D2929" s="75">
        <f>IF($C2929="","",IFERROR(INDEX(CAT_TIPO,MATCH($C2929,CAT_NOME,0)),"Sem categoria"))</f>
        <v/>
      </c>
      <c r="E2929" s="75">
        <f>IF($C2929="","",IFERROR(INDEX(CAT_GRUPO,MATCH($C2929,CAT_NOME,0)),"Sem categoria"))</f>
        <v/>
      </c>
      <c r="F2929" s="76" t="n"/>
      <c r="G2929" s="74" t="n"/>
      <c r="H2929" s="74" t="n"/>
      <c r="I2929" s="74" t="n"/>
      <c r="J2929" s="77" t="n"/>
      <c r="K2929" s="77" t="n"/>
      <c r="L2929" s="74" t="n"/>
      <c r="M2929" s="74" t="n"/>
      <c r="O2929" s="78">
        <f>IF($A2929="","",YEAR($A2929)*100+MONTH($A2929))</f>
        <v/>
      </c>
      <c r="P2929" s="79">
        <f>IF(OR($F2929="",$D2929=""),"",IF($D2929="Receita",$F2929,IF($D2929="Transferência",0,-$F2929)))</f>
        <v/>
      </c>
    </row>
    <row r="2930">
      <c r="A2930" s="73" t="n"/>
      <c r="B2930" s="74" t="n"/>
      <c r="C2930" s="74" t="n"/>
      <c r="D2930" s="75">
        <f>IF($C2930="","",IFERROR(INDEX(CAT_TIPO,MATCH($C2930,CAT_NOME,0)),"Sem categoria"))</f>
        <v/>
      </c>
      <c r="E2930" s="75">
        <f>IF($C2930="","",IFERROR(INDEX(CAT_GRUPO,MATCH($C2930,CAT_NOME,0)),"Sem categoria"))</f>
        <v/>
      </c>
      <c r="F2930" s="76" t="n"/>
      <c r="G2930" s="74" t="n"/>
      <c r="H2930" s="74" t="n"/>
      <c r="I2930" s="74" t="n"/>
      <c r="J2930" s="77" t="n"/>
      <c r="K2930" s="77" t="n"/>
      <c r="L2930" s="74" t="n"/>
      <c r="M2930" s="74" t="n"/>
      <c r="O2930" s="78">
        <f>IF($A2930="","",YEAR($A2930)*100+MONTH($A2930))</f>
        <v/>
      </c>
      <c r="P2930" s="79">
        <f>IF(OR($F2930="",$D2930=""),"",IF($D2930="Receita",$F2930,IF($D2930="Transferência",0,-$F2930)))</f>
        <v/>
      </c>
    </row>
    <row r="2931">
      <c r="A2931" s="73" t="n"/>
      <c r="B2931" s="74" t="n"/>
      <c r="C2931" s="74" t="n"/>
      <c r="D2931" s="75">
        <f>IF($C2931="","",IFERROR(INDEX(CAT_TIPO,MATCH($C2931,CAT_NOME,0)),"Sem categoria"))</f>
        <v/>
      </c>
      <c r="E2931" s="75">
        <f>IF($C2931="","",IFERROR(INDEX(CAT_GRUPO,MATCH($C2931,CAT_NOME,0)),"Sem categoria"))</f>
        <v/>
      </c>
      <c r="F2931" s="76" t="n"/>
      <c r="G2931" s="74" t="n"/>
      <c r="H2931" s="74" t="n"/>
      <c r="I2931" s="74" t="n"/>
      <c r="J2931" s="77" t="n"/>
      <c r="K2931" s="77" t="n"/>
      <c r="L2931" s="74" t="n"/>
      <c r="M2931" s="74" t="n"/>
      <c r="O2931" s="78">
        <f>IF($A2931="","",YEAR($A2931)*100+MONTH($A2931))</f>
        <v/>
      </c>
      <c r="P2931" s="79">
        <f>IF(OR($F2931="",$D2931=""),"",IF($D2931="Receita",$F2931,IF($D2931="Transferência",0,-$F2931)))</f>
        <v/>
      </c>
    </row>
    <row r="2932">
      <c r="A2932" s="73" t="n"/>
      <c r="B2932" s="74" t="n"/>
      <c r="C2932" s="74" t="n"/>
      <c r="D2932" s="75">
        <f>IF($C2932="","",IFERROR(INDEX(CAT_TIPO,MATCH($C2932,CAT_NOME,0)),"Sem categoria"))</f>
        <v/>
      </c>
      <c r="E2932" s="75">
        <f>IF($C2932="","",IFERROR(INDEX(CAT_GRUPO,MATCH($C2932,CAT_NOME,0)),"Sem categoria"))</f>
        <v/>
      </c>
      <c r="F2932" s="76" t="n"/>
      <c r="G2932" s="74" t="n"/>
      <c r="H2932" s="74" t="n"/>
      <c r="I2932" s="74" t="n"/>
      <c r="J2932" s="77" t="n"/>
      <c r="K2932" s="77" t="n"/>
      <c r="L2932" s="74" t="n"/>
      <c r="M2932" s="74" t="n"/>
      <c r="O2932" s="78">
        <f>IF($A2932="","",YEAR($A2932)*100+MONTH($A2932))</f>
        <v/>
      </c>
      <c r="P2932" s="79">
        <f>IF(OR($F2932="",$D2932=""),"",IF($D2932="Receita",$F2932,IF($D2932="Transferência",0,-$F2932)))</f>
        <v/>
      </c>
    </row>
    <row r="2933">
      <c r="A2933" s="73" t="n"/>
      <c r="B2933" s="74" t="n"/>
      <c r="C2933" s="74" t="n"/>
      <c r="D2933" s="75">
        <f>IF($C2933="","",IFERROR(INDEX(CAT_TIPO,MATCH($C2933,CAT_NOME,0)),"Sem categoria"))</f>
        <v/>
      </c>
      <c r="E2933" s="75">
        <f>IF($C2933="","",IFERROR(INDEX(CAT_GRUPO,MATCH($C2933,CAT_NOME,0)),"Sem categoria"))</f>
        <v/>
      </c>
      <c r="F2933" s="76" t="n"/>
      <c r="G2933" s="74" t="n"/>
      <c r="H2933" s="74" t="n"/>
      <c r="I2933" s="74" t="n"/>
      <c r="J2933" s="77" t="n"/>
      <c r="K2933" s="77" t="n"/>
      <c r="L2933" s="74" t="n"/>
      <c r="M2933" s="74" t="n"/>
      <c r="O2933" s="78">
        <f>IF($A2933="","",YEAR($A2933)*100+MONTH($A2933))</f>
        <v/>
      </c>
      <c r="P2933" s="79">
        <f>IF(OR($F2933="",$D2933=""),"",IF($D2933="Receita",$F2933,IF($D2933="Transferência",0,-$F2933)))</f>
        <v/>
      </c>
    </row>
    <row r="2934">
      <c r="A2934" s="73" t="n"/>
      <c r="B2934" s="74" t="n"/>
      <c r="C2934" s="74" t="n"/>
      <c r="D2934" s="75">
        <f>IF($C2934="","",IFERROR(INDEX(CAT_TIPO,MATCH($C2934,CAT_NOME,0)),"Sem categoria"))</f>
        <v/>
      </c>
      <c r="E2934" s="75">
        <f>IF($C2934="","",IFERROR(INDEX(CAT_GRUPO,MATCH($C2934,CAT_NOME,0)),"Sem categoria"))</f>
        <v/>
      </c>
      <c r="F2934" s="76" t="n"/>
      <c r="G2934" s="74" t="n"/>
      <c r="H2934" s="74" t="n"/>
      <c r="I2934" s="74" t="n"/>
      <c r="J2934" s="77" t="n"/>
      <c r="K2934" s="77" t="n"/>
      <c r="L2934" s="74" t="n"/>
      <c r="M2934" s="74" t="n"/>
      <c r="O2934" s="78">
        <f>IF($A2934="","",YEAR($A2934)*100+MONTH($A2934))</f>
        <v/>
      </c>
      <c r="P2934" s="79">
        <f>IF(OR($F2934="",$D2934=""),"",IF($D2934="Receita",$F2934,IF($D2934="Transferência",0,-$F2934)))</f>
        <v/>
      </c>
    </row>
    <row r="2935">
      <c r="A2935" s="73" t="n"/>
      <c r="B2935" s="74" t="n"/>
      <c r="C2935" s="74" t="n"/>
      <c r="D2935" s="75">
        <f>IF($C2935="","",IFERROR(INDEX(CAT_TIPO,MATCH($C2935,CAT_NOME,0)),"Sem categoria"))</f>
        <v/>
      </c>
      <c r="E2935" s="75">
        <f>IF($C2935="","",IFERROR(INDEX(CAT_GRUPO,MATCH($C2935,CAT_NOME,0)),"Sem categoria"))</f>
        <v/>
      </c>
      <c r="F2935" s="76" t="n"/>
      <c r="G2935" s="74" t="n"/>
      <c r="H2935" s="74" t="n"/>
      <c r="I2935" s="74" t="n"/>
      <c r="J2935" s="77" t="n"/>
      <c r="K2935" s="77" t="n"/>
      <c r="L2935" s="74" t="n"/>
      <c r="M2935" s="74" t="n"/>
      <c r="O2935" s="78">
        <f>IF($A2935="","",YEAR($A2935)*100+MONTH($A2935))</f>
        <v/>
      </c>
      <c r="P2935" s="79">
        <f>IF(OR($F2935="",$D2935=""),"",IF($D2935="Receita",$F2935,IF($D2935="Transferência",0,-$F2935)))</f>
        <v/>
      </c>
    </row>
    <row r="2936">
      <c r="A2936" s="73" t="n"/>
      <c r="B2936" s="74" t="n"/>
      <c r="C2936" s="74" t="n"/>
      <c r="D2936" s="75">
        <f>IF($C2936="","",IFERROR(INDEX(CAT_TIPO,MATCH($C2936,CAT_NOME,0)),"Sem categoria"))</f>
        <v/>
      </c>
      <c r="E2936" s="75">
        <f>IF($C2936="","",IFERROR(INDEX(CAT_GRUPO,MATCH($C2936,CAT_NOME,0)),"Sem categoria"))</f>
        <v/>
      </c>
      <c r="F2936" s="76" t="n"/>
      <c r="G2936" s="74" t="n"/>
      <c r="H2936" s="74" t="n"/>
      <c r="I2936" s="74" t="n"/>
      <c r="J2936" s="77" t="n"/>
      <c r="K2936" s="77" t="n"/>
      <c r="L2936" s="74" t="n"/>
      <c r="M2936" s="74" t="n"/>
      <c r="O2936" s="78">
        <f>IF($A2936="","",YEAR($A2936)*100+MONTH($A2936))</f>
        <v/>
      </c>
      <c r="P2936" s="79">
        <f>IF(OR($F2936="",$D2936=""),"",IF($D2936="Receita",$F2936,IF($D2936="Transferência",0,-$F2936)))</f>
        <v/>
      </c>
    </row>
    <row r="2937">
      <c r="A2937" s="73" t="n"/>
      <c r="B2937" s="74" t="n"/>
      <c r="C2937" s="74" t="n"/>
      <c r="D2937" s="75">
        <f>IF($C2937="","",IFERROR(INDEX(CAT_TIPO,MATCH($C2937,CAT_NOME,0)),"Sem categoria"))</f>
        <v/>
      </c>
      <c r="E2937" s="75">
        <f>IF($C2937="","",IFERROR(INDEX(CAT_GRUPO,MATCH($C2937,CAT_NOME,0)),"Sem categoria"))</f>
        <v/>
      </c>
      <c r="F2937" s="76" t="n"/>
      <c r="G2937" s="74" t="n"/>
      <c r="H2937" s="74" t="n"/>
      <c r="I2937" s="74" t="n"/>
      <c r="J2937" s="77" t="n"/>
      <c r="K2937" s="77" t="n"/>
      <c r="L2937" s="74" t="n"/>
      <c r="M2937" s="74" t="n"/>
      <c r="O2937" s="78">
        <f>IF($A2937="","",YEAR($A2937)*100+MONTH($A2937))</f>
        <v/>
      </c>
      <c r="P2937" s="79">
        <f>IF(OR($F2937="",$D2937=""),"",IF($D2937="Receita",$F2937,IF($D2937="Transferência",0,-$F2937)))</f>
        <v/>
      </c>
    </row>
    <row r="2938">
      <c r="A2938" s="73" t="n"/>
      <c r="B2938" s="74" t="n"/>
      <c r="C2938" s="74" t="n"/>
      <c r="D2938" s="75">
        <f>IF($C2938="","",IFERROR(INDEX(CAT_TIPO,MATCH($C2938,CAT_NOME,0)),"Sem categoria"))</f>
        <v/>
      </c>
      <c r="E2938" s="75">
        <f>IF($C2938="","",IFERROR(INDEX(CAT_GRUPO,MATCH($C2938,CAT_NOME,0)),"Sem categoria"))</f>
        <v/>
      </c>
      <c r="F2938" s="76" t="n"/>
      <c r="G2938" s="74" t="n"/>
      <c r="H2938" s="74" t="n"/>
      <c r="I2938" s="74" t="n"/>
      <c r="J2938" s="77" t="n"/>
      <c r="K2938" s="77" t="n"/>
      <c r="L2938" s="74" t="n"/>
      <c r="M2938" s="74" t="n"/>
      <c r="O2938" s="78">
        <f>IF($A2938="","",YEAR($A2938)*100+MONTH($A2938))</f>
        <v/>
      </c>
      <c r="P2938" s="79">
        <f>IF(OR($F2938="",$D2938=""),"",IF($D2938="Receita",$F2938,IF($D2938="Transferência",0,-$F2938)))</f>
        <v/>
      </c>
    </row>
    <row r="2939">
      <c r="A2939" s="73" t="n"/>
      <c r="B2939" s="74" t="n"/>
      <c r="C2939" s="74" t="n"/>
      <c r="D2939" s="75">
        <f>IF($C2939="","",IFERROR(INDEX(CAT_TIPO,MATCH($C2939,CAT_NOME,0)),"Sem categoria"))</f>
        <v/>
      </c>
      <c r="E2939" s="75">
        <f>IF($C2939="","",IFERROR(INDEX(CAT_GRUPO,MATCH($C2939,CAT_NOME,0)),"Sem categoria"))</f>
        <v/>
      </c>
      <c r="F2939" s="76" t="n"/>
      <c r="G2939" s="74" t="n"/>
      <c r="H2939" s="74" t="n"/>
      <c r="I2939" s="74" t="n"/>
      <c r="J2939" s="77" t="n"/>
      <c r="K2939" s="77" t="n"/>
      <c r="L2939" s="74" t="n"/>
      <c r="M2939" s="74" t="n"/>
      <c r="O2939" s="78">
        <f>IF($A2939="","",YEAR($A2939)*100+MONTH($A2939))</f>
        <v/>
      </c>
      <c r="P2939" s="79">
        <f>IF(OR($F2939="",$D2939=""),"",IF($D2939="Receita",$F2939,IF($D2939="Transferência",0,-$F2939)))</f>
        <v/>
      </c>
    </row>
    <row r="2940">
      <c r="A2940" s="73" t="n"/>
      <c r="B2940" s="74" t="n"/>
      <c r="C2940" s="74" t="n"/>
      <c r="D2940" s="75">
        <f>IF($C2940="","",IFERROR(INDEX(CAT_TIPO,MATCH($C2940,CAT_NOME,0)),"Sem categoria"))</f>
        <v/>
      </c>
      <c r="E2940" s="75">
        <f>IF($C2940="","",IFERROR(INDEX(CAT_GRUPO,MATCH($C2940,CAT_NOME,0)),"Sem categoria"))</f>
        <v/>
      </c>
      <c r="F2940" s="76" t="n"/>
      <c r="G2940" s="74" t="n"/>
      <c r="H2940" s="74" t="n"/>
      <c r="I2940" s="74" t="n"/>
      <c r="J2940" s="77" t="n"/>
      <c r="K2940" s="77" t="n"/>
      <c r="L2940" s="74" t="n"/>
      <c r="M2940" s="74" t="n"/>
      <c r="O2940" s="78">
        <f>IF($A2940="","",YEAR($A2940)*100+MONTH($A2940))</f>
        <v/>
      </c>
      <c r="P2940" s="79">
        <f>IF(OR($F2940="",$D2940=""),"",IF($D2940="Receita",$F2940,IF($D2940="Transferência",0,-$F2940)))</f>
        <v/>
      </c>
    </row>
    <row r="2941">
      <c r="A2941" s="73" t="n"/>
      <c r="B2941" s="74" t="n"/>
      <c r="C2941" s="74" t="n"/>
      <c r="D2941" s="75">
        <f>IF($C2941="","",IFERROR(INDEX(CAT_TIPO,MATCH($C2941,CAT_NOME,0)),"Sem categoria"))</f>
        <v/>
      </c>
      <c r="E2941" s="75">
        <f>IF($C2941="","",IFERROR(INDEX(CAT_GRUPO,MATCH($C2941,CAT_NOME,0)),"Sem categoria"))</f>
        <v/>
      </c>
      <c r="F2941" s="76" t="n"/>
      <c r="G2941" s="74" t="n"/>
      <c r="H2941" s="74" t="n"/>
      <c r="I2941" s="74" t="n"/>
      <c r="J2941" s="77" t="n"/>
      <c r="K2941" s="77" t="n"/>
      <c r="L2941" s="74" t="n"/>
      <c r="M2941" s="74" t="n"/>
      <c r="O2941" s="78">
        <f>IF($A2941="","",YEAR($A2941)*100+MONTH($A2941))</f>
        <v/>
      </c>
      <c r="P2941" s="79">
        <f>IF(OR($F2941="",$D2941=""),"",IF($D2941="Receita",$F2941,IF($D2941="Transferência",0,-$F2941)))</f>
        <v/>
      </c>
    </row>
    <row r="2942">
      <c r="A2942" s="73" t="n"/>
      <c r="B2942" s="74" t="n"/>
      <c r="C2942" s="74" t="n"/>
      <c r="D2942" s="75">
        <f>IF($C2942="","",IFERROR(INDEX(CAT_TIPO,MATCH($C2942,CAT_NOME,0)),"Sem categoria"))</f>
        <v/>
      </c>
      <c r="E2942" s="75">
        <f>IF($C2942="","",IFERROR(INDEX(CAT_GRUPO,MATCH($C2942,CAT_NOME,0)),"Sem categoria"))</f>
        <v/>
      </c>
      <c r="F2942" s="76" t="n"/>
      <c r="G2942" s="74" t="n"/>
      <c r="H2942" s="74" t="n"/>
      <c r="I2942" s="74" t="n"/>
      <c r="J2942" s="77" t="n"/>
      <c r="K2942" s="77" t="n"/>
      <c r="L2942" s="74" t="n"/>
      <c r="M2942" s="74" t="n"/>
      <c r="O2942" s="78">
        <f>IF($A2942="","",YEAR($A2942)*100+MONTH($A2942))</f>
        <v/>
      </c>
      <c r="P2942" s="79">
        <f>IF(OR($F2942="",$D2942=""),"",IF($D2942="Receita",$F2942,IF($D2942="Transferência",0,-$F2942)))</f>
        <v/>
      </c>
    </row>
    <row r="2943">
      <c r="A2943" s="73" t="n"/>
      <c r="B2943" s="74" t="n"/>
      <c r="C2943" s="74" t="n"/>
      <c r="D2943" s="75">
        <f>IF($C2943="","",IFERROR(INDEX(CAT_TIPO,MATCH($C2943,CAT_NOME,0)),"Sem categoria"))</f>
        <v/>
      </c>
      <c r="E2943" s="75">
        <f>IF($C2943="","",IFERROR(INDEX(CAT_GRUPO,MATCH($C2943,CAT_NOME,0)),"Sem categoria"))</f>
        <v/>
      </c>
      <c r="F2943" s="76" t="n"/>
      <c r="G2943" s="74" t="n"/>
      <c r="H2943" s="74" t="n"/>
      <c r="I2943" s="74" t="n"/>
      <c r="J2943" s="77" t="n"/>
      <c r="K2943" s="77" t="n"/>
      <c r="L2943" s="74" t="n"/>
      <c r="M2943" s="74" t="n"/>
      <c r="O2943" s="78">
        <f>IF($A2943="","",YEAR($A2943)*100+MONTH($A2943))</f>
        <v/>
      </c>
      <c r="P2943" s="79">
        <f>IF(OR($F2943="",$D2943=""),"",IF($D2943="Receita",$F2943,IF($D2943="Transferência",0,-$F2943)))</f>
        <v/>
      </c>
    </row>
    <row r="2944">
      <c r="A2944" s="73" t="n"/>
      <c r="B2944" s="74" t="n"/>
      <c r="C2944" s="74" t="n"/>
      <c r="D2944" s="75">
        <f>IF($C2944="","",IFERROR(INDEX(CAT_TIPO,MATCH($C2944,CAT_NOME,0)),"Sem categoria"))</f>
        <v/>
      </c>
      <c r="E2944" s="75">
        <f>IF($C2944="","",IFERROR(INDEX(CAT_GRUPO,MATCH($C2944,CAT_NOME,0)),"Sem categoria"))</f>
        <v/>
      </c>
      <c r="F2944" s="76" t="n"/>
      <c r="G2944" s="74" t="n"/>
      <c r="H2944" s="74" t="n"/>
      <c r="I2944" s="74" t="n"/>
      <c r="J2944" s="77" t="n"/>
      <c r="K2944" s="77" t="n"/>
      <c r="L2944" s="74" t="n"/>
      <c r="M2944" s="74" t="n"/>
      <c r="O2944" s="78">
        <f>IF($A2944="","",YEAR($A2944)*100+MONTH($A2944))</f>
        <v/>
      </c>
      <c r="P2944" s="79">
        <f>IF(OR($F2944="",$D2944=""),"",IF($D2944="Receita",$F2944,IF($D2944="Transferência",0,-$F2944)))</f>
        <v/>
      </c>
    </row>
    <row r="2945">
      <c r="A2945" s="73" t="n"/>
      <c r="B2945" s="74" t="n"/>
      <c r="C2945" s="74" t="n"/>
      <c r="D2945" s="75">
        <f>IF($C2945="","",IFERROR(INDEX(CAT_TIPO,MATCH($C2945,CAT_NOME,0)),"Sem categoria"))</f>
        <v/>
      </c>
      <c r="E2945" s="75">
        <f>IF($C2945="","",IFERROR(INDEX(CAT_GRUPO,MATCH($C2945,CAT_NOME,0)),"Sem categoria"))</f>
        <v/>
      </c>
      <c r="F2945" s="76" t="n"/>
      <c r="G2945" s="74" t="n"/>
      <c r="H2945" s="74" t="n"/>
      <c r="I2945" s="74" t="n"/>
      <c r="J2945" s="77" t="n"/>
      <c r="K2945" s="77" t="n"/>
      <c r="L2945" s="74" t="n"/>
      <c r="M2945" s="74" t="n"/>
      <c r="O2945" s="78">
        <f>IF($A2945="","",YEAR($A2945)*100+MONTH($A2945))</f>
        <v/>
      </c>
      <c r="P2945" s="79">
        <f>IF(OR($F2945="",$D2945=""),"",IF($D2945="Receita",$F2945,IF($D2945="Transferência",0,-$F2945)))</f>
        <v/>
      </c>
    </row>
    <row r="2946">
      <c r="A2946" s="73" t="n"/>
      <c r="B2946" s="74" t="n"/>
      <c r="C2946" s="74" t="n"/>
      <c r="D2946" s="75">
        <f>IF($C2946="","",IFERROR(INDEX(CAT_TIPO,MATCH($C2946,CAT_NOME,0)),"Sem categoria"))</f>
        <v/>
      </c>
      <c r="E2946" s="75">
        <f>IF($C2946="","",IFERROR(INDEX(CAT_GRUPO,MATCH($C2946,CAT_NOME,0)),"Sem categoria"))</f>
        <v/>
      </c>
      <c r="F2946" s="76" t="n"/>
      <c r="G2946" s="74" t="n"/>
      <c r="H2946" s="74" t="n"/>
      <c r="I2946" s="74" t="n"/>
      <c r="J2946" s="77" t="n"/>
      <c r="K2946" s="77" t="n"/>
      <c r="L2946" s="74" t="n"/>
      <c r="M2946" s="74" t="n"/>
      <c r="O2946" s="78">
        <f>IF($A2946="","",YEAR($A2946)*100+MONTH($A2946))</f>
        <v/>
      </c>
      <c r="P2946" s="79">
        <f>IF(OR($F2946="",$D2946=""),"",IF($D2946="Receita",$F2946,IF($D2946="Transferência",0,-$F2946)))</f>
        <v/>
      </c>
    </row>
    <row r="2947">
      <c r="A2947" s="73" t="n"/>
      <c r="B2947" s="74" t="n"/>
      <c r="C2947" s="74" t="n"/>
      <c r="D2947" s="75">
        <f>IF($C2947="","",IFERROR(INDEX(CAT_TIPO,MATCH($C2947,CAT_NOME,0)),"Sem categoria"))</f>
        <v/>
      </c>
      <c r="E2947" s="75">
        <f>IF($C2947="","",IFERROR(INDEX(CAT_GRUPO,MATCH($C2947,CAT_NOME,0)),"Sem categoria"))</f>
        <v/>
      </c>
      <c r="F2947" s="76" t="n"/>
      <c r="G2947" s="74" t="n"/>
      <c r="H2947" s="74" t="n"/>
      <c r="I2947" s="74" t="n"/>
      <c r="J2947" s="77" t="n"/>
      <c r="K2947" s="77" t="n"/>
      <c r="L2947" s="74" t="n"/>
      <c r="M2947" s="74" t="n"/>
      <c r="O2947" s="78">
        <f>IF($A2947="","",YEAR($A2947)*100+MONTH($A2947))</f>
        <v/>
      </c>
      <c r="P2947" s="79">
        <f>IF(OR($F2947="",$D2947=""),"",IF($D2947="Receita",$F2947,IF($D2947="Transferência",0,-$F2947)))</f>
        <v/>
      </c>
    </row>
    <row r="2948">
      <c r="A2948" s="73" t="n"/>
      <c r="B2948" s="74" t="n"/>
      <c r="C2948" s="74" t="n"/>
      <c r="D2948" s="75">
        <f>IF($C2948="","",IFERROR(INDEX(CAT_TIPO,MATCH($C2948,CAT_NOME,0)),"Sem categoria"))</f>
        <v/>
      </c>
      <c r="E2948" s="75">
        <f>IF($C2948="","",IFERROR(INDEX(CAT_GRUPO,MATCH($C2948,CAT_NOME,0)),"Sem categoria"))</f>
        <v/>
      </c>
      <c r="F2948" s="76" t="n"/>
      <c r="G2948" s="74" t="n"/>
      <c r="H2948" s="74" t="n"/>
      <c r="I2948" s="74" t="n"/>
      <c r="J2948" s="77" t="n"/>
      <c r="K2948" s="77" t="n"/>
      <c r="L2948" s="74" t="n"/>
      <c r="M2948" s="74" t="n"/>
      <c r="O2948" s="78">
        <f>IF($A2948="","",YEAR($A2948)*100+MONTH($A2948))</f>
        <v/>
      </c>
      <c r="P2948" s="79">
        <f>IF(OR($F2948="",$D2948=""),"",IF($D2948="Receita",$F2948,IF($D2948="Transferência",0,-$F2948)))</f>
        <v/>
      </c>
    </row>
    <row r="2949">
      <c r="A2949" s="73" t="n"/>
      <c r="B2949" s="74" t="n"/>
      <c r="C2949" s="74" t="n"/>
      <c r="D2949" s="75">
        <f>IF($C2949="","",IFERROR(INDEX(CAT_TIPO,MATCH($C2949,CAT_NOME,0)),"Sem categoria"))</f>
        <v/>
      </c>
      <c r="E2949" s="75">
        <f>IF($C2949="","",IFERROR(INDEX(CAT_GRUPO,MATCH($C2949,CAT_NOME,0)),"Sem categoria"))</f>
        <v/>
      </c>
      <c r="F2949" s="76" t="n"/>
      <c r="G2949" s="74" t="n"/>
      <c r="H2949" s="74" t="n"/>
      <c r="I2949" s="74" t="n"/>
      <c r="J2949" s="77" t="n"/>
      <c r="K2949" s="77" t="n"/>
      <c r="L2949" s="74" t="n"/>
      <c r="M2949" s="74" t="n"/>
      <c r="O2949" s="78">
        <f>IF($A2949="","",YEAR($A2949)*100+MONTH($A2949))</f>
        <v/>
      </c>
      <c r="P2949" s="79">
        <f>IF(OR($F2949="",$D2949=""),"",IF($D2949="Receita",$F2949,IF($D2949="Transferência",0,-$F2949)))</f>
        <v/>
      </c>
    </row>
    <row r="2950">
      <c r="A2950" s="73" t="n"/>
      <c r="B2950" s="74" t="n"/>
      <c r="C2950" s="74" t="n"/>
      <c r="D2950" s="75">
        <f>IF($C2950="","",IFERROR(INDEX(CAT_TIPO,MATCH($C2950,CAT_NOME,0)),"Sem categoria"))</f>
        <v/>
      </c>
      <c r="E2950" s="75">
        <f>IF($C2950="","",IFERROR(INDEX(CAT_GRUPO,MATCH($C2950,CAT_NOME,0)),"Sem categoria"))</f>
        <v/>
      </c>
      <c r="F2950" s="76" t="n"/>
      <c r="G2950" s="74" t="n"/>
      <c r="H2950" s="74" t="n"/>
      <c r="I2950" s="74" t="n"/>
      <c r="J2950" s="77" t="n"/>
      <c r="K2950" s="77" t="n"/>
      <c r="L2950" s="74" t="n"/>
      <c r="M2950" s="74" t="n"/>
      <c r="O2950" s="78">
        <f>IF($A2950="","",YEAR($A2950)*100+MONTH($A2950))</f>
        <v/>
      </c>
      <c r="P2950" s="79">
        <f>IF(OR($F2950="",$D2950=""),"",IF($D2950="Receita",$F2950,IF($D2950="Transferência",0,-$F2950)))</f>
        <v/>
      </c>
    </row>
    <row r="2951">
      <c r="A2951" s="73" t="n"/>
      <c r="B2951" s="74" t="n"/>
      <c r="C2951" s="74" t="n"/>
      <c r="D2951" s="75">
        <f>IF($C2951="","",IFERROR(INDEX(CAT_TIPO,MATCH($C2951,CAT_NOME,0)),"Sem categoria"))</f>
        <v/>
      </c>
      <c r="E2951" s="75">
        <f>IF($C2951="","",IFERROR(INDEX(CAT_GRUPO,MATCH($C2951,CAT_NOME,0)),"Sem categoria"))</f>
        <v/>
      </c>
      <c r="F2951" s="76" t="n"/>
      <c r="G2951" s="74" t="n"/>
      <c r="H2951" s="74" t="n"/>
      <c r="I2951" s="74" t="n"/>
      <c r="J2951" s="77" t="n"/>
      <c r="K2951" s="77" t="n"/>
      <c r="L2951" s="74" t="n"/>
      <c r="M2951" s="74" t="n"/>
      <c r="O2951" s="78">
        <f>IF($A2951="","",YEAR($A2951)*100+MONTH($A2951))</f>
        <v/>
      </c>
      <c r="P2951" s="79">
        <f>IF(OR($F2951="",$D2951=""),"",IF($D2951="Receita",$F2951,IF($D2951="Transferência",0,-$F2951)))</f>
        <v/>
      </c>
    </row>
    <row r="2952">
      <c r="A2952" s="73" t="n"/>
      <c r="B2952" s="74" t="n"/>
      <c r="C2952" s="74" t="n"/>
      <c r="D2952" s="75">
        <f>IF($C2952="","",IFERROR(INDEX(CAT_TIPO,MATCH($C2952,CAT_NOME,0)),"Sem categoria"))</f>
        <v/>
      </c>
      <c r="E2952" s="75">
        <f>IF($C2952="","",IFERROR(INDEX(CAT_GRUPO,MATCH($C2952,CAT_NOME,0)),"Sem categoria"))</f>
        <v/>
      </c>
      <c r="F2952" s="76" t="n"/>
      <c r="G2952" s="74" t="n"/>
      <c r="H2952" s="74" t="n"/>
      <c r="I2952" s="74" t="n"/>
      <c r="J2952" s="77" t="n"/>
      <c r="K2952" s="77" t="n"/>
      <c r="L2952" s="74" t="n"/>
      <c r="M2952" s="74" t="n"/>
      <c r="O2952" s="78">
        <f>IF($A2952="","",YEAR($A2952)*100+MONTH($A2952))</f>
        <v/>
      </c>
      <c r="P2952" s="79">
        <f>IF(OR($F2952="",$D2952=""),"",IF($D2952="Receita",$F2952,IF($D2952="Transferência",0,-$F2952)))</f>
        <v/>
      </c>
    </row>
    <row r="2953">
      <c r="A2953" s="73" t="n"/>
      <c r="B2953" s="74" t="n"/>
      <c r="C2953" s="74" t="n"/>
      <c r="D2953" s="75">
        <f>IF($C2953="","",IFERROR(INDEX(CAT_TIPO,MATCH($C2953,CAT_NOME,0)),"Sem categoria"))</f>
        <v/>
      </c>
      <c r="E2953" s="75">
        <f>IF($C2953="","",IFERROR(INDEX(CAT_GRUPO,MATCH($C2953,CAT_NOME,0)),"Sem categoria"))</f>
        <v/>
      </c>
      <c r="F2953" s="76" t="n"/>
      <c r="G2953" s="74" t="n"/>
      <c r="H2953" s="74" t="n"/>
      <c r="I2953" s="74" t="n"/>
      <c r="J2953" s="77" t="n"/>
      <c r="K2953" s="77" t="n"/>
      <c r="L2953" s="74" t="n"/>
      <c r="M2953" s="74" t="n"/>
      <c r="O2953" s="78">
        <f>IF($A2953="","",YEAR($A2953)*100+MONTH($A2953))</f>
        <v/>
      </c>
      <c r="P2953" s="79">
        <f>IF(OR($F2953="",$D2953=""),"",IF($D2953="Receita",$F2953,IF($D2953="Transferência",0,-$F2953)))</f>
        <v/>
      </c>
    </row>
    <row r="2954">
      <c r="A2954" s="73" t="n"/>
      <c r="B2954" s="74" t="n"/>
      <c r="C2954" s="74" t="n"/>
      <c r="D2954" s="75">
        <f>IF($C2954="","",IFERROR(INDEX(CAT_TIPO,MATCH($C2954,CAT_NOME,0)),"Sem categoria"))</f>
        <v/>
      </c>
      <c r="E2954" s="75">
        <f>IF($C2954="","",IFERROR(INDEX(CAT_GRUPO,MATCH($C2954,CAT_NOME,0)),"Sem categoria"))</f>
        <v/>
      </c>
      <c r="F2954" s="76" t="n"/>
      <c r="G2954" s="74" t="n"/>
      <c r="H2954" s="74" t="n"/>
      <c r="I2954" s="74" t="n"/>
      <c r="J2954" s="77" t="n"/>
      <c r="K2954" s="77" t="n"/>
      <c r="L2954" s="74" t="n"/>
      <c r="M2954" s="74" t="n"/>
      <c r="O2954" s="78">
        <f>IF($A2954="","",YEAR($A2954)*100+MONTH($A2954))</f>
        <v/>
      </c>
      <c r="P2954" s="79">
        <f>IF(OR($F2954="",$D2954=""),"",IF($D2954="Receita",$F2954,IF($D2954="Transferência",0,-$F2954)))</f>
        <v/>
      </c>
    </row>
    <row r="2955">
      <c r="A2955" s="73" t="n"/>
      <c r="B2955" s="74" t="n"/>
      <c r="C2955" s="74" t="n"/>
      <c r="D2955" s="75">
        <f>IF($C2955="","",IFERROR(INDEX(CAT_TIPO,MATCH($C2955,CAT_NOME,0)),"Sem categoria"))</f>
        <v/>
      </c>
      <c r="E2955" s="75">
        <f>IF($C2955="","",IFERROR(INDEX(CAT_GRUPO,MATCH($C2955,CAT_NOME,0)),"Sem categoria"))</f>
        <v/>
      </c>
      <c r="F2955" s="76" t="n"/>
      <c r="G2955" s="74" t="n"/>
      <c r="H2955" s="74" t="n"/>
      <c r="I2955" s="74" t="n"/>
      <c r="J2955" s="77" t="n"/>
      <c r="K2955" s="77" t="n"/>
      <c r="L2955" s="74" t="n"/>
      <c r="M2955" s="74" t="n"/>
      <c r="O2955" s="78">
        <f>IF($A2955="","",YEAR($A2955)*100+MONTH($A2955))</f>
        <v/>
      </c>
      <c r="P2955" s="79">
        <f>IF(OR($F2955="",$D2955=""),"",IF($D2955="Receita",$F2955,IF($D2955="Transferência",0,-$F2955)))</f>
        <v/>
      </c>
    </row>
    <row r="2956">
      <c r="A2956" s="73" t="n"/>
      <c r="B2956" s="74" t="n"/>
      <c r="C2956" s="74" t="n"/>
      <c r="D2956" s="75">
        <f>IF($C2956="","",IFERROR(INDEX(CAT_TIPO,MATCH($C2956,CAT_NOME,0)),"Sem categoria"))</f>
        <v/>
      </c>
      <c r="E2956" s="75">
        <f>IF($C2956="","",IFERROR(INDEX(CAT_GRUPO,MATCH($C2956,CAT_NOME,0)),"Sem categoria"))</f>
        <v/>
      </c>
      <c r="F2956" s="76" t="n"/>
      <c r="G2956" s="74" t="n"/>
      <c r="H2956" s="74" t="n"/>
      <c r="I2956" s="74" t="n"/>
      <c r="J2956" s="77" t="n"/>
      <c r="K2956" s="77" t="n"/>
      <c r="L2956" s="74" t="n"/>
      <c r="M2956" s="74" t="n"/>
      <c r="O2956" s="78">
        <f>IF($A2956="","",YEAR($A2956)*100+MONTH($A2956))</f>
        <v/>
      </c>
      <c r="P2956" s="79">
        <f>IF(OR($F2956="",$D2956=""),"",IF($D2956="Receita",$F2956,IF($D2956="Transferência",0,-$F2956)))</f>
        <v/>
      </c>
    </row>
    <row r="2957">
      <c r="A2957" s="73" t="n"/>
      <c r="B2957" s="74" t="n"/>
      <c r="C2957" s="74" t="n"/>
      <c r="D2957" s="75">
        <f>IF($C2957="","",IFERROR(INDEX(CAT_TIPO,MATCH($C2957,CAT_NOME,0)),"Sem categoria"))</f>
        <v/>
      </c>
      <c r="E2957" s="75">
        <f>IF($C2957="","",IFERROR(INDEX(CAT_GRUPO,MATCH($C2957,CAT_NOME,0)),"Sem categoria"))</f>
        <v/>
      </c>
      <c r="F2957" s="76" t="n"/>
      <c r="G2957" s="74" t="n"/>
      <c r="H2957" s="74" t="n"/>
      <c r="I2957" s="74" t="n"/>
      <c r="J2957" s="77" t="n"/>
      <c r="K2957" s="77" t="n"/>
      <c r="L2957" s="74" t="n"/>
      <c r="M2957" s="74" t="n"/>
      <c r="O2957" s="78">
        <f>IF($A2957="","",YEAR($A2957)*100+MONTH($A2957))</f>
        <v/>
      </c>
      <c r="P2957" s="79">
        <f>IF(OR($F2957="",$D2957=""),"",IF($D2957="Receita",$F2957,IF($D2957="Transferência",0,-$F2957)))</f>
        <v/>
      </c>
    </row>
    <row r="2958">
      <c r="A2958" s="73" t="n"/>
      <c r="B2958" s="74" t="n"/>
      <c r="C2958" s="74" t="n"/>
      <c r="D2958" s="75">
        <f>IF($C2958="","",IFERROR(INDEX(CAT_TIPO,MATCH($C2958,CAT_NOME,0)),"Sem categoria"))</f>
        <v/>
      </c>
      <c r="E2958" s="75">
        <f>IF($C2958="","",IFERROR(INDEX(CAT_GRUPO,MATCH($C2958,CAT_NOME,0)),"Sem categoria"))</f>
        <v/>
      </c>
      <c r="F2958" s="76" t="n"/>
      <c r="G2958" s="74" t="n"/>
      <c r="H2958" s="74" t="n"/>
      <c r="I2958" s="74" t="n"/>
      <c r="J2958" s="77" t="n"/>
      <c r="K2958" s="77" t="n"/>
      <c r="L2958" s="74" t="n"/>
      <c r="M2958" s="74" t="n"/>
      <c r="O2958" s="78">
        <f>IF($A2958="","",YEAR($A2958)*100+MONTH($A2958))</f>
        <v/>
      </c>
      <c r="P2958" s="79">
        <f>IF(OR($F2958="",$D2958=""),"",IF($D2958="Receita",$F2958,IF($D2958="Transferência",0,-$F2958)))</f>
        <v/>
      </c>
    </row>
    <row r="2959">
      <c r="A2959" s="73" t="n"/>
      <c r="B2959" s="74" t="n"/>
      <c r="C2959" s="74" t="n"/>
      <c r="D2959" s="75">
        <f>IF($C2959="","",IFERROR(INDEX(CAT_TIPO,MATCH($C2959,CAT_NOME,0)),"Sem categoria"))</f>
        <v/>
      </c>
      <c r="E2959" s="75">
        <f>IF($C2959="","",IFERROR(INDEX(CAT_GRUPO,MATCH($C2959,CAT_NOME,0)),"Sem categoria"))</f>
        <v/>
      </c>
      <c r="F2959" s="76" t="n"/>
      <c r="G2959" s="74" t="n"/>
      <c r="H2959" s="74" t="n"/>
      <c r="I2959" s="74" t="n"/>
      <c r="J2959" s="77" t="n"/>
      <c r="K2959" s="77" t="n"/>
      <c r="L2959" s="74" t="n"/>
      <c r="M2959" s="74" t="n"/>
      <c r="O2959" s="78">
        <f>IF($A2959="","",YEAR($A2959)*100+MONTH($A2959))</f>
        <v/>
      </c>
      <c r="P2959" s="79">
        <f>IF(OR($F2959="",$D2959=""),"",IF($D2959="Receita",$F2959,IF($D2959="Transferência",0,-$F2959)))</f>
        <v/>
      </c>
    </row>
    <row r="2960">
      <c r="A2960" s="73" t="n"/>
      <c r="B2960" s="74" t="n"/>
      <c r="C2960" s="74" t="n"/>
      <c r="D2960" s="75">
        <f>IF($C2960="","",IFERROR(INDEX(CAT_TIPO,MATCH($C2960,CAT_NOME,0)),"Sem categoria"))</f>
        <v/>
      </c>
      <c r="E2960" s="75">
        <f>IF($C2960="","",IFERROR(INDEX(CAT_GRUPO,MATCH($C2960,CAT_NOME,0)),"Sem categoria"))</f>
        <v/>
      </c>
      <c r="F2960" s="76" t="n"/>
      <c r="G2960" s="74" t="n"/>
      <c r="H2960" s="74" t="n"/>
      <c r="I2960" s="74" t="n"/>
      <c r="J2960" s="77" t="n"/>
      <c r="K2960" s="77" t="n"/>
      <c r="L2960" s="74" t="n"/>
      <c r="M2960" s="74" t="n"/>
      <c r="O2960" s="78">
        <f>IF($A2960="","",YEAR($A2960)*100+MONTH($A2960))</f>
        <v/>
      </c>
      <c r="P2960" s="79">
        <f>IF(OR($F2960="",$D2960=""),"",IF($D2960="Receita",$F2960,IF($D2960="Transferência",0,-$F2960)))</f>
        <v/>
      </c>
    </row>
    <row r="2961">
      <c r="A2961" s="73" t="n"/>
      <c r="B2961" s="74" t="n"/>
      <c r="C2961" s="74" t="n"/>
      <c r="D2961" s="75">
        <f>IF($C2961="","",IFERROR(INDEX(CAT_TIPO,MATCH($C2961,CAT_NOME,0)),"Sem categoria"))</f>
        <v/>
      </c>
      <c r="E2961" s="75">
        <f>IF($C2961="","",IFERROR(INDEX(CAT_GRUPO,MATCH($C2961,CAT_NOME,0)),"Sem categoria"))</f>
        <v/>
      </c>
      <c r="F2961" s="76" t="n"/>
      <c r="G2961" s="74" t="n"/>
      <c r="H2961" s="74" t="n"/>
      <c r="I2961" s="74" t="n"/>
      <c r="J2961" s="77" t="n"/>
      <c r="K2961" s="77" t="n"/>
      <c r="L2961" s="74" t="n"/>
      <c r="M2961" s="74" t="n"/>
      <c r="O2961" s="78">
        <f>IF($A2961="","",YEAR($A2961)*100+MONTH($A2961))</f>
        <v/>
      </c>
      <c r="P2961" s="79">
        <f>IF(OR($F2961="",$D2961=""),"",IF($D2961="Receita",$F2961,IF($D2961="Transferência",0,-$F2961)))</f>
        <v/>
      </c>
    </row>
    <row r="2962">
      <c r="A2962" s="73" t="n"/>
      <c r="B2962" s="74" t="n"/>
      <c r="C2962" s="74" t="n"/>
      <c r="D2962" s="75">
        <f>IF($C2962="","",IFERROR(INDEX(CAT_TIPO,MATCH($C2962,CAT_NOME,0)),"Sem categoria"))</f>
        <v/>
      </c>
      <c r="E2962" s="75">
        <f>IF($C2962="","",IFERROR(INDEX(CAT_GRUPO,MATCH($C2962,CAT_NOME,0)),"Sem categoria"))</f>
        <v/>
      </c>
      <c r="F2962" s="76" t="n"/>
      <c r="G2962" s="74" t="n"/>
      <c r="H2962" s="74" t="n"/>
      <c r="I2962" s="74" t="n"/>
      <c r="J2962" s="77" t="n"/>
      <c r="K2962" s="77" t="n"/>
      <c r="L2962" s="74" t="n"/>
      <c r="M2962" s="74" t="n"/>
      <c r="O2962" s="78">
        <f>IF($A2962="","",YEAR($A2962)*100+MONTH($A2962))</f>
        <v/>
      </c>
      <c r="P2962" s="79">
        <f>IF(OR($F2962="",$D2962=""),"",IF($D2962="Receita",$F2962,IF($D2962="Transferência",0,-$F2962)))</f>
        <v/>
      </c>
    </row>
    <row r="2963">
      <c r="A2963" s="73" t="n"/>
      <c r="B2963" s="74" t="n"/>
      <c r="C2963" s="74" t="n"/>
      <c r="D2963" s="75">
        <f>IF($C2963="","",IFERROR(INDEX(CAT_TIPO,MATCH($C2963,CAT_NOME,0)),"Sem categoria"))</f>
        <v/>
      </c>
      <c r="E2963" s="75">
        <f>IF($C2963="","",IFERROR(INDEX(CAT_GRUPO,MATCH($C2963,CAT_NOME,0)),"Sem categoria"))</f>
        <v/>
      </c>
      <c r="F2963" s="76" t="n"/>
      <c r="G2963" s="74" t="n"/>
      <c r="H2963" s="74" t="n"/>
      <c r="I2963" s="74" t="n"/>
      <c r="J2963" s="77" t="n"/>
      <c r="K2963" s="77" t="n"/>
      <c r="L2963" s="74" t="n"/>
      <c r="M2963" s="74" t="n"/>
      <c r="O2963" s="78">
        <f>IF($A2963="","",YEAR($A2963)*100+MONTH($A2963))</f>
        <v/>
      </c>
      <c r="P2963" s="79">
        <f>IF(OR($F2963="",$D2963=""),"",IF($D2963="Receita",$F2963,IF($D2963="Transferência",0,-$F2963)))</f>
        <v/>
      </c>
    </row>
    <row r="2964">
      <c r="A2964" s="73" t="n"/>
      <c r="B2964" s="74" t="n"/>
      <c r="C2964" s="74" t="n"/>
      <c r="D2964" s="75">
        <f>IF($C2964="","",IFERROR(INDEX(CAT_TIPO,MATCH($C2964,CAT_NOME,0)),"Sem categoria"))</f>
        <v/>
      </c>
      <c r="E2964" s="75">
        <f>IF($C2964="","",IFERROR(INDEX(CAT_GRUPO,MATCH($C2964,CAT_NOME,0)),"Sem categoria"))</f>
        <v/>
      </c>
      <c r="F2964" s="76" t="n"/>
      <c r="G2964" s="74" t="n"/>
      <c r="H2964" s="74" t="n"/>
      <c r="I2964" s="74" t="n"/>
      <c r="J2964" s="77" t="n"/>
      <c r="K2964" s="77" t="n"/>
      <c r="L2964" s="74" t="n"/>
      <c r="M2964" s="74" t="n"/>
      <c r="O2964" s="78">
        <f>IF($A2964="","",YEAR($A2964)*100+MONTH($A2964))</f>
        <v/>
      </c>
      <c r="P2964" s="79">
        <f>IF(OR($F2964="",$D2964=""),"",IF($D2964="Receita",$F2964,IF($D2964="Transferência",0,-$F2964)))</f>
        <v/>
      </c>
    </row>
    <row r="2965">
      <c r="A2965" s="73" t="n"/>
      <c r="B2965" s="74" t="n"/>
      <c r="C2965" s="74" t="n"/>
      <c r="D2965" s="75">
        <f>IF($C2965="","",IFERROR(INDEX(CAT_TIPO,MATCH($C2965,CAT_NOME,0)),"Sem categoria"))</f>
        <v/>
      </c>
      <c r="E2965" s="75">
        <f>IF($C2965="","",IFERROR(INDEX(CAT_GRUPO,MATCH($C2965,CAT_NOME,0)),"Sem categoria"))</f>
        <v/>
      </c>
      <c r="F2965" s="76" t="n"/>
      <c r="G2965" s="74" t="n"/>
      <c r="H2965" s="74" t="n"/>
      <c r="I2965" s="74" t="n"/>
      <c r="J2965" s="77" t="n"/>
      <c r="K2965" s="77" t="n"/>
      <c r="L2965" s="74" t="n"/>
      <c r="M2965" s="74" t="n"/>
      <c r="O2965" s="78">
        <f>IF($A2965="","",YEAR($A2965)*100+MONTH($A2965))</f>
        <v/>
      </c>
      <c r="P2965" s="79">
        <f>IF(OR($F2965="",$D2965=""),"",IF($D2965="Receita",$F2965,IF($D2965="Transferência",0,-$F2965)))</f>
        <v/>
      </c>
    </row>
    <row r="2966">
      <c r="A2966" s="73" t="n"/>
      <c r="B2966" s="74" t="n"/>
      <c r="C2966" s="74" t="n"/>
      <c r="D2966" s="75">
        <f>IF($C2966="","",IFERROR(INDEX(CAT_TIPO,MATCH($C2966,CAT_NOME,0)),"Sem categoria"))</f>
        <v/>
      </c>
      <c r="E2966" s="75">
        <f>IF($C2966="","",IFERROR(INDEX(CAT_GRUPO,MATCH($C2966,CAT_NOME,0)),"Sem categoria"))</f>
        <v/>
      </c>
      <c r="F2966" s="76" t="n"/>
      <c r="G2966" s="74" t="n"/>
      <c r="H2966" s="74" t="n"/>
      <c r="I2966" s="74" t="n"/>
      <c r="J2966" s="77" t="n"/>
      <c r="K2966" s="77" t="n"/>
      <c r="L2966" s="74" t="n"/>
      <c r="M2966" s="74" t="n"/>
      <c r="O2966" s="78">
        <f>IF($A2966="","",YEAR($A2966)*100+MONTH($A2966))</f>
        <v/>
      </c>
      <c r="P2966" s="79">
        <f>IF(OR($F2966="",$D2966=""),"",IF($D2966="Receita",$F2966,IF($D2966="Transferência",0,-$F2966)))</f>
        <v/>
      </c>
    </row>
    <row r="2967">
      <c r="A2967" s="73" t="n"/>
      <c r="B2967" s="74" t="n"/>
      <c r="C2967" s="74" t="n"/>
      <c r="D2967" s="75">
        <f>IF($C2967="","",IFERROR(INDEX(CAT_TIPO,MATCH($C2967,CAT_NOME,0)),"Sem categoria"))</f>
        <v/>
      </c>
      <c r="E2967" s="75">
        <f>IF($C2967="","",IFERROR(INDEX(CAT_GRUPO,MATCH($C2967,CAT_NOME,0)),"Sem categoria"))</f>
        <v/>
      </c>
      <c r="F2967" s="76" t="n"/>
      <c r="G2967" s="74" t="n"/>
      <c r="H2967" s="74" t="n"/>
      <c r="I2967" s="74" t="n"/>
      <c r="J2967" s="77" t="n"/>
      <c r="K2967" s="77" t="n"/>
      <c r="L2967" s="74" t="n"/>
      <c r="M2967" s="74" t="n"/>
      <c r="O2967" s="78">
        <f>IF($A2967="","",YEAR($A2967)*100+MONTH($A2967))</f>
        <v/>
      </c>
      <c r="P2967" s="79">
        <f>IF(OR($F2967="",$D2967=""),"",IF($D2967="Receita",$F2967,IF($D2967="Transferência",0,-$F2967)))</f>
        <v/>
      </c>
    </row>
    <row r="2968">
      <c r="A2968" s="73" t="n"/>
      <c r="B2968" s="74" t="n"/>
      <c r="C2968" s="74" t="n"/>
      <c r="D2968" s="75">
        <f>IF($C2968="","",IFERROR(INDEX(CAT_TIPO,MATCH($C2968,CAT_NOME,0)),"Sem categoria"))</f>
        <v/>
      </c>
      <c r="E2968" s="75">
        <f>IF($C2968="","",IFERROR(INDEX(CAT_GRUPO,MATCH($C2968,CAT_NOME,0)),"Sem categoria"))</f>
        <v/>
      </c>
      <c r="F2968" s="76" t="n"/>
      <c r="G2968" s="74" t="n"/>
      <c r="H2968" s="74" t="n"/>
      <c r="I2968" s="74" t="n"/>
      <c r="J2968" s="77" t="n"/>
      <c r="K2968" s="77" t="n"/>
      <c r="L2968" s="74" t="n"/>
      <c r="M2968" s="74" t="n"/>
      <c r="O2968" s="78">
        <f>IF($A2968="","",YEAR($A2968)*100+MONTH($A2968))</f>
        <v/>
      </c>
      <c r="P2968" s="79">
        <f>IF(OR($F2968="",$D2968=""),"",IF($D2968="Receita",$F2968,IF($D2968="Transferência",0,-$F2968)))</f>
        <v/>
      </c>
    </row>
    <row r="2969">
      <c r="A2969" s="73" t="n"/>
      <c r="B2969" s="74" t="n"/>
      <c r="C2969" s="74" t="n"/>
      <c r="D2969" s="75">
        <f>IF($C2969="","",IFERROR(INDEX(CAT_TIPO,MATCH($C2969,CAT_NOME,0)),"Sem categoria"))</f>
        <v/>
      </c>
      <c r="E2969" s="75">
        <f>IF($C2969="","",IFERROR(INDEX(CAT_GRUPO,MATCH($C2969,CAT_NOME,0)),"Sem categoria"))</f>
        <v/>
      </c>
      <c r="F2969" s="76" t="n"/>
      <c r="G2969" s="74" t="n"/>
      <c r="H2969" s="74" t="n"/>
      <c r="I2969" s="74" t="n"/>
      <c r="J2969" s="77" t="n"/>
      <c r="K2969" s="77" t="n"/>
      <c r="L2969" s="74" t="n"/>
      <c r="M2969" s="74" t="n"/>
      <c r="O2969" s="78">
        <f>IF($A2969="","",YEAR($A2969)*100+MONTH($A2969))</f>
        <v/>
      </c>
      <c r="P2969" s="79">
        <f>IF(OR($F2969="",$D2969=""),"",IF($D2969="Receita",$F2969,IF($D2969="Transferência",0,-$F2969)))</f>
        <v/>
      </c>
    </row>
    <row r="2970">
      <c r="A2970" s="73" t="n"/>
      <c r="B2970" s="74" t="n"/>
      <c r="C2970" s="74" t="n"/>
      <c r="D2970" s="75">
        <f>IF($C2970="","",IFERROR(INDEX(CAT_TIPO,MATCH($C2970,CAT_NOME,0)),"Sem categoria"))</f>
        <v/>
      </c>
      <c r="E2970" s="75">
        <f>IF($C2970="","",IFERROR(INDEX(CAT_GRUPO,MATCH($C2970,CAT_NOME,0)),"Sem categoria"))</f>
        <v/>
      </c>
      <c r="F2970" s="76" t="n"/>
      <c r="G2970" s="74" t="n"/>
      <c r="H2970" s="74" t="n"/>
      <c r="I2970" s="74" t="n"/>
      <c r="J2970" s="77" t="n"/>
      <c r="K2970" s="77" t="n"/>
      <c r="L2970" s="74" t="n"/>
      <c r="M2970" s="74" t="n"/>
      <c r="O2970" s="78">
        <f>IF($A2970="","",YEAR($A2970)*100+MONTH($A2970))</f>
        <v/>
      </c>
      <c r="P2970" s="79">
        <f>IF(OR($F2970="",$D2970=""),"",IF($D2970="Receita",$F2970,IF($D2970="Transferência",0,-$F2970)))</f>
        <v/>
      </c>
    </row>
    <row r="2971">
      <c r="A2971" s="73" t="n"/>
      <c r="B2971" s="74" t="n"/>
      <c r="C2971" s="74" t="n"/>
      <c r="D2971" s="75">
        <f>IF($C2971="","",IFERROR(INDEX(CAT_TIPO,MATCH($C2971,CAT_NOME,0)),"Sem categoria"))</f>
        <v/>
      </c>
      <c r="E2971" s="75">
        <f>IF($C2971="","",IFERROR(INDEX(CAT_GRUPO,MATCH($C2971,CAT_NOME,0)),"Sem categoria"))</f>
        <v/>
      </c>
      <c r="F2971" s="76" t="n"/>
      <c r="G2971" s="74" t="n"/>
      <c r="H2971" s="74" t="n"/>
      <c r="I2971" s="74" t="n"/>
      <c r="J2971" s="77" t="n"/>
      <c r="K2971" s="77" t="n"/>
      <c r="L2971" s="74" t="n"/>
      <c r="M2971" s="74" t="n"/>
      <c r="O2971" s="78">
        <f>IF($A2971="","",YEAR($A2971)*100+MONTH($A2971))</f>
        <v/>
      </c>
      <c r="P2971" s="79">
        <f>IF(OR($F2971="",$D2971=""),"",IF($D2971="Receita",$F2971,IF($D2971="Transferência",0,-$F2971)))</f>
        <v/>
      </c>
    </row>
    <row r="2972">
      <c r="A2972" s="73" t="n"/>
      <c r="B2972" s="74" t="n"/>
      <c r="C2972" s="74" t="n"/>
      <c r="D2972" s="75">
        <f>IF($C2972="","",IFERROR(INDEX(CAT_TIPO,MATCH($C2972,CAT_NOME,0)),"Sem categoria"))</f>
        <v/>
      </c>
      <c r="E2972" s="75">
        <f>IF($C2972="","",IFERROR(INDEX(CAT_GRUPO,MATCH($C2972,CAT_NOME,0)),"Sem categoria"))</f>
        <v/>
      </c>
      <c r="F2972" s="76" t="n"/>
      <c r="G2972" s="74" t="n"/>
      <c r="H2972" s="74" t="n"/>
      <c r="I2972" s="74" t="n"/>
      <c r="J2972" s="77" t="n"/>
      <c r="K2972" s="77" t="n"/>
      <c r="L2972" s="74" t="n"/>
      <c r="M2972" s="74" t="n"/>
      <c r="O2972" s="78">
        <f>IF($A2972="","",YEAR($A2972)*100+MONTH($A2972))</f>
        <v/>
      </c>
      <c r="P2972" s="79">
        <f>IF(OR($F2972="",$D2972=""),"",IF($D2972="Receita",$F2972,IF($D2972="Transferência",0,-$F2972)))</f>
        <v/>
      </c>
    </row>
    <row r="2973">
      <c r="A2973" s="73" t="n"/>
      <c r="B2973" s="74" t="n"/>
      <c r="C2973" s="74" t="n"/>
      <c r="D2973" s="75">
        <f>IF($C2973="","",IFERROR(INDEX(CAT_TIPO,MATCH($C2973,CAT_NOME,0)),"Sem categoria"))</f>
        <v/>
      </c>
      <c r="E2973" s="75">
        <f>IF($C2973="","",IFERROR(INDEX(CAT_GRUPO,MATCH($C2973,CAT_NOME,0)),"Sem categoria"))</f>
        <v/>
      </c>
      <c r="F2973" s="76" t="n"/>
      <c r="G2973" s="74" t="n"/>
      <c r="H2973" s="74" t="n"/>
      <c r="I2973" s="74" t="n"/>
      <c r="J2973" s="77" t="n"/>
      <c r="K2973" s="77" t="n"/>
      <c r="L2973" s="74" t="n"/>
      <c r="M2973" s="74" t="n"/>
      <c r="O2973" s="78">
        <f>IF($A2973="","",YEAR($A2973)*100+MONTH($A2973))</f>
        <v/>
      </c>
      <c r="P2973" s="79">
        <f>IF(OR($F2973="",$D2973=""),"",IF($D2973="Receita",$F2973,IF($D2973="Transferência",0,-$F2973)))</f>
        <v/>
      </c>
    </row>
    <row r="2974">
      <c r="A2974" s="73" t="n"/>
      <c r="B2974" s="74" t="n"/>
      <c r="C2974" s="74" t="n"/>
      <c r="D2974" s="75">
        <f>IF($C2974="","",IFERROR(INDEX(CAT_TIPO,MATCH($C2974,CAT_NOME,0)),"Sem categoria"))</f>
        <v/>
      </c>
      <c r="E2974" s="75">
        <f>IF($C2974="","",IFERROR(INDEX(CAT_GRUPO,MATCH($C2974,CAT_NOME,0)),"Sem categoria"))</f>
        <v/>
      </c>
      <c r="F2974" s="76" t="n"/>
      <c r="G2974" s="74" t="n"/>
      <c r="H2974" s="74" t="n"/>
      <c r="I2974" s="74" t="n"/>
      <c r="J2974" s="77" t="n"/>
      <c r="K2974" s="77" t="n"/>
      <c r="L2974" s="74" t="n"/>
      <c r="M2974" s="74" t="n"/>
      <c r="O2974" s="78">
        <f>IF($A2974="","",YEAR($A2974)*100+MONTH($A2974))</f>
        <v/>
      </c>
      <c r="P2974" s="79">
        <f>IF(OR($F2974="",$D2974=""),"",IF($D2974="Receita",$F2974,IF($D2974="Transferência",0,-$F2974)))</f>
        <v/>
      </c>
    </row>
    <row r="2975">
      <c r="A2975" s="73" t="n"/>
      <c r="B2975" s="74" t="n"/>
      <c r="C2975" s="74" t="n"/>
      <c r="D2975" s="75">
        <f>IF($C2975="","",IFERROR(INDEX(CAT_TIPO,MATCH($C2975,CAT_NOME,0)),"Sem categoria"))</f>
        <v/>
      </c>
      <c r="E2975" s="75">
        <f>IF($C2975="","",IFERROR(INDEX(CAT_GRUPO,MATCH($C2975,CAT_NOME,0)),"Sem categoria"))</f>
        <v/>
      </c>
      <c r="F2975" s="76" t="n"/>
      <c r="G2975" s="74" t="n"/>
      <c r="H2975" s="74" t="n"/>
      <c r="I2975" s="74" t="n"/>
      <c r="J2975" s="77" t="n"/>
      <c r="K2975" s="77" t="n"/>
      <c r="L2975" s="74" t="n"/>
      <c r="M2975" s="74" t="n"/>
      <c r="O2975" s="78">
        <f>IF($A2975="","",YEAR($A2975)*100+MONTH($A2975))</f>
        <v/>
      </c>
      <c r="P2975" s="79">
        <f>IF(OR($F2975="",$D2975=""),"",IF($D2975="Receita",$F2975,IF($D2975="Transferência",0,-$F2975)))</f>
        <v/>
      </c>
    </row>
    <row r="2976">
      <c r="A2976" s="73" t="n"/>
      <c r="B2976" s="74" t="n"/>
      <c r="C2976" s="74" t="n"/>
      <c r="D2976" s="75">
        <f>IF($C2976="","",IFERROR(INDEX(CAT_TIPO,MATCH($C2976,CAT_NOME,0)),"Sem categoria"))</f>
        <v/>
      </c>
      <c r="E2976" s="75">
        <f>IF($C2976="","",IFERROR(INDEX(CAT_GRUPO,MATCH($C2976,CAT_NOME,0)),"Sem categoria"))</f>
        <v/>
      </c>
      <c r="F2976" s="76" t="n"/>
      <c r="G2976" s="74" t="n"/>
      <c r="H2976" s="74" t="n"/>
      <c r="I2976" s="74" t="n"/>
      <c r="J2976" s="77" t="n"/>
      <c r="K2976" s="77" t="n"/>
      <c r="L2976" s="74" t="n"/>
      <c r="M2976" s="74" t="n"/>
      <c r="O2976" s="78">
        <f>IF($A2976="","",YEAR($A2976)*100+MONTH($A2976))</f>
        <v/>
      </c>
      <c r="P2976" s="79">
        <f>IF(OR($F2976="",$D2976=""),"",IF($D2976="Receita",$F2976,IF($D2976="Transferência",0,-$F2976)))</f>
        <v/>
      </c>
    </row>
    <row r="2977">
      <c r="A2977" s="73" t="n"/>
      <c r="B2977" s="74" t="n"/>
      <c r="C2977" s="74" t="n"/>
      <c r="D2977" s="75">
        <f>IF($C2977="","",IFERROR(INDEX(CAT_TIPO,MATCH($C2977,CAT_NOME,0)),"Sem categoria"))</f>
        <v/>
      </c>
      <c r="E2977" s="75">
        <f>IF($C2977="","",IFERROR(INDEX(CAT_GRUPO,MATCH($C2977,CAT_NOME,0)),"Sem categoria"))</f>
        <v/>
      </c>
      <c r="F2977" s="76" t="n"/>
      <c r="G2977" s="74" t="n"/>
      <c r="H2977" s="74" t="n"/>
      <c r="I2977" s="74" t="n"/>
      <c r="J2977" s="77" t="n"/>
      <c r="K2977" s="77" t="n"/>
      <c r="L2977" s="74" t="n"/>
      <c r="M2977" s="74" t="n"/>
      <c r="O2977" s="78">
        <f>IF($A2977="","",YEAR($A2977)*100+MONTH($A2977))</f>
        <v/>
      </c>
      <c r="P2977" s="79">
        <f>IF(OR($F2977="",$D2977=""),"",IF($D2977="Receita",$F2977,IF($D2977="Transferência",0,-$F2977)))</f>
        <v/>
      </c>
    </row>
    <row r="2978">
      <c r="A2978" s="73" t="n"/>
      <c r="B2978" s="74" t="n"/>
      <c r="C2978" s="74" t="n"/>
      <c r="D2978" s="75">
        <f>IF($C2978="","",IFERROR(INDEX(CAT_TIPO,MATCH($C2978,CAT_NOME,0)),"Sem categoria"))</f>
        <v/>
      </c>
      <c r="E2978" s="75">
        <f>IF($C2978="","",IFERROR(INDEX(CAT_GRUPO,MATCH($C2978,CAT_NOME,0)),"Sem categoria"))</f>
        <v/>
      </c>
      <c r="F2978" s="76" t="n"/>
      <c r="G2978" s="74" t="n"/>
      <c r="H2978" s="74" t="n"/>
      <c r="I2978" s="74" t="n"/>
      <c r="J2978" s="77" t="n"/>
      <c r="K2978" s="77" t="n"/>
      <c r="L2978" s="74" t="n"/>
      <c r="M2978" s="74" t="n"/>
      <c r="O2978" s="78">
        <f>IF($A2978="","",YEAR($A2978)*100+MONTH($A2978))</f>
        <v/>
      </c>
      <c r="P2978" s="79">
        <f>IF(OR($F2978="",$D2978=""),"",IF($D2978="Receita",$F2978,IF($D2978="Transferência",0,-$F2978)))</f>
        <v/>
      </c>
    </row>
    <row r="2979">
      <c r="A2979" s="73" t="n"/>
      <c r="B2979" s="74" t="n"/>
      <c r="C2979" s="74" t="n"/>
      <c r="D2979" s="75">
        <f>IF($C2979="","",IFERROR(INDEX(CAT_TIPO,MATCH($C2979,CAT_NOME,0)),"Sem categoria"))</f>
        <v/>
      </c>
      <c r="E2979" s="75">
        <f>IF($C2979="","",IFERROR(INDEX(CAT_GRUPO,MATCH($C2979,CAT_NOME,0)),"Sem categoria"))</f>
        <v/>
      </c>
      <c r="F2979" s="76" t="n"/>
      <c r="G2979" s="74" t="n"/>
      <c r="H2979" s="74" t="n"/>
      <c r="I2979" s="74" t="n"/>
      <c r="J2979" s="77" t="n"/>
      <c r="K2979" s="77" t="n"/>
      <c r="L2979" s="74" t="n"/>
      <c r="M2979" s="74" t="n"/>
      <c r="O2979" s="78">
        <f>IF($A2979="","",YEAR($A2979)*100+MONTH($A2979))</f>
        <v/>
      </c>
      <c r="P2979" s="79">
        <f>IF(OR($F2979="",$D2979=""),"",IF($D2979="Receita",$F2979,IF($D2979="Transferência",0,-$F2979)))</f>
        <v/>
      </c>
    </row>
    <row r="2980">
      <c r="A2980" s="73" t="n"/>
      <c r="B2980" s="74" t="n"/>
      <c r="C2980" s="74" t="n"/>
      <c r="D2980" s="75">
        <f>IF($C2980="","",IFERROR(INDEX(CAT_TIPO,MATCH($C2980,CAT_NOME,0)),"Sem categoria"))</f>
        <v/>
      </c>
      <c r="E2980" s="75">
        <f>IF($C2980="","",IFERROR(INDEX(CAT_GRUPO,MATCH($C2980,CAT_NOME,0)),"Sem categoria"))</f>
        <v/>
      </c>
      <c r="F2980" s="76" t="n"/>
      <c r="G2980" s="74" t="n"/>
      <c r="H2980" s="74" t="n"/>
      <c r="I2980" s="74" t="n"/>
      <c r="J2980" s="77" t="n"/>
      <c r="K2980" s="77" t="n"/>
      <c r="L2980" s="74" t="n"/>
      <c r="M2980" s="74" t="n"/>
      <c r="O2980" s="78">
        <f>IF($A2980="","",YEAR($A2980)*100+MONTH($A2980))</f>
        <v/>
      </c>
      <c r="P2980" s="79">
        <f>IF(OR($F2980="",$D2980=""),"",IF($D2980="Receita",$F2980,IF($D2980="Transferência",0,-$F2980)))</f>
        <v/>
      </c>
    </row>
    <row r="2981">
      <c r="A2981" s="73" t="n"/>
      <c r="B2981" s="74" t="n"/>
      <c r="C2981" s="74" t="n"/>
      <c r="D2981" s="75">
        <f>IF($C2981="","",IFERROR(INDEX(CAT_TIPO,MATCH($C2981,CAT_NOME,0)),"Sem categoria"))</f>
        <v/>
      </c>
      <c r="E2981" s="75">
        <f>IF($C2981="","",IFERROR(INDEX(CAT_GRUPO,MATCH($C2981,CAT_NOME,0)),"Sem categoria"))</f>
        <v/>
      </c>
      <c r="F2981" s="76" t="n"/>
      <c r="G2981" s="74" t="n"/>
      <c r="H2981" s="74" t="n"/>
      <c r="I2981" s="74" t="n"/>
      <c r="J2981" s="77" t="n"/>
      <c r="K2981" s="77" t="n"/>
      <c r="L2981" s="74" t="n"/>
      <c r="M2981" s="74" t="n"/>
      <c r="O2981" s="78">
        <f>IF($A2981="","",YEAR($A2981)*100+MONTH($A2981))</f>
        <v/>
      </c>
      <c r="P2981" s="79">
        <f>IF(OR($F2981="",$D2981=""),"",IF($D2981="Receita",$F2981,IF($D2981="Transferência",0,-$F2981)))</f>
        <v/>
      </c>
    </row>
    <row r="2982">
      <c r="A2982" s="73" t="n"/>
      <c r="B2982" s="74" t="n"/>
      <c r="C2982" s="74" t="n"/>
      <c r="D2982" s="75">
        <f>IF($C2982="","",IFERROR(INDEX(CAT_TIPO,MATCH($C2982,CAT_NOME,0)),"Sem categoria"))</f>
        <v/>
      </c>
      <c r="E2982" s="75">
        <f>IF($C2982="","",IFERROR(INDEX(CAT_GRUPO,MATCH($C2982,CAT_NOME,0)),"Sem categoria"))</f>
        <v/>
      </c>
      <c r="F2982" s="76" t="n"/>
      <c r="G2982" s="74" t="n"/>
      <c r="H2982" s="74" t="n"/>
      <c r="I2982" s="74" t="n"/>
      <c r="J2982" s="77" t="n"/>
      <c r="K2982" s="77" t="n"/>
      <c r="L2982" s="74" t="n"/>
      <c r="M2982" s="74" t="n"/>
      <c r="O2982" s="78">
        <f>IF($A2982="","",YEAR($A2982)*100+MONTH($A2982))</f>
        <v/>
      </c>
      <c r="P2982" s="79">
        <f>IF(OR($F2982="",$D2982=""),"",IF($D2982="Receita",$F2982,IF($D2982="Transferência",0,-$F2982)))</f>
        <v/>
      </c>
    </row>
    <row r="2983">
      <c r="A2983" s="73" t="n"/>
      <c r="B2983" s="74" t="n"/>
      <c r="C2983" s="74" t="n"/>
      <c r="D2983" s="75">
        <f>IF($C2983="","",IFERROR(INDEX(CAT_TIPO,MATCH($C2983,CAT_NOME,0)),"Sem categoria"))</f>
        <v/>
      </c>
      <c r="E2983" s="75">
        <f>IF($C2983="","",IFERROR(INDEX(CAT_GRUPO,MATCH($C2983,CAT_NOME,0)),"Sem categoria"))</f>
        <v/>
      </c>
      <c r="F2983" s="76" t="n"/>
      <c r="G2983" s="74" t="n"/>
      <c r="H2983" s="74" t="n"/>
      <c r="I2983" s="74" t="n"/>
      <c r="J2983" s="77" t="n"/>
      <c r="K2983" s="77" t="n"/>
      <c r="L2983" s="74" t="n"/>
      <c r="M2983" s="74" t="n"/>
      <c r="O2983" s="78">
        <f>IF($A2983="","",YEAR($A2983)*100+MONTH($A2983))</f>
        <v/>
      </c>
      <c r="P2983" s="79">
        <f>IF(OR($F2983="",$D2983=""),"",IF($D2983="Receita",$F2983,IF($D2983="Transferência",0,-$F2983)))</f>
        <v/>
      </c>
    </row>
    <row r="2984">
      <c r="A2984" s="73" t="n"/>
      <c r="B2984" s="74" t="n"/>
      <c r="C2984" s="74" t="n"/>
      <c r="D2984" s="75">
        <f>IF($C2984="","",IFERROR(INDEX(CAT_TIPO,MATCH($C2984,CAT_NOME,0)),"Sem categoria"))</f>
        <v/>
      </c>
      <c r="E2984" s="75">
        <f>IF($C2984="","",IFERROR(INDEX(CAT_GRUPO,MATCH($C2984,CAT_NOME,0)),"Sem categoria"))</f>
        <v/>
      </c>
      <c r="F2984" s="76" t="n"/>
      <c r="G2984" s="74" t="n"/>
      <c r="H2984" s="74" t="n"/>
      <c r="I2984" s="74" t="n"/>
      <c r="J2984" s="77" t="n"/>
      <c r="K2984" s="77" t="n"/>
      <c r="L2984" s="74" t="n"/>
      <c r="M2984" s="74" t="n"/>
      <c r="O2984" s="78">
        <f>IF($A2984="","",YEAR($A2984)*100+MONTH($A2984))</f>
        <v/>
      </c>
      <c r="P2984" s="79">
        <f>IF(OR($F2984="",$D2984=""),"",IF($D2984="Receita",$F2984,IF($D2984="Transferência",0,-$F2984)))</f>
        <v/>
      </c>
    </row>
    <row r="2985">
      <c r="A2985" s="73" t="n"/>
      <c r="B2985" s="74" t="n"/>
      <c r="C2985" s="74" t="n"/>
      <c r="D2985" s="75">
        <f>IF($C2985="","",IFERROR(INDEX(CAT_TIPO,MATCH($C2985,CAT_NOME,0)),"Sem categoria"))</f>
        <v/>
      </c>
      <c r="E2985" s="75">
        <f>IF($C2985="","",IFERROR(INDEX(CAT_GRUPO,MATCH($C2985,CAT_NOME,0)),"Sem categoria"))</f>
        <v/>
      </c>
      <c r="F2985" s="76" t="n"/>
      <c r="G2985" s="74" t="n"/>
      <c r="H2985" s="74" t="n"/>
      <c r="I2985" s="74" t="n"/>
      <c r="J2985" s="77" t="n"/>
      <c r="K2985" s="77" t="n"/>
      <c r="L2985" s="74" t="n"/>
      <c r="M2985" s="74" t="n"/>
      <c r="O2985" s="78">
        <f>IF($A2985="","",YEAR($A2985)*100+MONTH($A2985))</f>
        <v/>
      </c>
      <c r="P2985" s="79">
        <f>IF(OR($F2985="",$D2985=""),"",IF($D2985="Receita",$F2985,IF($D2985="Transferência",0,-$F2985)))</f>
        <v/>
      </c>
    </row>
    <row r="2986">
      <c r="A2986" s="73" t="n"/>
      <c r="B2986" s="74" t="n"/>
      <c r="C2986" s="74" t="n"/>
      <c r="D2986" s="75">
        <f>IF($C2986="","",IFERROR(INDEX(CAT_TIPO,MATCH($C2986,CAT_NOME,0)),"Sem categoria"))</f>
        <v/>
      </c>
      <c r="E2986" s="75">
        <f>IF($C2986="","",IFERROR(INDEX(CAT_GRUPO,MATCH($C2986,CAT_NOME,0)),"Sem categoria"))</f>
        <v/>
      </c>
      <c r="F2986" s="76" t="n"/>
      <c r="G2986" s="74" t="n"/>
      <c r="H2986" s="74" t="n"/>
      <c r="I2986" s="74" t="n"/>
      <c r="J2986" s="77" t="n"/>
      <c r="K2986" s="77" t="n"/>
      <c r="L2986" s="74" t="n"/>
      <c r="M2986" s="74" t="n"/>
      <c r="O2986" s="78">
        <f>IF($A2986="","",YEAR($A2986)*100+MONTH($A2986))</f>
        <v/>
      </c>
      <c r="P2986" s="79">
        <f>IF(OR($F2986="",$D2986=""),"",IF($D2986="Receita",$F2986,IF($D2986="Transferência",0,-$F2986)))</f>
        <v/>
      </c>
    </row>
    <row r="2987">
      <c r="A2987" s="73" t="n"/>
      <c r="B2987" s="74" t="n"/>
      <c r="C2987" s="74" t="n"/>
      <c r="D2987" s="75">
        <f>IF($C2987="","",IFERROR(INDEX(CAT_TIPO,MATCH($C2987,CAT_NOME,0)),"Sem categoria"))</f>
        <v/>
      </c>
      <c r="E2987" s="75">
        <f>IF($C2987="","",IFERROR(INDEX(CAT_GRUPO,MATCH($C2987,CAT_NOME,0)),"Sem categoria"))</f>
        <v/>
      </c>
      <c r="F2987" s="76" t="n"/>
      <c r="G2987" s="74" t="n"/>
      <c r="H2987" s="74" t="n"/>
      <c r="I2987" s="74" t="n"/>
      <c r="J2987" s="77" t="n"/>
      <c r="K2987" s="77" t="n"/>
      <c r="L2987" s="74" t="n"/>
      <c r="M2987" s="74" t="n"/>
      <c r="O2987" s="78">
        <f>IF($A2987="","",YEAR($A2987)*100+MONTH($A2987))</f>
        <v/>
      </c>
      <c r="P2987" s="79">
        <f>IF(OR($F2987="",$D2987=""),"",IF($D2987="Receita",$F2987,IF($D2987="Transferência",0,-$F2987)))</f>
        <v/>
      </c>
    </row>
    <row r="2988">
      <c r="A2988" s="73" t="n"/>
      <c r="B2988" s="74" t="n"/>
      <c r="C2988" s="74" t="n"/>
      <c r="D2988" s="75">
        <f>IF($C2988="","",IFERROR(INDEX(CAT_TIPO,MATCH($C2988,CAT_NOME,0)),"Sem categoria"))</f>
        <v/>
      </c>
      <c r="E2988" s="75">
        <f>IF($C2988="","",IFERROR(INDEX(CAT_GRUPO,MATCH($C2988,CAT_NOME,0)),"Sem categoria"))</f>
        <v/>
      </c>
      <c r="F2988" s="76" t="n"/>
      <c r="G2988" s="74" t="n"/>
      <c r="H2988" s="74" t="n"/>
      <c r="I2988" s="74" t="n"/>
      <c r="J2988" s="77" t="n"/>
      <c r="K2988" s="77" t="n"/>
      <c r="L2988" s="74" t="n"/>
      <c r="M2988" s="74" t="n"/>
      <c r="O2988" s="78">
        <f>IF($A2988="","",YEAR($A2988)*100+MONTH($A2988))</f>
        <v/>
      </c>
      <c r="P2988" s="79">
        <f>IF(OR($F2988="",$D2988=""),"",IF($D2988="Receita",$F2988,IF($D2988="Transferência",0,-$F2988)))</f>
        <v/>
      </c>
    </row>
    <row r="2989">
      <c r="A2989" s="73" t="n"/>
      <c r="B2989" s="74" t="n"/>
      <c r="C2989" s="74" t="n"/>
      <c r="D2989" s="75">
        <f>IF($C2989="","",IFERROR(INDEX(CAT_TIPO,MATCH($C2989,CAT_NOME,0)),"Sem categoria"))</f>
        <v/>
      </c>
      <c r="E2989" s="75">
        <f>IF($C2989="","",IFERROR(INDEX(CAT_GRUPO,MATCH($C2989,CAT_NOME,0)),"Sem categoria"))</f>
        <v/>
      </c>
      <c r="F2989" s="76" t="n"/>
      <c r="G2989" s="74" t="n"/>
      <c r="H2989" s="74" t="n"/>
      <c r="I2989" s="74" t="n"/>
      <c r="J2989" s="77" t="n"/>
      <c r="K2989" s="77" t="n"/>
      <c r="L2989" s="74" t="n"/>
      <c r="M2989" s="74" t="n"/>
      <c r="O2989" s="78">
        <f>IF($A2989="","",YEAR($A2989)*100+MONTH($A2989))</f>
        <v/>
      </c>
      <c r="P2989" s="79">
        <f>IF(OR($F2989="",$D2989=""),"",IF($D2989="Receita",$F2989,IF($D2989="Transferência",0,-$F2989)))</f>
        <v/>
      </c>
    </row>
    <row r="2990">
      <c r="A2990" s="73" t="n"/>
      <c r="B2990" s="74" t="n"/>
      <c r="C2990" s="74" t="n"/>
      <c r="D2990" s="75">
        <f>IF($C2990="","",IFERROR(INDEX(CAT_TIPO,MATCH($C2990,CAT_NOME,0)),"Sem categoria"))</f>
        <v/>
      </c>
      <c r="E2990" s="75">
        <f>IF($C2990="","",IFERROR(INDEX(CAT_GRUPO,MATCH($C2990,CAT_NOME,0)),"Sem categoria"))</f>
        <v/>
      </c>
      <c r="F2990" s="76" t="n"/>
      <c r="G2990" s="74" t="n"/>
      <c r="H2990" s="74" t="n"/>
      <c r="I2990" s="74" t="n"/>
      <c r="J2990" s="77" t="n"/>
      <c r="K2990" s="77" t="n"/>
      <c r="L2990" s="74" t="n"/>
      <c r="M2990" s="74" t="n"/>
      <c r="O2990" s="78">
        <f>IF($A2990="","",YEAR($A2990)*100+MONTH($A2990))</f>
        <v/>
      </c>
      <c r="P2990" s="79">
        <f>IF(OR($F2990="",$D2990=""),"",IF($D2990="Receita",$F2990,IF($D2990="Transferência",0,-$F2990)))</f>
        <v/>
      </c>
    </row>
    <row r="2991">
      <c r="A2991" s="73" t="n"/>
      <c r="B2991" s="74" t="n"/>
      <c r="C2991" s="74" t="n"/>
      <c r="D2991" s="75">
        <f>IF($C2991="","",IFERROR(INDEX(CAT_TIPO,MATCH($C2991,CAT_NOME,0)),"Sem categoria"))</f>
        <v/>
      </c>
      <c r="E2991" s="75">
        <f>IF($C2991="","",IFERROR(INDEX(CAT_GRUPO,MATCH($C2991,CAT_NOME,0)),"Sem categoria"))</f>
        <v/>
      </c>
      <c r="F2991" s="76" t="n"/>
      <c r="G2991" s="74" t="n"/>
      <c r="H2991" s="74" t="n"/>
      <c r="I2991" s="74" t="n"/>
      <c r="J2991" s="77" t="n"/>
      <c r="K2991" s="77" t="n"/>
      <c r="L2991" s="74" t="n"/>
      <c r="M2991" s="74" t="n"/>
      <c r="O2991" s="78">
        <f>IF($A2991="","",YEAR($A2991)*100+MONTH($A2991))</f>
        <v/>
      </c>
      <c r="P2991" s="79">
        <f>IF(OR($F2991="",$D2991=""),"",IF($D2991="Receita",$F2991,IF($D2991="Transferência",0,-$F2991)))</f>
        <v/>
      </c>
    </row>
    <row r="2992">
      <c r="A2992" s="73" t="n"/>
      <c r="B2992" s="74" t="n"/>
      <c r="C2992" s="74" t="n"/>
      <c r="D2992" s="75">
        <f>IF($C2992="","",IFERROR(INDEX(CAT_TIPO,MATCH($C2992,CAT_NOME,0)),"Sem categoria"))</f>
        <v/>
      </c>
      <c r="E2992" s="75">
        <f>IF($C2992="","",IFERROR(INDEX(CAT_GRUPO,MATCH($C2992,CAT_NOME,0)),"Sem categoria"))</f>
        <v/>
      </c>
      <c r="F2992" s="76" t="n"/>
      <c r="G2992" s="74" t="n"/>
      <c r="H2992" s="74" t="n"/>
      <c r="I2992" s="74" t="n"/>
      <c r="J2992" s="77" t="n"/>
      <c r="K2992" s="77" t="n"/>
      <c r="L2992" s="74" t="n"/>
      <c r="M2992" s="74" t="n"/>
      <c r="O2992" s="78">
        <f>IF($A2992="","",YEAR($A2992)*100+MONTH($A2992))</f>
        <v/>
      </c>
      <c r="P2992" s="79">
        <f>IF(OR($F2992="",$D2992=""),"",IF($D2992="Receita",$F2992,IF($D2992="Transferência",0,-$F2992)))</f>
        <v/>
      </c>
    </row>
    <row r="2993">
      <c r="A2993" s="73" t="n"/>
      <c r="B2993" s="74" t="n"/>
      <c r="C2993" s="74" t="n"/>
      <c r="D2993" s="75">
        <f>IF($C2993="","",IFERROR(INDEX(CAT_TIPO,MATCH($C2993,CAT_NOME,0)),"Sem categoria"))</f>
        <v/>
      </c>
      <c r="E2993" s="75">
        <f>IF($C2993="","",IFERROR(INDEX(CAT_GRUPO,MATCH($C2993,CAT_NOME,0)),"Sem categoria"))</f>
        <v/>
      </c>
      <c r="F2993" s="76" t="n"/>
      <c r="G2993" s="74" t="n"/>
      <c r="H2993" s="74" t="n"/>
      <c r="I2993" s="74" t="n"/>
      <c r="J2993" s="77" t="n"/>
      <c r="K2993" s="77" t="n"/>
      <c r="L2993" s="74" t="n"/>
      <c r="M2993" s="74" t="n"/>
      <c r="O2993" s="78">
        <f>IF($A2993="","",YEAR($A2993)*100+MONTH($A2993))</f>
        <v/>
      </c>
      <c r="P2993" s="79">
        <f>IF(OR($F2993="",$D2993=""),"",IF($D2993="Receita",$F2993,IF($D2993="Transferência",0,-$F2993)))</f>
        <v/>
      </c>
    </row>
    <row r="2994">
      <c r="A2994" s="73" t="n"/>
      <c r="B2994" s="74" t="n"/>
      <c r="C2994" s="74" t="n"/>
      <c r="D2994" s="75">
        <f>IF($C2994="","",IFERROR(INDEX(CAT_TIPO,MATCH($C2994,CAT_NOME,0)),"Sem categoria"))</f>
        <v/>
      </c>
      <c r="E2994" s="75">
        <f>IF($C2994="","",IFERROR(INDEX(CAT_GRUPO,MATCH($C2994,CAT_NOME,0)),"Sem categoria"))</f>
        <v/>
      </c>
      <c r="F2994" s="76" t="n"/>
      <c r="G2994" s="74" t="n"/>
      <c r="H2994" s="74" t="n"/>
      <c r="I2994" s="74" t="n"/>
      <c r="J2994" s="77" t="n"/>
      <c r="K2994" s="77" t="n"/>
      <c r="L2994" s="74" t="n"/>
      <c r="M2994" s="74" t="n"/>
      <c r="O2994" s="78">
        <f>IF($A2994="","",YEAR($A2994)*100+MONTH($A2994))</f>
        <v/>
      </c>
      <c r="P2994" s="79">
        <f>IF(OR($F2994="",$D2994=""),"",IF($D2994="Receita",$F2994,IF($D2994="Transferência",0,-$F2994)))</f>
        <v/>
      </c>
    </row>
    <row r="2995">
      <c r="A2995" s="73" t="n"/>
      <c r="B2995" s="74" t="n"/>
      <c r="C2995" s="74" t="n"/>
      <c r="D2995" s="75">
        <f>IF($C2995="","",IFERROR(INDEX(CAT_TIPO,MATCH($C2995,CAT_NOME,0)),"Sem categoria"))</f>
        <v/>
      </c>
      <c r="E2995" s="75">
        <f>IF($C2995="","",IFERROR(INDEX(CAT_GRUPO,MATCH($C2995,CAT_NOME,0)),"Sem categoria"))</f>
        <v/>
      </c>
      <c r="F2995" s="76" t="n"/>
      <c r="G2995" s="74" t="n"/>
      <c r="H2995" s="74" t="n"/>
      <c r="I2995" s="74" t="n"/>
      <c r="J2995" s="77" t="n"/>
      <c r="K2995" s="77" t="n"/>
      <c r="L2995" s="74" t="n"/>
      <c r="M2995" s="74" t="n"/>
      <c r="O2995" s="78">
        <f>IF($A2995="","",YEAR($A2995)*100+MONTH($A2995))</f>
        <v/>
      </c>
      <c r="P2995" s="79">
        <f>IF(OR($F2995="",$D2995=""),"",IF($D2995="Receita",$F2995,IF($D2995="Transferência",0,-$F2995)))</f>
        <v/>
      </c>
    </row>
    <row r="2996">
      <c r="A2996" s="73" t="n"/>
      <c r="B2996" s="74" t="n"/>
      <c r="C2996" s="74" t="n"/>
      <c r="D2996" s="75">
        <f>IF($C2996="","",IFERROR(INDEX(CAT_TIPO,MATCH($C2996,CAT_NOME,0)),"Sem categoria"))</f>
        <v/>
      </c>
      <c r="E2996" s="75">
        <f>IF($C2996="","",IFERROR(INDEX(CAT_GRUPO,MATCH($C2996,CAT_NOME,0)),"Sem categoria"))</f>
        <v/>
      </c>
      <c r="F2996" s="76" t="n"/>
      <c r="G2996" s="74" t="n"/>
      <c r="H2996" s="74" t="n"/>
      <c r="I2996" s="74" t="n"/>
      <c r="J2996" s="77" t="n"/>
      <c r="K2996" s="77" t="n"/>
      <c r="L2996" s="74" t="n"/>
      <c r="M2996" s="74" t="n"/>
      <c r="O2996" s="78">
        <f>IF($A2996="","",YEAR($A2996)*100+MONTH($A2996))</f>
        <v/>
      </c>
      <c r="P2996" s="79">
        <f>IF(OR($F2996="",$D2996=""),"",IF($D2996="Receita",$F2996,IF($D2996="Transferência",0,-$F2996)))</f>
        <v/>
      </c>
    </row>
    <row r="2997">
      <c r="A2997" s="73" t="n"/>
      <c r="B2997" s="74" t="n"/>
      <c r="C2997" s="74" t="n"/>
      <c r="D2997" s="75">
        <f>IF($C2997="","",IFERROR(INDEX(CAT_TIPO,MATCH($C2997,CAT_NOME,0)),"Sem categoria"))</f>
        <v/>
      </c>
      <c r="E2997" s="75">
        <f>IF($C2997="","",IFERROR(INDEX(CAT_GRUPO,MATCH($C2997,CAT_NOME,0)),"Sem categoria"))</f>
        <v/>
      </c>
      <c r="F2997" s="76" t="n"/>
      <c r="G2997" s="74" t="n"/>
      <c r="H2997" s="74" t="n"/>
      <c r="I2997" s="74" t="n"/>
      <c r="J2997" s="77" t="n"/>
      <c r="K2997" s="77" t="n"/>
      <c r="L2997" s="74" t="n"/>
      <c r="M2997" s="74" t="n"/>
      <c r="O2997" s="78">
        <f>IF($A2997="","",YEAR($A2997)*100+MONTH($A2997))</f>
        <v/>
      </c>
      <c r="P2997" s="79">
        <f>IF(OR($F2997="",$D2997=""),"",IF($D2997="Receita",$F2997,IF($D2997="Transferência",0,-$F2997)))</f>
        <v/>
      </c>
    </row>
    <row r="2998">
      <c r="A2998" s="73" t="n"/>
      <c r="B2998" s="74" t="n"/>
      <c r="C2998" s="74" t="n"/>
      <c r="D2998" s="75">
        <f>IF($C2998="","",IFERROR(INDEX(CAT_TIPO,MATCH($C2998,CAT_NOME,0)),"Sem categoria"))</f>
        <v/>
      </c>
      <c r="E2998" s="75">
        <f>IF($C2998="","",IFERROR(INDEX(CAT_GRUPO,MATCH($C2998,CAT_NOME,0)),"Sem categoria"))</f>
        <v/>
      </c>
      <c r="F2998" s="76" t="n"/>
      <c r="G2998" s="74" t="n"/>
      <c r="H2998" s="74" t="n"/>
      <c r="I2998" s="74" t="n"/>
      <c r="J2998" s="77" t="n"/>
      <c r="K2998" s="77" t="n"/>
      <c r="L2998" s="74" t="n"/>
      <c r="M2998" s="74" t="n"/>
      <c r="O2998" s="78">
        <f>IF($A2998="","",YEAR($A2998)*100+MONTH($A2998))</f>
        <v/>
      </c>
      <c r="P2998" s="79">
        <f>IF(OR($F2998="",$D2998=""),"",IF($D2998="Receita",$F2998,IF($D2998="Transferência",0,-$F2998)))</f>
        <v/>
      </c>
    </row>
    <row r="2999">
      <c r="A2999" s="73" t="n"/>
      <c r="B2999" s="74" t="n"/>
      <c r="C2999" s="74" t="n"/>
      <c r="D2999" s="75">
        <f>IF($C2999="","",IFERROR(INDEX(CAT_TIPO,MATCH($C2999,CAT_NOME,0)),"Sem categoria"))</f>
        <v/>
      </c>
      <c r="E2999" s="75">
        <f>IF($C2999="","",IFERROR(INDEX(CAT_GRUPO,MATCH($C2999,CAT_NOME,0)),"Sem categoria"))</f>
        <v/>
      </c>
      <c r="F2999" s="76" t="n"/>
      <c r="G2999" s="74" t="n"/>
      <c r="H2999" s="74" t="n"/>
      <c r="I2999" s="74" t="n"/>
      <c r="J2999" s="77" t="n"/>
      <c r="K2999" s="77" t="n"/>
      <c r="L2999" s="74" t="n"/>
      <c r="M2999" s="74" t="n"/>
      <c r="O2999" s="78">
        <f>IF($A2999="","",YEAR($A2999)*100+MONTH($A2999))</f>
        <v/>
      </c>
      <c r="P2999" s="79">
        <f>IF(OR($F2999="",$D2999=""),"",IF($D2999="Receita",$F2999,IF($D2999="Transferência",0,-$F2999)))</f>
        <v/>
      </c>
    </row>
    <row r="3000">
      <c r="A3000" s="73" t="n"/>
      <c r="B3000" s="74" t="n"/>
      <c r="C3000" s="74" t="n"/>
      <c r="D3000" s="75">
        <f>IF($C3000="","",IFERROR(INDEX(CAT_TIPO,MATCH($C3000,CAT_NOME,0)),"Sem categoria"))</f>
        <v/>
      </c>
      <c r="E3000" s="75">
        <f>IF($C3000="","",IFERROR(INDEX(CAT_GRUPO,MATCH($C3000,CAT_NOME,0)),"Sem categoria"))</f>
        <v/>
      </c>
      <c r="F3000" s="76" t="n"/>
      <c r="G3000" s="74" t="n"/>
      <c r="H3000" s="74" t="n"/>
      <c r="I3000" s="74" t="n"/>
      <c r="J3000" s="77" t="n"/>
      <c r="K3000" s="77" t="n"/>
      <c r="L3000" s="74" t="n"/>
      <c r="M3000" s="74" t="n"/>
      <c r="O3000" s="78">
        <f>IF($A3000="","",YEAR($A3000)*100+MONTH($A3000))</f>
        <v/>
      </c>
      <c r="P3000" s="79">
        <f>IF(OR($F3000="",$D3000=""),"",IF($D3000="Receita",$F3000,IF($D3000="Transferência",0,-$F3000)))</f>
        <v/>
      </c>
    </row>
    <row r="3001">
      <c r="A3001" s="73" t="n"/>
      <c r="B3001" s="74" t="n"/>
      <c r="C3001" s="74" t="n"/>
      <c r="D3001" s="75">
        <f>IF($C3001="","",IFERROR(INDEX(CAT_TIPO,MATCH($C3001,CAT_NOME,0)),"Sem categoria"))</f>
        <v/>
      </c>
      <c r="E3001" s="75">
        <f>IF($C3001="","",IFERROR(INDEX(CAT_GRUPO,MATCH($C3001,CAT_NOME,0)),"Sem categoria"))</f>
        <v/>
      </c>
      <c r="F3001" s="76" t="n"/>
      <c r="G3001" s="74" t="n"/>
      <c r="H3001" s="74" t="n"/>
      <c r="I3001" s="74" t="n"/>
      <c r="J3001" s="77" t="n"/>
      <c r="K3001" s="77" t="n"/>
      <c r="L3001" s="74" t="n"/>
      <c r="M3001" s="74" t="n"/>
      <c r="O3001" s="78">
        <f>IF($A3001="","",YEAR($A3001)*100+MONTH($A3001))</f>
        <v/>
      </c>
      <c r="P3001" s="79">
        <f>IF(OR($F3001="",$D3001=""),"",IF($D3001="Receita",$F3001,IF($D3001="Transferência",0,-$F3001)))</f>
        <v/>
      </c>
    </row>
    <row r="3002">
      <c r="A3002" s="73" t="n"/>
      <c r="B3002" s="74" t="n"/>
      <c r="C3002" s="74" t="n"/>
      <c r="D3002" s="75">
        <f>IF($C3002="","",IFERROR(INDEX(CAT_TIPO,MATCH($C3002,CAT_NOME,0)),"Sem categoria"))</f>
        <v/>
      </c>
      <c r="E3002" s="75">
        <f>IF($C3002="","",IFERROR(INDEX(CAT_GRUPO,MATCH($C3002,CAT_NOME,0)),"Sem categoria"))</f>
        <v/>
      </c>
      <c r="F3002" s="76" t="n"/>
      <c r="G3002" s="74" t="n"/>
      <c r="H3002" s="74" t="n"/>
      <c r="I3002" s="74" t="n"/>
      <c r="J3002" s="77" t="n"/>
      <c r="K3002" s="77" t="n"/>
      <c r="L3002" s="74" t="n"/>
      <c r="M3002" s="74" t="n"/>
      <c r="O3002" s="78">
        <f>IF($A3002="","",YEAR($A3002)*100+MONTH($A3002))</f>
        <v/>
      </c>
      <c r="P3002" s="79">
        <f>IF(OR($F3002="",$D3002=""),"",IF($D3002="Receita",$F3002,IF($D3002="Transferência",0,-$F3002)))</f>
        <v/>
      </c>
    </row>
    <row r="3003">
      <c r="A3003" s="73" t="n"/>
      <c r="B3003" s="74" t="n"/>
      <c r="C3003" s="74" t="n"/>
      <c r="D3003" s="75">
        <f>IF($C3003="","",IFERROR(INDEX(CAT_TIPO,MATCH($C3003,CAT_NOME,0)),"Sem categoria"))</f>
        <v/>
      </c>
      <c r="E3003" s="75">
        <f>IF($C3003="","",IFERROR(INDEX(CAT_GRUPO,MATCH($C3003,CAT_NOME,0)),"Sem categoria"))</f>
        <v/>
      </c>
      <c r="F3003" s="76" t="n"/>
      <c r="G3003" s="74" t="n"/>
      <c r="H3003" s="74" t="n"/>
      <c r="I3003" s="74" t="n"/>
      <c r="J3003" s="77" t="n"/>
      <c r="K3003" s="77" t="n"/>
      <c r="L3003" s="74" t="n"/>
      <c r="M3003" s="74" t="n"/>
      <c r="O3003" s="78">
        <f>IF($A3003="","",YEAR($A3003)*100+MONTH($A3003))</f>
        <v/>
      </c>
      <c r="P3003" s="79">
        <f>IF(OR($F3003="",$D3003=""),"",IF($D3003="Receita",$F3003,IF($D3003="Transferência",0,-$F3003)))</f>
        <v/>
      </c>
    </row>
    <row r="3004">
      <c r="A3004" s="73" t="n"/>
      <c r="B3004" s="74" t="n"/>
      <c r="C3004" s="74" t="n"/>
      <c r="D3004" s="75">
        <f>IF($C3004="","",IFERROR(INDEX(CAT_TIPO,MATCH($C3004,CAT_NOME,0)),"Sem categoria"))</f>
        <v/>
      </c>
      <c r="E3004" s="75">
        <f>IF($C3004="","",IFERROR(INDEX(CAT_GRUPO,MATCH($C3004,CAT_NOME,0)),"Sem categoria"))</f>
        <v/>
      </c>
      <c r="F3004" s="76" t="n"/>
      <c r="G3004" s="74" t="n"/>
      <c r="H3004" s="74" t="n"/>
      <c r="I3004" s="74" t="n"/>
      <c r="J3004" s="77" t="n"/>
      <c r="K3004" s="77" t="n"/>
      <c r="L3004" s="74" t="n"/>
      <c r="M3004" s="74" t="n"/>
      <c r="O3004" s="78">
        <f>IF($A3004="","",YEAR($A3004)*100+MONTH($A3004))</f>
        <v/>
      </c>
      <c r="P3004" s="79">
        <f>IF(OR($F3004="",$D3004=""),"",IF($D3004="Receita",$F3004,IF($D3004="Transferência",0,-$F3004)))</f>
        <v/>
      </c>
    </row>
    <row r="3005">
      <c r="A3005" s="73" t="n"/>
      <c r="B3005" s="74" t="n"/>
      <c r="C3005" s="74" t="n"/>
      <c r="D3005" s="75">
        <f>IF($C3005="","",IFERROR(INDEX(CAT_TIPO,MATCH($C3005,CAT_NOME,0)),"Sem categoria"))</f>
        <v/>
      </c>
      <c r="E3005" s="75">
        <f>IF($C3005="","",IFERROR(INDEX(CAT_GRUPO,MATCH($C3005,CAT_NOME,0)),"Sem categoria"))</f>
        <v/>
      </c>
      <c r="F3005" s="76" t="n"/>
      <c r="G3005" s="74" t="n"/>
      <c r="H3005" s="74" t="n"/>
      <c r="I3005" s="74" t="n"/>
      <c r="J3005" s="77" t="n"/>
      <c r="K3005" s="77" t="n"/>
      <c r="L3005" s="74" t="n"/>
      <c r="M3005" s="74" t="n"/>
      <c r="O3005" s="78">
        <f>IF($A3005="","",YEAR($A3005)*100+MONTH($A3005))</f>
        <v/>
      </c>
      <c r="P3005" s="79">
        <f>IF(OR($F3005="",$D3005=""),"",IF($D3005="Receita",$F3005,IF($D3005="Transferência",0,-$F3005)))</f>
        <v/>
      </c>
    </row>
    <row r="3006">
      <c r="A3006" s="73" t="n"/>
      <c r="B3006" s="74" t="n"/>
      <c r="C3006" s="74" t="n"/>
      <c r="D3006" s="75">
        <f>IF($C3006="","",IFERROR(INDEX(CAT_TIPO,MATCH($C3006,CAT_NOME,0)),"Sem categoria"))</f>
        <v/>
      </c>
      <c r="E3006" s="75">
        <f>IF($C3006="","",IFERROR(INDEX(CAT_GRUPO,MATCH($C3006,CAT_NOME,0)),"Sem categoria"))</f>
        <v/>
      </c>
      <c r="F3006" s="76" t="n"/>
      <c r="G3006" s="74" t="n"/>
      <c r="H3006" s="74" t="n"/>
      <c r="I3006" s="74" t="n"/>
      <c r="J3006" s="77" t="n"/>
      <c r="K3006" s="77" t="n"/>
      <c r="L3006" s="74" t="n"/>
      <c r="M3006" s="74" t="n"/>
      <c r="O3006" s="78">
        <f>IF($A3006="","",YEAR($A3006)*100+MONTH($A3006))</f>
        <v/>
      </c>
      <c r="P3006" s="79">
        <f>IF(OR($F3006="",$D3006=""),"",IF($D3006="Receita",$F3006,IF($D3006="Transferência",0,-$F3006)))</f>
        <v/>
      </c>
    </row>
    <row r="3007">
      <c r="A3007" s="73" t="n"/>
      <c r="B3007" s="74" t="n"/>
      <c r="C3007" s="74" t="n"/>
      <c r="D3007" s="75">
        <f>IF($C3007="","",IFERROR(INDEX(CAT_TIPO,MATCH($C3007,CAT_NOME,0)),"Sem categoria"))</f>
        <v/>
      </c>
      <c r="E3007" s="75">
        <f>IF($C3007="","",IFERROR(INDEX(CAT_GRUPO,MATCH($C3007,CAT_NOME,0)),"Sem categoria"))</f>
        <v/>
      </c>
      <c r="F3007" s="76" t="n"/>
      <c r="G3007" s="74" t="n"/>
      <c r="H3007" s="74" t="n"/>
      <c r="I3007" s="74" t="n"/>
      <c r="J3007" s="77" t="n"/>
      <c r="K3007" s="77" t="n"/>
      <c r="L3007" s="74" t="n"/>
      <c r="M3007" s="74" t="n"/>
      <c r="O3007" s="78">
        <f>IF($A3007="","",YEAR($A3007)*100+MONTH($A3007))</f>
        <v/>
      </c>
      <c r="P3007" s="79">
        <f>IF(OR($F3007="",$D3007=""),"",IF($D3007="Receita",$F3007,IF($D3007="Transferência",0,-$F3007)))</f>
        <v/>
      </c>
    </row>
    <row r="3008">
      <c r="A3008" s="73" t="n"/>
      <c r="B3008" s="74" t="n"/>
      <c r="C3008" s="74" t="n"/>
      <c r="D3008" s="75">
        <f>IF($C3008="","",IFERROR(INDEX(CAT_TIPO,MATCH($C3008,CAT_NOME,0)),"Sem categoria"))</f>
        <v/>
      </c>
      <c r="E3008" s="75">
        <f>IF($C3008="","",IFERROR(INDEX(CAT_GRUPO,MATCH($C3008,CAT_NOME,0)),"Sem categoria"))</f>
        <v/>
      </c>
      <c r="F3008" s="76" t="n"/>
      <c r="G3008" s="74" t="n"/>
      <c r="H3008" s="74" t="n"/>
      <c r="I3008" s="74" t="n"/>
      <c r="J3008" s="77" t="n"/>
      <c r="K3008" s="77" t="n"/>
      <c r="L3008" s="74" t="n"/>
      <c r="M3008" s="74" t="n"/>
      <c r="O3008" s="78">
        <f>IF($A3008="","",YEAR($A3008)*100+MONTH($A3008))</f>
        <v/>
      </c>
      <c r="P3008" s="79">
        <f>IF(OR($F3008="",$D3008=""),"",IF($D3008="Receita",$F3008,IF($D3008="Transferência",0,-$F3008)))</f>
        <v/>
      </c>
    </row>
    <row r="3009">
      <c r="A3009" s="73" t="n"/>
      <c r="B3009" s="74" t="n"/>
      <c r="C3009" s="74" t="n"/>
      <c r="D3009" s="75">
        <f>IF($C3009="","",IFERROR(INDEX(CAT_TIPO,MATCH($C3009,CAT_NOME,0)),"Sem categoria"))</f>
        <v/>
      </c>
      <c r="E3009" s="75">
        <f>IF($C3009="","",IFERROR(INDEX(CAT_GRUPO,MATCH($C3009,CAT_NOME,0)),"Sem categoria"))</f>
        <v/>
      </c>
      <c r="F3009" s="76" t="n"/>
      <c r="G3009" s="74" t="n"/>
      <c r="H3009" s="74" t="n"/>
      <c r="I3009" s="74" t="n"/>
      <c r="J3009" s="77" t="n"/>
      <c r="K3009" s="77" t="n"/>
      <c r="L3009" s="74" t="n"/>
      <c r="M3009" s="74" t="n"/>
      <c r="O3009" s="78">
        <f>IF($A3009="","",YEAR($A3009)*100+MONTH($A3009))</f>
        <v/>
      </c>
      <c r="P3009" s="79">
        <f>IF(OR($F3009="",$D3009=""),"",IF($D3009="Receita",$F3009,IF($D3009="Transferência",0,-$F3009)))</f>
        <v/>
      </c>
    </row>
    <row r="3010">
      <c r="A3010" s="73" t="n"/>
      <c r="B3010" s="74" t="n"/>
      <c r="C3010" s="74" t="n"/>
      <c r="D3010" s="75">
        <f>IF($C3010="","",IFERROR(INDEX(CAT_TIPO,MATCH($C3010,CAT_NOME,0)),"Sem categoria"))</f>
        <v/>
      </c>
      <c r="E3010" s="75">
        <f>IF($C3010="","",IFERROR(INDEX(CAT_GRUPO,MATCH($C3010,CAT_NOME,0)),"Sem categoria"))</f>
        <v/>
      </c>
      <c r="F3010" s="76" t="n"/>
      <c r="G3010" s="74" t="n"/>
      <c r="H3010" s="74" t="n"/>
      <c r="I3010" s="74" t="n"/>
      <c r="J3010" s="77" t="n"/>
      <c r="K3010" s="77" t="n"/>
      <c r="L3010" s="74" t="n"/>
      <c r="M3010" s="74" t="n"/>
      <c r="O3010" s="78">
        <f>IF($A3010="","",YEAR($A3010)*100+MONTH($A3010))</f>
        <v/>
      </c>
      <c r="P3010" s="79">
        <f>IF(OR($F3010="",$D3010=""),"",IF($D3010="Receita",$F3010,IF($D3010="Transferência",0,-$F3010)))</f>
        <v/>
      </c>
    </row>
    <row r="3011">
      <c r="A3011" s="73" t="n"/>
      <c r="B3011" s="74" t="n"/>
      <c r="C3011" s="74" t="n"/>
      <c r="D3011" s="75">
        <f>IF($C3011="","",IFERROR(INDEX(CAT_TIPO,MATCH($C3011,CAT_NOME,0)),"Sem categoria"))</f>
        <v/>
      </c>
      <c r="E3011" s="75">
        <f>IF($C3011="","",IFERROR(INDEX(CAT_GRUPO,MATCH($C3011,CAT_NOME,0)),"Sem categoria"))</f>
        <v/>
      </c>
      <c r="F3011" s="76" t="n"/>
      <c r="G3011" s="74" t="n"/>
      <c r="H3011" s="74" t="n"/>
      <c r="I3011" s="74" t="n"/>
      <c r="J3011" s="77" t="n"/>
      <c r="K3011" s="77" t="n"/>
      <c r="L3011" s="74" t="n"/>
      <c r="M3011" s="74" t="n"/>
      <c r="O3011" s="78">
        <f>IF($A3011="","",YEAR($A3011)*100+MONTH($A3011))</f>
        <v/>
      </c>
      <c r="P3011" s="79">
        <f>IF(OR($F3011="",$D3011=""),"",IF($D3011="Receita",$F3011,IF($D3011="Transferência",0,-$F3011)))</f>
        <v/>
      </c>
    </row>
    <row r="3012">
      <c r="A3012" s="73" t="n"/>
      <c r="B3012" s="74" t="n"/>
      <c r="C3012" s="74" t="n"/>
      <c r="D3012" s="75">
        <f>IF($C3012="","",IFERROR(INDEX(CAT_TIPO,MATCH($C3012,CAT_NOME,0)),"Sem categoria"))</f>
        <v/>
      </c>
      <c r="E3012" s="75">
        <f>IF($C3012="","",IFERROR(INDEX(CAT_GRUPO,MATCH($C3012,CAT_NOME,0)),"Sem categoria"))</f>
        <v/>
      </c>
      <c r="F3012" s="76" t="n"/>
      <c r="G3012" s="74" t="n"/>
      <c r="H3012" s="74" t="n"/>
      <c r="I3012" s="74" t="n"/>
      <c r="J3012" s="77" t="n"/>
      <c r="K3012" s="77" t="n"/>
      <c r="L3012" s="74" t="n"/>
      <c r="M3012" s="74" t="n"/>
      <c r="O3012" s="78">
        <f>IF($A3012="","",YEAR($A3012)*100+MONTH($A3012))</f>
        <v/>
      </c>
      <c r="P3012" s="79">
        <f>IF(OR($F3012="",$D3012=""),"",IF($D3012="Receita",$F3012,IF($D3012="Transferência",0,-$F3012)))</f>
        <v/>
      </c>
    </row>
    <row r="3013">
      <c r="A3013" s="73" t="n"/>
      <c r="B3013" s="74" t="n"/>
      <c r="C3013" s="74" t="n"/>
      <c r="D3013" s="75">
        <f>IF($C3013="","",IFERROR(INDEX(CAT_TIPO,MATCH($C3013,CAT_NOME,0)),"Sem categoria"))</f>
        <v/>
      </c>
      <c r="E3013" s="75">
        <f>IF($C3013="","",IFERROR(INDEX(CAT_GRUPO,MATCH($C3013,CAT_NOME,0)),"Sem categoria"))</f>
        <v/>
      </c>
      <c r="F3013" s="76" t="n"/>
      <c r="G3013" s="74" t="n"/>
      <c r="H3013" s="74" t="n"/>
      <c r="I3013" s="74" t="n"/>
      <c r="J3013" s="77" t="n"/>
      <c r="K3013" s="77" t="n"/>
      <c r="L3013" s="74" t="n"/>
      <c r="M3013" s="74" t="n"/>
      <c r="O3013" s="78">
        <f>IF($A3013="","",YEAR($A3013)*100+MONTH($A3013))</f>
        <v/>
      </c>
      <c r="P3013" s="79">
        <f>IF(OR($F3013="",$D3013=""),"",IF($D3013="Receita",$F3013,IF($D3013="Transferência",0,-$F3013)))</f>
        <v/>
      </c>
    </row>
    <row r="3014">
      <c r="A3014" s="73" t="n"/>
      <c r="B3014" s="74" t="n"/>
      <c r="C3014" s="74" t="n"/>
      <c r="D3014" s="75">
        <f>IF($C3014="","",IFERROR(INDEX(CAT_TIPO,MATCH($C3014,CAT_NOME,0)),"Sem categoria"))</f>
        <v/>
      </c>
      <c r="E3014" s="75">
        <f>IF($C3014="","",IFERROR(INDEX(CAT_GRUPO,MATCH($C3014,CAT_NOME,0)),"Sem categoria"))</f>
        <v/>
      </c>
      <c r="F3014" s="76" t="n"/>
      <c r="G3014" s="74" t="n"/>
      <c r="H3014" s="74" t="n"/>
      <c r="I3014" s="74" t="n"/>
      <c r="J3014" s="77" t="n"/>
      <c r="K3014" s="77" t="n"/>
      <c r="L3014" s="74" t="n"/>
      <c r="M3014" s="74" t="n"/>
      <c r="O3014" s="78">
        <f>IF($A3014="","",YEAR($A3014)*100+MONTH($A3014))</f>
        <v/>
      </c>
      <c r="P3014" s="79">
        <f>IF(OR($F3014="",$D3014=""),"",IF($D3014="Receita",$F3014,IF($D3014="Transferência",0,-$F3014)))</f>
        <v/>
      </c>
    </row>
    <row r="3015">
      <c r="A3015" s="73" t="n"/>
      <c r="B3015" s="74" t="n"/>
      <c r="C3015" s="74" t="n"/>
      <c r="D3015" s="75">
        <f>IF($C3015="","",IFERROR(INDEX(CAT_TIPO,MATCH($C3015,CAT_NOME,0)),"Sem categoria"))</f>
        <v/>
      </c>
      <c r="E3015" s="75">
        <f>IF($C3015="","",IFERROR(INDEX(CAT_GRUPO,MATCH($C3015,CAT_NOME,0)),"Sem categoria"))</f>
        <v/>
      </c>
      <c r="F3015" s="76" t="n"/>
      <c r="G3015" s="74" t="n"/>
      <c r="H3015" s="74" t="n"/>
      <c r="I3015" s="74" t="n"/>
      <c r="J3015" s="77" t="n"/>
      <c r="K3015" s="77" t="n"/>
      <c r="L3015" s="74" t="n"/>
      <c r="M3015" s="74" t="n"/>
      <c r="O3015" s="78">
        <f>IF($A3015="","",YEAR($A3015)*100+MONTH($A3015))</f>
        <v/>
      </c>
      <c r="P3015" s="79">
        <f>IF(OR($F3015="",$D3015=""),"",IF($D3015="Receita",$F3015,IF($D3015="Transferência",0,-$F3015)))</f>
        <v/>
      </c>
    </row>
    <row r="3016">
      <c r="A3016" s="73" t="n"/>
      <c r="B3016" s="74" t="n"/>
      <c r="C3016" s="74" t="n"/>
      <c r="D3016" s="75">
        <f>IF($C3016="","",IFERROR(INDEX(CAT_TIPO,MATCH($C3016,CAT_NOME,0)),"Sem categoria"))</f>
        <v/>
      </c>
      <c r="E3016" s="75">
        <f>IF($C3016="","",IFERROR(INDEX(CAT_GRUPO,MATCH($C3016,CAT_NOME,0)),"Sem categoria"))</f>
        <v/>
      </c>
      <c r="F3016" s="76" t="n"/>
      <c r="G3016" s="74" t="n"/>
      <c r="H3016" s="74" t="n"/>
      <c r="I3016" s="74" t="n"/>
      <c r="J3016" s="77" t="n"/>
      <c r="K3016" s="77" t="n"/>
      <c r="L3016" s="74" t="n"/>
      <c r="M3016" s="74" t="n"/>
      <c r="O3016" s="78">
        <f>IF($A3016="","",YEAR($A3016)*100+MONTH($A3016))</f>
        <v/>
      </c>
      <c r="P3016" s="79">
        <f>IF(OR($F3016="",$D3016=""),"",IF($D3016="Receita",$F3016,IF($D3016="Transferência",0,-$F3016)))</f>
        <v/>
      </c>
    </row>
    <row r="3017">
      <c r="A3017" s="73" t="n"/>
      <c r="B3017" s="74" t="n"/>
      <c r="C3017" s="74" t="n"/>
      <c r="D3017" s="75">
        <f>IF($C3017="","",IFERROR(INDEX(CAT_TIPO,MATCH($C3017,CAT_NOME,0)),"Sem categoria"))</f>
        <v/>
      </c>
      <c r="E3017" s="75">
        <f>IF($C3017="","",IFERROR(INDEX(CAT_GRUPO,MATCH($C3017,CAT_NOME,0)),"Sem categoria"))</f>
        <v/>
      </c>
      <c r="F3017" s="76" t="n"/>
      <c r="G3017" s="74" t="n"/>
      <c r="H3017" s="74" t="n"/>
      <c r="I3017" s="74" t="n"/>
      <c r="J3017" s="77" t="n"/>
      <c r="K3017" s="77" t="n"/>
      <c r="L3017" s="74" t="n"/>
      <c r="M3017" s="74" t="n"/>
      <c r="O3017" s="78">
        <f>IF($A3017="","",YEAR($A3017)*100+MONTH($A3017))</f>
        <v/>
      </c>
      <c r="P3017" s="79">
        <f>IF(OR($F3017="",$D3017=""),"",IF($D3017="Receita",$F3017,IF($D3017="Transferência",0,-$F3017)))</f>
        <v/>
      </c>
    </row>
    <row r="3018">
      <c r="A3018" s="73" t="n"/>
      <c r="B3018" s="74" t="n"/>
      <c r="C3018" s="74" t="n"/>
      <c r="D3018" s="75">
        <f>IF($C3018="","",IFERROR(INDEX(CAT_TIPO,MATCH($C3018,CAT_NOME,0)),"Sem categoria"))</f>
        <v/>
      </c>
      <c r="E3018" s="75">
        <f>IF($C3018="","",IFERROR(INDEX(CAT_GRUPO,MATCH($C3018,CAT_NOME,0)),"Sem categoria"))</f>
        <v/>
      </c>
      <c r="F3018" s="76" t="n"/>
      <c r="G3018" s="74" t="n"/>
      <c r="H3018" s="74" t="n"/>
      <c r="I3018" s="74" t="n"/>
      <c r="J3018" s="77" t="n"/>
      <c r="K3018" s="77" t="n"/>
      <c r="L3018" s="74" t="n"/>
      <c r="M3018" s="74" t="n"/>
      <c r="O3018" s="78">
        <f>IF($A3018="","",YEAR($A3018)*100+MONTH($A3018))</f>
        <v/>
      </c>
      <c r="P3018" s="79">
        <f>IF(OR($F3018="",$D3018=""),"",IF($D3018="Receita",$F3018,IF($D3018="Transferência",0,-$F3018)))</f>
        <v/>
      </c>
    </row>
    <row r="3019">
      <c r="A3019" s="73" t="n"/>
      <c r="B3019" s="74" t="n"/>
      <c r="C3019" s="74" t="n"/>
      <c r="D3019" s="75">
        <f>IF($C3019="","",IFERROR(INDEX(CAT_TIPO,MATCH($C3019,CAT_NOME,0)),"Sem categoria"))</f>
        <v/>
      </c>
      <c r="E3019" s="75">
        <f>IF($C3019="","",IFERROR(INDEX(CAT_GRUPO,MATCH($C3019,CAT_NOME,0)),"Sem categoria"))</f>
        <v/>
      </c>
      <c r="F3019" s="76" t="n"/>
      <c r="G3019" s="74" t="n"/>
      <c r="H3019" s="74" t="n"/>
      <c r="I3019" s="74" t="n"/>
      <c r="J3019" s="77" t="n"/>
      <c r="K3019" s="77" t="n"/>
      <c r="L3019" s="74" t="n"/>
      <c r="M3019" s="74" t="n"/>
      <c r="O3019" s="78">
        <f>IF($A3019="","",YEAR($A3019)*100+MONTH($A3019))</f>
        <v/>
      </c>
      <c r="P3019" s="79">
        <f>IF(OR($F3019="",$D3019=""),"",IF($D3019="Receita",$F3019,IF($D3019="Transferência",0,-$F3019)))</f>
        <v/>
      </c>
    </row>
    <row r="3020">
      <c r="A3020" s="73" t="n"/>
      <c r="B3020" s="74" t="n"/>
      <c r="C3020" s="74" t="n"/>
      <c r="D3020" s="75">
        <f>IF($C3020="","",IFERROR(INDEX(CAT_TIPO,MATCH($C3020,CAT_NOME,0)),"Sem categoria"))</f>
        <v/>
      </c>
      <c r="E3020" s="75">
        <f>IF($C3020="","",IFERROR(INDEX(CAT_GRUPO,MATCH($C3020,CAT_NOME,0)),"Sem categoria"))</f>
        <v/>
      </c>
      <c r="F3020" s="76" t="n"/>
      <c r="G3020" s="74" t="n"/>
      <c r="H3020" s="74" t="n"/>
      <c r="I3020" s="74" t="n"/>
      <c r="J3020" s="77" t="n"/>
      <c r="K3020" s="77" t="n"/>
      <c r="L3020" s="74" t="n"/>
      <c r="M3020" s="74" t="n"/>
      <c r="O3020" s="78">
        <f>IF($A3020="","",YEAR($A3020)*100+MONTH($A3020))</f>
        <v/>
      </c>
      <c r="P3020" s="79">
        <f>IF(OR($F3020="",$D3020=""),"",IF($D3020="Receita",$F3020,IF($D3020="Transferência",0,-$F3020)))</f>
        <v/>
      </c>
    </row>
    <row r="3021">
      <c r="A3021" s="73" t="n"/>
      <c r="B3021" s="74" t="n"/>
      <c r="C3021" s="74" t="n"/>
      <c r="D3021" s="75">
        <f>IF($C3021="","",IFERROR(INDEX(CAT_TIPO,MATCH($C3021,CAT_NOME,0)),"Sem categoria"))</f>
        <v/>
      </c>
      <c r="E3021" s="75">
        <f>IF($C3021="","",IFERROR(INDEX(CAT_GRUPO,MATCH($C3021,CAT_NOME,0)),"Sem categoria"))</f>
        <v/>
      </c>
      <c r="F3021" s="76" t="n"/>
      <c r="G3021" s="74" t="n"/>
      <c r="H3021" s="74" t="n"/>
      <c r="I3021" s="74" t="n"/>
      <c r="J3021" s="77" t="n"/>
      <c r="K3021" s="77" t="n"/>
      <c r="L3021" s="74" t="n"/>
      <c r="M3021" s="74" t="n"/>
      <c r="O3021" s="78">
        <f>IF($A3021="","",YEAR($A3021)*100+MONTH($A3021))</f>
        <v/>
      </c>
      <c r="P3021" s="79">
        <f>IF(OR($F3021="",$D3021=""),"",IF($D3021="Receita",$F3021,IF($D3021="Transferência",0,-$F3021)))</f>
        <v/>
      </c>
    </row>
    <row r="3022">
      <c r="A3022" s="73" t="n"/>
      <c r="B3022" s="74" t="n"/>
      <c r="C3022" s="74" t="n"/>
      <c r="D3022" s="75">
        <f>IF($C3022="","",IFERROR(INDEX(CAT_TIPO,MATCH($C3022,CAT_NOME,0)),"Sem categoria"))</f>
        <v/>
      </c>
      <c r="E3022" s="75">
        <f>IF($C3022="","",IFERROR(INDEX(CAT_GRUPO,MATCH($C3022,CAT_NOME,0)),"Sem categoria"))</f>
        <v/>
      </c>
      <c r="F3022" s="76" t="n"/>
      <c r="G3022" s="74" t="n"/>
      <c r="H3022" s="74" t="n"/>
      <c r="I3022" s="74" t="n"/>
      <c r="J3022" s="77" t="n"/>
      <c r="K3022" s="77" t="n"/>
      <c r="L3022" s="74" t="n"/>
      <c r="M3022" s="74" t="n"/>
      <c r="O3022" s="78">
        <f>IF($A3022="","",YEAR($A3022)*100+MONTH($A3022))</f>
        <v/>
      </c>
      <c r="P3022" s="79">
        <f>IF(OR($F3022="",$D3022=""),"",IF($D3022="Receita",$F3022,IF($D3022="Transferência",0,-$F3022)))</f>
        <v/>
      </c>
    </row>
    <row r="3023">
      <c r="A3023" s="73" t="n"/>
      <c r="B3023" s="74" t="n"/>
      <c r="C3023" s="74" t="n"/>
      <c r="D3023" s="75">
        <f>IF($C3023="","",IFERROR(INDEX(CAT_TIPO,MATCH($C3023,CAT_NOME,0)),"Sem categoria"))</f>
        <v/>
      </c>
      <c r="E3023" s="75">
        <f>IF($C3023="","",IFERROR(INDEX(CAT_GRUPO,MATCH($C3023,CAT_NOME,0)),"Sem categoria"))</f>
        <v/>
      </c>
      <c r="F3023" s="76" t="n"/>
      <c r="G3023" s="74" t="n"/>
      <c r="H3023" s="74" t="n"/>
      <c r="I3023" s="74" t="n"/>
      <c r="J3023" s="77" t="n"/>
      <c r="K3023" s="77" t="n"/>
      <c r="L3023" s="74" t="n"/>
      <c r="M3023" s="74" t="n"/>
      <c r="O3023" s="78">
        <f>IF($A3023="","",YEAR($A3023)*100+MONTH($A3023))</f>
        <v/>
      </c>
      <c r="P3023" s="79">
        <f>IF(OR($F3023="",$D3023=""),"",IF($D3023="Receita",$F3023,IF($D3023="Transferência",0,-$F3023)))</f>
        <v/>
      </c>
    </row>
    <row r="3024">
      <c r="A3024" s="73" t="n"/>
      <c r="B3024" s="74" t="n"/>
      <c r="C3024" s="74" t="n"/>
      <c r="D3024" s="75">
        <f>IF($C3024="","",IFERROR(INDEX(CAT_TIPO,MATCH($C3024,CAT_NOME,0)),"Sem categoria"))</f>
        <v/>
      </c>
      <c r="E3024" s="75">
        <f>IF($C3024="","",IFERROR(INDEX(CAT_GRUPO,MATCH($C3024,CAT_NOME,0)),"Sem categoria"))</f>
        <v/>
      </c>
      <c r="F3024" s="76" t="n"/>
      <c r="G3024" s="74" t="n"/>
      <c r="H3024" s="74" t="n"/>
      <c r="I3024" s="74" t="n"/>
      <c r="J3024" s="77" t="n"/>
      <c r="K3024" s="77" t="n"/>
      <c r="L3024" s="74" t="n"/>
      <c r="M3024" s="74" t="n"/>
      <c r="O3024" s="78">
        <f>IF($A3024="","",YEAR($A3024)*100+MONTH($A3024))</f>
        <v/>
      </c>
      <c r="P3024" s="79">
        <f>IF(OR($F3024="",$D3024=""),"",IF($D3024="Receita",$F3024,IF($D3024="Transferência",0,-$F3024)))</f>
        <v/>
      </c>
    </row>
    <row r="3025">
      <c r="A3025" s="73" t="n"/>
      <c r="B3025" s="74" t="n"/>
      <c r="C3025" s="74" t="n"/>
      <c r="D3025" s="75">
        <f>IF($C3025="","",IFERROR(INDEX(CAT_TIPO,MATCH($C3025,CAT_NOME,0)),"Sem categoria"))</f>
        <v/>
      </c>
      <c r="E3025" s="75">
        <f>IF($C3025="","",IFERROR(INDEX(CAT_GRUPO,MATCH($C3025,CAT_NOME,0)),"Sem categoria"))</f>
        <v/>
      </c>
      <c r="F3025" s="76" t="n"/>
      <c r="G3025" s="74" t="n"/>
      <c r="H3025" s="74" t="n"/>
      <c r="I3025" s="74" t="n"/>
      <c r="J3025" s="77" t="n"/>
      <c r="K3025" s="77" t="n"/>
      <c r="L3025" s="74" t="n"/>
      <c r="M3025" s="74" t="n"/>
      <c r="O3025" s="78">
        <f>IF($A3025="","",YEAR($A3025)*100+MONTH($A3025))</f>
        <v/>
      </c>
      <c r="P3025" s="79">
        <f>IF(OR($F3025="",$D3025=""),"",IF($D3025="Receita",$F3025,IF($D3025="Transferência",0,-$F3025)))</f>
        <v/>
      </c>
    </row>
    <row r="3026">
      <c r="A3026" s="73" t="n"/>
      <c r="B3026" s="74" t="n"/>
      <c r="C3026" s="74" t="n"/>
      <c r="D3026" s="75">
        <f>IF($C3026="","",IFERROR(INDEX(CAT_TIPO,MATCH($C3026,CAT_NOME,0)),"Sem categoria"))</f>
        <v/>
      </c>
      <c r="E3026" s="75">
        <f>IF($C3026="","",IFERROR(INDEX(CAT_GRUPO,MATCH($C3026,CAT_NOME,0)),"Sem categoria"))</f>
        <v/>
      </c>
      <c r="F3026" s="76" t="n"/>
      <c r="G3026" s="74" t="n"/>
      <c r="H3026" s="74" t="n"/>
      <c r="I3026" s="74" t="n"/>
      <c r="J3026" s="77" t="n"/>
      <c r="K3026" s="77" t="n"/>
      <c r="L3026" s="74" t="n"/>
      <c r="M3026" s="74" t="n"/>
      <c r="O3026" s="78">
        <f>IF($A3026="","",YEAR($A3026)*100+MONTH($A3026))</f>
        <v/>
      </c>
      <c r="P3026" s="79">
        <f>IF(OR($F3026="",$D3026=""),"",IF($D3026="Receita",$F3026,IF($D3026="Transferência",0,-$F3026)))</f>
        <v/>
      </c>
    </row>
    <row r="3027">
      <c r="A3027" s="73" t="n"/>
      <c r="B3027" s="74" t="n"/>
      <c r="C3027" s="74" t="n"/>
      <c r="D3027" s="75">
        <f>IF($C3027="","",IFERROR(INDEX(CAT_TIPO,MATCH($C3027,CAT_NOME,0)),"Sem categoria"))</f>
        <v/>
      </c>
      <c r="E3027" s="75">
        <f>IF($C3027="","",IFERROR(INDEX(CAT_GRUPO,MATCH($C3027,CAT_NOME,0)),"Sem categoria"))</f>
        <v/>
      </c>
      <c r="F3027" s="76" t="n"/>
      <c r="G3027" s="74" t="n"/>
      <c r="H3027" s="74" t="n"/>
      <c r="I3027" s="74" t="n"/>
      <c r="J3027" s="77" t="n"/>
      <c r="K3027" s="77" t="n"/>
      <c r="L3027" s="74" t="n"/>
      <c r="M3027" s="74" t="n"/>
      <c r="O3027" s="78">
        <f>IF($A3027="","",YEAR($A3027)*100+MONTH($A3027))</f>
        <v/>
      </c>
      <c r="P3027" s="79">
        <f>IF(OR($F3027="",$D3027=""),"",IF($D3027="Receita",$F3027,IF($D3027="Transferência",0,-$F3027)))</f>
        <v/>
      </c>
    </row>
    <row r="3028">
      <c r="A3028" s="73" t="n"/>
      <c r="B3028" s="74" t="n"/>
      <c r="C3028" s="74" t="n"/>
      <c r="D3028" s="75">
        <f>IF($C3028="","",IFERROR(INDEX(CAT_TIPO,MATCH($C3028,CAT_NOME,0)),"Sem categoria"))</f>
        <v/>
      </c>
      <c r="E3028" s="75">
        <f>IF($C3028="","",IFERROR(INDEX(CAT_GRUPO,MATCH($C3028,CAT_NOME,0)),"Sem categoria"))</f>
        <v/>
      </c>
      <c r="F3028" s="76" t="n"/>
      <c r="G3028" s="74" t="n"/>
      <c r="H3028" s="74" t="n"/>
      <c r="I3028" s="74" t="n"/>
      <c r="J3028" s="77" t="n"/>
      <c r="K3028" s="77" t="n"/>
      <c r="L3028" s="74" t="n"/>
      <c r="M3028" s="74" t="n"/>
      <c r="O3028" s="78">
        <f>IF($A3028="","",YEAR($A3028)*100+MONTH($A3028))</f>
        <v/>
      </c>
      <c r="P3028" s="79">
        <f>IF(OR($F3028="",$D3028=""),"",IF($D3028="Receita",$F3028,IF($D3028="Transferência",0,-$F3028)))</f>
        <v/>
      </c>
    </row>
    <row r="3029">
      <c r="A3029" s="73" t="n"/>
      <c r="B3029" s="74" t="n"/>
      <c r="C3029" s="74" t="n"/>
      <c r="D3029" s="75">
        <f>IF($C3029="","",IFERROR(INDEX(CAT_TIPO,MATCH($C3029,CAT_NOME,0)),"Sem categoria"))</f>
        <v/>
      </c>
      <c r="E3029" s="75">
        <f>IF($C3029="","",IFERROR(INDEX(CAT_GRUPO,MATCH($C3029,CAT_NOME,0)),"Sem categoria"))</f>
        <v/>
      </c>
      <c r="F3029" s="76" t="n"/>
      <c r="G3029" s="74" t="n"/>
      <c r="H3029" s="74" t="n"/>
      <c r="I3029" s="74" t="n"/>
      <c r="J3029" s="77" t="n"/>
      <c r="K3029" s="77" t="n"/>
      <c r="L3029" s="74" t="n"/>
      <c r="M3029" s="74" t="n"/>
      <c r="O3029" s="78">
        <f>IF($A3029="","",YEAR($A3029)*100+MONTH($A3029))</f>
        <v/>
      </c>
      <c r="P3029" s="79">
        <f>IF(OR($F3029="",$D3029=""),"",IF($D3029="Receita",$F3029,IF($D3029="Transferência",0,-$F3029)))</f>
        <v/>
      </c>
    </row>
    <row r="3030">
      <c r="A3030" s="73" t="n"/>
      <c r="B3030" s="74" t="n"/>
      <c r="C3030" s="74" t="n"/>
      <c r="D3030" s="75">
        <f>IF($C3030="","",IFERROR(INDEX(CAT_TIPO,MATCH($C3030,CAT_NOME,0)),"Sem categoria"))</f>
        <v/>
      </c>
      <c r="E3030" s="75">
        <f>IF($C3030="","",IFERROR(INDEX(CAT_GRUPO,MATCH($C3030,CAT_NOME,0)),"Sem categoria"))</f>
        <v/>
      </c>
      <c r="F3030" s="76" t="n"/>
      <c r="G3030" s="74" t="n"/>
      <c r="H3030" s="74" t="n"/>
      <c r="I3030" s="74" t="n"/>
      <c r="J3030" s="77" t="n"/>
      <c r="K3030" s="77" t="n"/>
      <c r="L3030" s="74" t="n"/>
      <c r="M3030" s="74" t="n"/>
      <c r="O3030" s="78">
        <f>IF($A3030="","",YEAR($A3030)*100+MONTH($A3030))</f>
        <v/>
      </c>
      <c r="P3030" s="79">
        <f>IF(OR($F3030="",$D3030=""),"",IF($D3030="Receita",$F3030,IF($D3030="Transferência",0,-$F3030)))</f>
        <v/>
      </c>
    </row>
    <row r="3031">
      <c r="A3031" s="73" t="n"/>
      <c r="B3031" s="74" t="n"/>
      <c r="C3031" s="74" t="n"/>
      <c r="D3031" s="75">
        <f>IF($C3031="","",IFERROR(INDEX(CAT_TIPO,MATCH($C3031,CAT_NOME,0)),"Sem categoria"))</f>
        <v/>
      </c>
      <c r="E3031" s="75">
        <f>IF($C3031="","",IFERROR(INDEX(CAT_GRUPO,MATCH($C3031,CAT_NOME,0)),"Sem categoria"))</f>
        <v/>
      </c>
      <c r="F3031" s="76" t="n"/>
      <c r="G3031" s="74" t="n"/>
      <c r="H3031" s="74" t="n"/>
      <c r="I3031" s="74" t="n"/>
      <c r="J3031" s="77" t="n"/>
      <c r="K3031" s="77" t="n"/>
      <c r="L3031" s="74" t="n"/>
      <c r="M3031" s="74" t="n"/>
      <c r="O3031" s="78">
        <f>IF($A3031="","",YEAR($A3031)*100+MONTH($A3031))</f>
        <v/>
      </c>
      <c r="P3031" s="79">
        <f>IF(OR($F3031="",$D3031=""),"",IF($D3031="Receita",$F3031,IF($D3031="Transferência",0,-$F3031)))</f>
        <v/>
      </c>
    </row>
    <row r="3032">
      <c r="A3032" s="73" t="n"/>
      <c r="B3032" s="74" t="n"/>
      <c r="C3032" s="74" t="n"/>
      <c r="D3032" s="75">
        <f>IF($C3032="","",IFERROR(INDEX(CAT_TIPO,MATCH($C3032,CAT_NOME,0)),"Sem categoria"))</f>
        <v/>
      </c>
      <c r="E3032" s="75">
        <f>IF($C3032="","",IFERROR(INDEX(CAT_GRUPO,MATCH($C3032,CAT_NOME,0)),"Sem categoria"))</f>
        <v/>
      </c>
      <c r="F3032" s="76" t="n"/>
      <c r="G3032" s="74" t="n"/>
      <c r="H3032" s="74" t="n"/>
      <c r="I3032" s="74" t="n"/>
      <c r="J3032" s="77" t="n"/>
      <c r="K3032" s="77" t="n"/>
      <c r="L3032" s="74" t="n"/>
      <c r="M3032" s="74" t="n"/>
      <c r="O3032" s="78">
        <f>IF($A3032="","",YEAR($A3032)*100+MONTH($A3032))</f>
        <v/>
      </c>
      <c r="P3032" s="79">
        <f>IF(OR($F3032="",$D3032=""),"",IF($D3032="Receita",$F3032,IF($D3032="Transferência",0,-$F3032)))</f>
        <v/>
      </c>
    </row>
    <row r="3033">
      <c r="A3033" s="73" t="n"/>
      <c r="B3033" s="74" t="n"/>
      <c r="C3033" s="74" t="n"/>
      <c r="D3033" s="75">
        <f>IF($C3033="","",IFERROR(INDEX(CAT_TIPO,MATCH($C3033,CAT_NOME,0)),"Sem categoria"))</f>
        <v/>
      </c>
      <c r="E3033" s="75">
        <f>IF($C3033="","",IFERROR(INDEX(CAT_GRUPO,MATCH($C3033,CAT_NOME,0)),"Sem categoria"))</f>
        <v/>
      </c>
      <c r="F3033" s="76" t="n"/>
      <c r="G3033" s="74" t="n"/>
      <c r="H3033" s="74" t="n"/>
      <c r="I3033" s="74" t="n"/>
      <c r="J3033" s="77" t="n"/>
      <c r="K3033" s="77" t="n"/>
      <c r="L3033" s="74" t="n"/>
      <c r="M3033" s="74" t="n"/>
      <c r="O3033" s="78">
        <f>IF($A3033="","",YEAR($A3033)*100+MONTH($A3033))</f>
        <v/>
      </c>
      <c r="P3033" s="79">
        <f>IF(OR($F3033="",$D3033=""),"",IF($D3033="Receita",$F3033,IF($D3033="Transferência",0,-$F3033)))</f>
        <v/>
      </c>
    </row>
    <row r="3034">
      <c r="A3034" s="73" t="n"/>
      <c r="B3034" s="74" t="n"/>
      <c r="C3034" s="74" t="n"/>
      <c r="D3034" s="75">
        <f>IF($C3034="","",IFERROR(INDEX(CAT_TIPO,MATCH($C3034,CAT_NOME,0)),"Sem categoria"))</f>
        <v/>
      </c>
      <c r="E3034" s="75">
        <f>IF($C3034="","",IFERROR(INDEX(CAT_GRUPO,MATCH($C3034,CAT_NOME,0)),"Sem categoria"))</f>
        <v/>
      </c>
      <c r="F3034" s="76" t="n"/>
      <c r="G3034" s="74" t="n"/>
      <c r="H3034" s="74" t="n"/>
      <c r="I3034" s="74" t="n"/>
      <c r="J3034" s="77" t="n"/>
      <c r="K3034" s="77" t="n"/>
      <c r="L3034" s="74" t="n"/>
      <c r="M3034" s="74" t="n"/>
      <c r="O3034" s="78">
        <f>IF($A3034="","",YEAR($A3034)*100+MONTH($A3034))</f>
        <v/>
      </c>
      <c r="P3034" s="79">
        <f>IF(OR($F3034="",$D3034=""),"",IF($D3034="Receita",$F3034,IF($D3034="Transferência",0,-$F3034)))</f>
        <v/>
      </c>
    </row>
    <row r="3035">
      <c r="A3035" s="73" t="n"/>
      <c r="B3035" s="74" t="n"/>
      <c r="C3035" s="74" t="n"/>
      <c r="D3035" s="75">
        <f>IF($C3035="","",IFERROR(INDEX(CAT_TIPO,MATCH($C3035,CAT_NOME,0)),"Sem categoria"))</f>
        <v/>
      </c>
      <c r="E3035" s="75">
        <f>IF($C3035="","",IFERROR(INDEX(CAT_GRUPO,MATCH($C3035,CAT_NOME,0)),"Sem categoria"))</f>
        <v/>
      </c>
      <c r="F3035" s="76" t="n"/>
      <c r="G3035" s="74" t="n"/>
      <c r="H3035" s="74" t="n"/>
      <c r="I3035" s="74" t="n"/>
      <c r="J3035" s="77" t="n"/>
      <c r="K3035" s="77" t="n"/>
      <c r="L3035" s="74" t="n"/>
      <c r="M3035" s="74" t="n"/>
      <c r="O3035" s="78">
        <f>IF($A3035="","",YEAR($A3035)*100+MONTH($A3035))</f>
        <v/>
      </c>
      <c r="P3035" s="79">
        <f>IF(OR($F3035="",$D3035=""),"",IF($D3035="Receita",$F3035,IF($D3035="Transferência",0,-$F3035)))</f>
        <v/>
      </c>
    </row>
    <row r="3036">
      <c r="A3036" s="73" t="n"/>
      <c r="B3036" s="74" t="n"/>
      <c r="C3036" s="74" t="n"/>
      <c r="D3036" s="75">
        <f>IF($C3036="","",IFERROR(INDEX(CAT_TIPO,MATCH($C3036,CAT_NOME,0)),"Sem categoria"))</f>
        <v/>
      </c>
      <c r="E3036" s="75">
        <f>IF($C3036="","",IFERROR(INDEX(CAT_GRUPO,MATCH($C3036,CAT_NOME,0)),"Sem categoria"))</f>
        <v/>
      </c>
      <c r="F3036" s="76" t="n"/>
      <c r="G3036" s="74" t="n"/>
      <c r="H3036" s="74" t="n"/>
      <c r="I3036" s="74" t="n"/>
      <c r="J3036" s="77" t="n"/>
      <c r="K3036" s="77" t="n"/>
      <c r="L3036" s="74" t="n"/>
      <c r="M3036" s="74" t="n"/>
      <c r="O3036" s="78">
        <f>IF($A3036="","",YEAR($A3036)*100+MONTH($A3036))</f>
        <v/>
      </c>
      <c r="P3036" s="79">
        <f>IF(OR($F3036="",$D3036=""),"",IF($D3036="Receita",$F3036,IF($D3036="Transferência",0,-$F3036)))</f>
        <v/>
      </c>
    </row>
    <row r="3037">
      <c r="A3037" s="73" t="n"/>
      <c r="B3037" s="74" t="n"/>
      <c r="C3037" s="74" t="n"/>
      <c r="D3037" s="75">
        <f>IF($C3037="","",IFERROR(INDEX(CAT_TIPO,MATCH($C3037,CAT_NOME,0)),"Sem categoria"))</f>
        <v/>
      </c>
      <c r="E3037" s="75">
        <f>IF($C3037="","",IFERROR(INDEX(CAT_GRUPO,MATCH($C3037,CAT_NOME,0)),"Sem categoria"))</f>
        <v/>
      </c>
      <c r="F3037" s="76" t="n"/>
      <c r="G3037" s="74" t="n"/>
      <c r="H3037" s="74" t="n"/>
      <c r="I3037" s="74" t="n"/>
      <c r="J3037" s="77" t="n"/>
      <c r="K3037" s="77" t="n"/>
      <c r="L3037" s="74" t="n"/>
      <c r="M3037" s="74" t="n"/>
      <c r="O3037" s="78">
        <f>IF($A3037="","",YEAR($A3037)*100+MONTH($A3037))</f>
        <v/>
      </c>
      <c r="P3037" s="79">
        <f>IF(OR($F3037="",$D3037=""),"",IF($D3037="Receita",$F3037,IF($D3037="Transferência",0,-$F3037)))</f>
        <v/>
      </c>
    </row>
    <row r="3038">
      <c r="A3038" s="73" t="n"/>
      <c r="B3038" s="74" t="n"/>
      <c r="C3038" s="74" t="n"/>
      <c r="D3038" s="75">
        <f>IF($C3038="","",IFERROR(INDEX(CAT_TIPO,MATCH($C3038,CAT_NOME,0)),"Sem categoria"))</f>
        <v/>
      </c>
      <c r="E3038" s="75">
        <f>IF($C3038="","",IFERROR(INDEX(CAT_GRUPO,MATCH($C3038,CAT_NOME,0)),"Sem categoria"))</f>
        <v/>
      </c>
      <c r="F3038" s="76" t="n"/>
      <c r="G3038" s="74" t="n"/>
      <c r="H3038" s="74" t="n"/>
      <c r="I3038" s="74" t="n"/>
      <c r="J3038" s="77" t="n"/>
      <c r="K3038" s="77" t="n"/>
      <c r="L3038" s="74" t="n"/>
      <c r="M3038" s="74" t="n"/>
      <c r="O3038" s="78">
        <f>IF($A3038="","",YEAR($A3038)*100+MONTH($A3038))</f>
        <v/>
      </c>
      <c r="P3038" s="79">
        <f>IF(OR($F3038="",$D3038=""),"",IF($D3038="Receita",$F3038,IF($D3038="Transferência",0,-$F3038)))</f>
        <v/>
      </c>
    </row>
    <row r="3039">
      <c r="A3039" s="73" t="n"/>
      <c r="B3039" s="74" t="n"/>
      <c r="C3039" s="74" t="n"/>
      <c r="D3039" s="75">
        <f>IF($C3039="","",IFERROR(INDEX(CAT_TIPO,MATCH($C3039,CAT_NOME,0)),"Sem categoria"))</f>
        <v/>
      </c>
      <c r="E3039" s="75">
        <f>IF($C3039="","",IFERROR(INDEX(CAT_GRUPO,MATCH($C3039,CAT_NOME,0)),"Sem categoria"))</f>
        <v/>
      </c>
      <c r="F3039" s="76" t="n"/>
      <c r="G3039" s="74" t="n"/>
      <c r="H3039" s="74" t="n"/>
      <c r="I3039" s="74" t="n"/>
      <c r="J3039" s="77" t="n"/>
      <c r="K3039" s="77" t="n"/>
      <c r="L3039" s="74" t="n"/>
      <c r="M3039" s="74" t="n"/>
      <c r="O3039" s="78">
        <f>IF($A3039="","",YEAR($A3039)*100+MONTH($A3039))</f>
        <v/>
      </c>
      <c r="P3039" s="79">
        <f>IF(OR($F3039="",$D3039=""),"",IF($D3039="Receita",$F3039,IF($D3039="Transferência",0,-$F3039)))</f>
        <v/>
      </c>
    </row>
    <row r="3040">
      <c r="A3040" s="73" t="n"/>
      <c r="B3040" s="74" t="n"/>
      <c r="C3040" s="74" t="n"/>
      <c r="D3040" s="75">
        <f>IF($C3040="","",IFERROR(INDEX(CAT_TIPO,MATCH($C3040,CAT_NOME,0)),"Sem categoria"))</f>
        <v/>
      </c>
      <c r="E3040" s="75">
        <f>IF($C3040="","",IFERROR(INDEX(CAT_GRUPO,MATCH($C3040,CAT_NOME,0)),"Sem categoria"))</f>
        <v/>
      </c>
      <c r="F3040" s="76" t="n"/>
      <c r="G3040" s="74" t="n"/>
      <c r="H3040" s="74" t="n"/>
      <c r="I3040" s="74" t="n"/>
      <c r="J3040" s="77" t="n"/>
      <c r="K3040" s="77" t="n"/>
      <c r="L3040" s="74" t="n"/>
      <c r="M3040" s="74" t="n"/>
      <c r="O3040" s="78">
        <f>IF($A3040="","",YEAR($A3040)*100+MONTH($A3040))</f>
        <v/>
      </c>
      <c r="P3040" s="79">
        <f>IF(OR($F3040="",$D3040=""),"",IF($D3040="Receita",$F3040,IF($D3040="Transferência",0,-$F3040)))</f>
        <v/>
      </c>
    </row>
    <row r="3041">
      <c r="A3041" s="73" t="n"/>
      <c r="B3041" s="74" t="n"/>
      <c r="C3041" s="74" t="n"/>
      <c r="D3041" s="75">
        <f>IF($C3041="","",IFERROR(INDEX(CAT_TIPO,MATCH($C3041,CAT_NOME,0)),"Sem categoria"))</f>
        <v/>
      </c>
      <c r="E3041" s="75">
        <f>IF($C3041="","",IFERROR(INDEX(CAT_GRUPO,MATCH($C3041,CAT_NOME,0)),"Sem categoria"))</f>
        <v/>
      </c>
      <c r="F3041" s="76" t="n"/>
      <c r="G3041" s="74" t="n"/>
      <c r="H3041" s="74" t="n"/>
      <c r="I3041" s="74" t="n"/>
      <c r="J3041" s="77" t="n"/>
      <c r="K3041" s="77" t="n"/>
      <c r="L3041" s="74" t="n"/>
      <c r="M3041" s="74" t="n"/>
      <c r="O3041" s="78">
        <f>IF($A3041="","",YEAR($A3041)*100+MONTH($A3041))</f>
        <v/>
      </c>
      <c r="P3041" s="79">
        <f>IF(OR($F3041="",$D3041=""),"",IF($D3041="Receita",$F3041,IF($D3041="Transferência",0,-$F3041)))</f>
        <v/>
      </c>
    </row>
    <row r="3042">
      <c r="A3042" s="73" t="n"/>
      <c r="B3042" s="74" t="n"/>
      <c r="C3042" s="74" t="n"/>
      <c r="D3042" s="75">
        <f>IF($C3042="","",IFERROR(INDEX(CAT_TIPO,MATCH($C3042,CAT_NOME,0)),"Sem categoria"))</f>
        <v/>
      </c>
      <c r="E3042" s="75">
        <f>IF($C3042="","",IFERROR(INDEX(CAT_GRUPO,MATCH($C3042,CAT_NOME,0)),"Sem categoria"))</f>
        <v/>
      </c>
      <c r="F3042" s="76" t="n"/>
      <c r="G3042" s="74" t="n"/>
      <c r="H3042" s="74" t="n"/>
      <c r="I3042" s="74" t="n"/>
      <c r="J3042" s="77" t="n"/>
      <c r="K3042" s="77" t="n"/>
      <c r="L3042" s="74" t="n"/>
      <c r="M3042" s="74" t="n"/>
      <c r="O3042" s="78">
        <f>IF($A3042="","",YEAR($A3042)*100+MONTH($A3042))</f>
        <v/>
      </c>
      <c r="P3042" s="79">
        <f>IF(OR($F3042="",$D3042=""),"",IF($D3042="Receita",$F3042,IF($D3042="Transferência",0,-$F3042)))</f>
        <v/>
      </c>
    </row>
    <row r="3043">
      <c r="A3043" s="73" t="n"/>
      <c r="B3043" s="74" t="n"/>
      <c r="C3043" s="74" t="n"/>
      <c r="D3043" s="75">
        <f>IF($C3043="","",IFERROR(INDEX(CAT_TIPO,MATCH($C3043,CAT_NOME,0)),"Sem categoria"))</f>
        <v/>
      </c>
      <c r="E3043" s="75">
        <f>IF($C3043="","",IFERROR(INDEX(CAT_GRUPO,MATCH($C3043,CAT_NOME,0)),"Sem categoria"))</f>
        <v/>
      </c>
      <c r="F3043" s="76" t="n"/>
      <c r="G3043" s="74" t="n"/>
      <c r="H3043" s="74" t="n"/>
      <c r="I3043" s="74" t="n"/>
      <c r="J3043" s="77" t="n"/>
      <c r="K3043" s="77" t="n"/>
      <c r="L3043" s="74" t="n"/>
      <c r="M3043" s="74" t="n"/>
      <c r="O3043" s="78">
        <f>IF($A3043="","",YEAR($A3043)*100+MONTH($A3043))</f>
        <v/>
      </c>
      <c r="P3043" s="79">
        <f>IF(OR($F3043="",$D3043=""),"",IF($D3043="Receita",$F3043,IF($D3043="Transferência",0,-$F3043)))</f>
        <v/>
      </c>
    </row>
    <row r="3044">
      <c r="A3044" s="73" t="n"/>
      <c r="B3044" s="74" t="n"/>
      <c r="C3044" s="74" t="n"/>
      <c r="D3044" s="75">
        <f>IF($C3044="","",IFERROR(INDEX(CAT_TIPO,MATCH($C3044,CAT_NOME,0)),"Sem categoria"))</f>
        <v/>
      </c>
      <c r="E3044" s="75">
        <f>IF($C3044="","",IFERROR(INDEX(CAT_GRUPO,MATCH($C3044,CAT_NOME,0)),"Sem categoria"))</f>
        <v/>
      </c>
      <c r="F3044" s="76" t="n"/>
      <c r="G3044" s="74" t="n"/>
      <c r="H3044" s="74" t="n"/>
      <c r="I3044" s="74" t="n"/>
      <c r="J3044" s="77" t="n"/>
      <c r="K3044" s="77" t="n"/>
      <c r="L3044" s="74" t="n"/>
      <c r="M3044" s="74" t="n"/>
      <c r="O3044" s="78">
        <f>IF($A3044="","",YEAR($A3044)*100+MONTH($A3044))</f>
        <v/>
      </c>
      <c r="P3044" s="79">
        <f>IF(OR($F3044="",$D3044=""),"",IF($D3044="Receita",$F3044,IF($D3044="Transferência",0,-$F3044)))</f>
        <v/>
      </c>
    </row>
    <row r="3045">
      <c r="A3045" s="73" t="n"/>
      <c r="B3045" s="74" t="n"/>
      <c r="C3045" s="74" t="n"/>
      <c r="D3045" s="75">
        <f>IF($C3045="","",IFERROR(INDEX(CAT_TIPO,MATCH($C3045,CAT_NOME,0)),"Sem categoria"))</f>
        <v/>
      </c>
      <c r="E3045" s="75">
        <f>IF($C3045="","",IFERROR(INDEX(CAT_GRUPO,MATCH($C3045,CAT_NOME,0)),"Sem categoria"))</f>
        <v/>
      </c>
      <c r="F3045" s="76" t="n"/>
      <c r="G3045" s="74" t="n"/>
      <c r="H3045" s="74" t="n"/>
      <c r="I3045" s="74" t="n"/>
      <c r="J3045" s="77" t="n"/>
      <c r="K3045" s="77" t="n"/>
      <c r="L3045" s="74" t="n"/>
      <c r="M3045" s="74" t="n"/>
      <c r="O3045" s="78">
        <f>IF($A3045="","",YEAR($A3045)*100+MONTH($A3045))</f>
        <v/>
      </c>
      <c r="P3045" s="79">
        <f>IF(OR($F3045="",$D3045=""),"",IF($D3045="Receita",$F3045,IF($D3045="Transferência",0,-$F3045)))</f>
        <v/>
      </c>
    </row>
    <row r="3046">
      <c r="A3046" s="73" t="n"/>
      <c r="B3046" s="74" t="n"/>
      <c r="C3046" s="74" t="n"/>
      <c r="D3046" s="75">
        <f>IF($C3046="","",IFERROR(INDEX(CAT_TIPO,MATCH($C3046,CAT_NOME,0)),"Sem categoria"))</f>
        <v/>
      </c>
      <c r="E3046" s="75">
        <f>IF($C3046="","",IFERROR(INDEX(CAT_GRUPO,MATCH($C3046,CAT_NOME,0)),"Sem categoria"))</f>
        <v/>
      </c>
      <c r="F3046" s="76" t="n"/>
      <c r="G3046" s="74" t="n"/>
      <c r="H3046" s="74" t="n"/>
      <c r="I3046" s="74" t="n"/>
      <c r="J3046" s="77" t="n"/>
      <c r="K3046" s="77" t="n"/>
      <c r="L3046" s="74" t="n"/>
      <c r="M3046" s="74" t="n"/>
      <c r="O3046" s="78">
        <f>IF($A3046="","",YEAR($A3046)*100+MONTH($A3046))</f>
        <v/>
      </c>
      <c r="P3046" s="79">
        <f>IF(OR($F3046="",$D3046=""),"",IF($D3046="Receita",$F3046,IF($D3046="Transferência",0,-$F3046)))</f>
        <v/>
      </c>
    </row>
    <row r="3047">
      <c r="A3047" s="73" t="n"/>
      <c r="B3047" s="74" t="n"/>
      <c r="C3047" s="74" t="n"/>
      <c r="D3047" s="75">
        <f>IF($C3047="","",IFERROR(INDEX(CAT_TIPO,MATCH($C3047,CAT_NOME,0)),"Sem categoria"))</f>
        <v/>
      </c>
      <c r="E3047" s="75">
        <f>IF($C3047="","",IFERROR(INDEX(CAT_GRUPO,MATCH($C3047,CAT_NOME,0)),"Sem categoria"))</f>
        <v/>
      </c>
      <c r="F3047" s="76" t="n"/>
      <c r="G3047" s="74" t="n"/>
      <c r="H3047" s="74" t="n"/>
      <c r="I3047" s="74" t="n"/>
      <c r="J3047" s="77" t="n"/>
      <c r="K3047" s="77" t="n"/>
      <c r="L3047" s="74" t="n"/>
      <c r="M3047" s="74" t="n"/>
      <c r="O3047" s="78">
        <f>IF($A3047="","",YEAR($A3047)*100+MONTH($A3047))</f>
        <v/>
      </c>
      <c r="P3047" s="79">
        <f>IF(OR($F3047="",$D3047=""),"",IF($D3047="Receita",$F3047,IF($D3047="Transferência",0,-$F3047)))</f>
        <v/>
      </c>
    </row>
    <row r="3048">
      <c r="A3048" s="73" t="n"/>
      <c r="B3048" s="74" t="n"/>
      <c r="C3048" s="74" t="n"/>
      <c r="D3048" s="75">
        <f>IF($C3048="","",IFERROR(INDEX(CAT_TIPO,MATCH($C3048,CAT_NOME,0)),"Sem categoria"))</f>
        <v/>
      </c>
      <c r="E3048" s="75">
        <f>IF($C3048="","",IFERROR(INDEX(CAT_GRUPO,MATCH($C3048,CAT_NOME,0)),"Sem categoria"))</f>
        <v/>
      </c>
      <c r="F3048" s="76" t="n"/>
      <c r="G3048" s="74" t="n"/>
      <c r="H3048" s="74" t="n"/>
      <c r="I3048" s="74" t="n"/>
      <c r="J3048" s="77" t="n"/>
      <c r="K3048" s="77" t="n"/>
      <c r="L3048" s="74" t="n"/>
      <c r="M3048" s="74" t="n"/>
      <c r="O3048" s="78">
        <f>IF($A3048="","",YEAR($A3048)*100+MONTH($A3048))</f>
        <v/>
      </c>
      <c r="P3048" s="79">
        <f>IF(OR($F3048="",$D3048=""),"",IF($D3048="Receita",$F3048,IF($D3048="Transferência",0,-$F3048)))</f>
        <v/>
      </c>
    </row>
    <row r="3049">
      <c r="A3049" s="73" t="n"/>
      <c r="B3049" s="74" t="n"/>
      <c r="C3049" s="74" t="n"/>
      <c r="D3049" s="75">
        <f>IF($C3049="","",IFERROR(INDEX(CAT_TIPO,MATCH($C3049,CAT_NOME,0)),"Sem categoria"))</f>
        <v/>
      </c>
      <c r="E3049" s="75">
        <f>IF($C3049="","",IFERROR(INDEX(CAT_GRUPO,MATCH($C3049,CAT_NOME,0)),"Sem categoria"))</f>
        <v/>
      </c>
      <c r="F3049" s="76" t="n"/>
      <c r="G3049" s="74" t="n"/>
      <c r="H3049" s="74" t="n"/>
      <c r="I3049" s="74" t="n"/>
      <c r="J3049" s="77" t="n"/>
      <c r="K3049" s="77" t="n"/>
      <c r="L3049" s="74" t="n"/>
      <c r="M3049" s="74" t="n"/>
      <c r="O3049" s="78">
        <f>IF($A3049="","",YEAR($A3049)*100+MONTH($A3049))</f>
        <v/>
      </c>
      <c r="P3049" s="79">
        <f>IF(OR($F3049="",$D3049=""),"",IF($D3049="Receita",$F3049,IF($D3049="Transferência",0,-$F3049)))</f>
        <v/>
      </c>
    </row>
    <row r="3050">
      <c r="A3050" s="73" t="n"/>
      <c r="B3050" s="74" t="n"/>
      <c r="C3050" s="74" t="n"/>
      <c r="D3050" s="75">
        <f>IF($C3050="","",IFERROR(INDEX(CAT_TIPO,MATCH($C3050,CAT_NOME,0)),"Sem categoria"))</f>
        <v/>
      </c>
      <c r="E3050" s="75">
        <f>IF($C3050="","",IFERROR(INDEX(CAT_GRUPO,MATCH($C3050,CAT_NOME,0)),"Sem categoria"))</f>
        <v/>
      </c>
      <c r="F3050" s="76" t="n"/>
      <c r="G3050" s="74" t="n"/>
      <c r="H3050" s="74" t="n"/>
      <c r="I3050" s="74" t="n"/>
      <c r="J3050" s="77" t="n"/>
      <c r="K3050" s="77" t="n"/>
      <c r="L3050" s="74" t="n"/>
      <c r="M3050" s="74" t="n"/>
      <c r="O3050" s="78">
        <f>IF($A3050="","",YEAR($A3050)*100+MONTH($A3050))</f>
        <v/>
      </c>
      <c r="P3050" s="79">
        <f>IF(OR($F3050="",$D3050=""),"",IF($D3050="Receita",$F3050,IF($D3050="Transferência",0,-$F3050)))</f>
        <v/>
      </c>
    </row>
    <row r="3051">
      <c r="A3051" s="73" t="n"/>
      <c r="B3051" s="74" t="n"/>
      <c r="C3051" s="74" t="n"/>
      <c r="D3051" s="75">
        <f>IF($C3051="","",IFERROR(INDEX(CAT_TIPO,MATCH($C3051,CAT_NOME,0)),"Sem categoria"))</f>
        <v/>
      </c>
      <c r="E3051" s="75">
        <f>IF($C3051="","",IFERROR(INDEX(CAT_GRUPO,MATCH($C3051,CAT_NOME,0)),"Sem categoria"))</f>
        <v/>
      </c>
      <c r="F3051" s="76" t="n"/>
      <c r="G3051" s="74" t="n"/>
      <c r="H3051" s="74" t="n"/>
      <c r="I3051" s="74" t="n"/>
      <c r="J3051" s="77" t="n"/>
      <c r="K3051" s="77" t="n"/>
      <c r="L3051" s="74" t="n"/>
      <c r="M3051" s="74" t="n"/>
      <c r="O3051" s="78">
        <f>IF($A3051="","",YEAR($A3051)*100+MONTH($A3051))</f>
        <v/>
      </c>
      <c r="P3051" s="79">
        <f>IF(OR($F3051="",$D3051=""),"",IF($D3051="Receita",$F3051,IF($D3051="Transferência",0,-$F3051)))</f>
        <v/>
      </c>
    </row>
    <row r="3052">
      <c r="A3052" s="73" t="n"/>
      <c r="B3052" s="74" t="n"/>
      <c r="C3052" s="74" t="n"/>
      <c r="D3052" s="75">
        <f>IF($C3052="","",IFERROR(INDEX(CAT_TIPO,MATCH($C3052,CAT_NOME,0)),"Sem categoria"))</f>
        <v/>
      </c>
      <c r="E3052" s="75">
        <f>IF($C3052="","",IFERROR(INDEX(CAT_GRUPO,MATCH($C3052,CAT_NOME,0)),"Sem categoria"))</f>
        <v/>
      </c>
      <c r="F3052" s="76" t="n"/>
      <c r="G3052" s="74" t="n"/>
      <c r="H3052" s="74" t="n"/>
      <c r="I3052" s="74" t="n"/>
      <c r="J3052" s="77" t="n"/>
      <c r="K3052" s="77" t="n"/>
      <c r="L3052" s="74" t="n"/>
      <c r="M3052" s="74" t="n"/>
      <c r="O3052" s="78">
        <f>IF($A3052="","",YEAR($A3052)*100+MONTH($A3052))</f>
        <v/>
      </c>
      <c r="P3052" s="79">
        <f>IF(OR($F3052="",$D3052=""),"",IF($D3052="Receita",$F3052,IF($D3052="Transferência",0,-$F3052)))</f>
        <v/>
      </c>
    </row>
    <row r="3053">
      <c r="A3053" s="73" t="n"/>
      <c r="B3053" s="74" t="n"/>
      <c r="C3053" s="74" t="n"/>
      <c r="D3053" s="75">
        <f>IF($C3053="","",IFERROR(INDEX(CAT_TIPO,MATCH($C3053,CAT_NOME,0)),"Sem categoria"))</f>
        <v/>
      </c>
      <c r="E3053" s="75">
        <f>IF($C3053="","",IFERROR(INDEX(CAT_GRUPO,MATCH($C3053,CAT_NOME,0)),"Sem categoria"))</f>
        <v/>
      </c>
      <c r="F3053" s="76" t="n"/>
      <c r="G3053" s="74" t="n"/>
      <c r="H3053" s="74" t="n"/>
      <c r="I3053" s="74" t="n"/>
      <c r="J3053" s="77" t="n"/>
      <c r="K3053" s="77" t="n"/>
      <c r="L3053" s="74" t="n"/>
      <c r="M3053" s="74" t="n"/>
      <c r="O3053" s="78">
        <f>IF($A3053="","",YEAR($A3053)*100+MONTH($A3053))</f>
        <v/>
      </c>
      <c r="P3053" s="79">
        <f>IF(OR($F3053="",$D3053=""),"",IF($D3053="Receita",$F3053,IF($D3053="Transferência",0,-$F3053)))</f>
        <v/>
      </c>
    </row>
    <row r="3054">
      <c r="A3054" s="73" t="n"/>
      <c r="B3054" s="74" t="n"/>
      <c r="C3054" s="74" t="n"/>
      <c r="D3054" s="75">
        <f>IF($C3054="","",IFERROR(INDEX(CAT_TIPO,MATCH($C3054,CAT_NOME,0)),"Sem categoria"))</f>
        <v/>
      </c>
      <c r="E3054" s="75">
        <f>IF($C3054="","",IFERROR(INDEX(CAT_GRUPO,MATCH($C3054,CAT_NOME,0)),"Sem categoria"))</f>
        <v/>
      </c>
      <c r="F3054" s="76" t="n"/>
      <c r="G3054" s="74" t="n"/>
      <c r="H3054" s="74" t="n"/>
      <c r="I3054" s="74" t="n"/>
      <c r="J3054" s="77" t="n"/>
      <c r="K3054" s="77" t="n"/>
      <c r="L3054" s="74" t="n"/>
      <c r="M3054" s="74" t="n"/>
      <c r="O3054" s="78">
        <f>IF($A3054="","",YEAR($A3054)*100+MONTH($A3054))</f>
        <v/>
      </c>
      <c r="P3054" s="79">
        <f>IF(OR($F3054="",$D3054=""),"",IF($D3054="Receita",$F3054,IF($D3054="Transferência",0,-$F3054)))</f>
        <v/>
      </c>
    </row>
    <row r="3055">
      <c r="A3055" s="73" t="n"/>
      <c r="B3055" s="74" t="n"/>
      <c r="C3055" s="74" t="n"/>
      <c r="D3055" s="75">
        <f>IF($C3055="","",IFERROR(INDEX(CAT_TIPO,MATCH($C3055,CAT_NOME,0)),"Sem categoria"))</f>
        <v/>
      </c>
      <c r="E3055" s="75">
        <f>IF($C3055="","",IFERROR(INDEX(CAT_GRUPO,MATCH($C3055,CAT_NOME,0)),"Sem categoria"))</f>
        <v/>
      </c>
      <c r="F3055" s="76" t="n"/>
      <c r="G3055" s="74" t="n"/>
      <c r="H3055" s="74" t="n"/>
      <c r="I3055" s="74" t="n"/>
      <c r="J3055" s="77" t="n"/>
      <c r="K3055" s="77" t="n"/>
      <c r="L3055" s="74" t="n"/>
      <c r="M3055" s="74" t="n"/>
      <c r="O3055" s="78">
        <f>IF($A3055="","",YEAR($A3055)*100+MONTH($A3055))</f>
        <v/>
      </c>
      <c r="P3055" s="79">
        <f>IF(OR($F3055="",$D3055=""),"",IF($D3055="Receita",$F3055,IF($D3055="Transferência",0,-$F3055)))</f>
        <v/>
      </c>
    </row>
    <row r="3056">
      <c r="A3056" s="73" t="n"/>
      <c r="B3056" s="74" t="n"/>
      <c r="C3056" s="74" t="n"/>
      <c r="D3056" s="75">
        <f>IF($C3056="","",IFERROR(INDEX(CAT_TIPO,MATCH($C3056,CAT_NOME,0)),"Sem categoria"))</f>
        <v/>
      </c>
      <c r="E3056" s="75">
        <f>IF($C3056="","",IFERROR(INDEX(CAT_GRUPO,MATCH($C3056,CAT_NOME,0)),"Sem categoria"))</f>
        <v/>
      </c>
      <c r="F3056" s="76" t="n"/>
      <c r="G3056" s="74" t="n"/>
      <c r="H3056" s="74" t="n"/>
      <c r="I3056" s="74" t="n"/>
      <c r="J3056" s="77" t="n"/>
      <c r="K3056" s="77" t="n"/>
      <c r="L3056" s="74" t="n"/>
      <c r="M3056" s="74" t="n"/>
      <c r="O3056" s="78">
        <f>IF($A3056="","",YEAR($A3056)*100+MONTH($A3056))</f>
        <v/>
      </c>
      <c r="P3056" s="79">
        <f>IF(OR($F3056="",$D3056=""),"",IF($D3056="Receita",$F3056,IF($D3056="Transferência",0,-$F3056)))</f>
        <v/>
      </c>
    </row>
    <row r="3057">
      <c r="A3057" s="73" t="n"/>
      <c r="B3057" s="74" t="n"/>
      <c r="C3057" s="74" t="n"/>
      <c r="D3057" s="75">
        <f>IF($C3057="","",IFERROR(INDEX(CAT_TIPO,MATCH($C3057,CAT_NOME,0)),"Sem categoria"))</f>
        <v/>
      </c>
      <c r="E3057" s="75">
        <f>IF($C3057="","",IFERROR(INDEX(CAT_GRUPO,MATCH($C3057,CAT_NOME,0)),"Sem categoria"))</f>
        <v/>
      </c>
      <c r="F3057" s="76" t="n"/>
      <c r="G3057" s="74" t="n"/>
      <c r="H3057" s="74" t="n"/>
      <c r="I3057" s="74" t="n"/>
      <c r="J3057" s="77" t="n"/>
      <c r="K3057" s="77" t="n"/>
      <c r="L3057" s="74" t="n"/>
      <c r="M3057" s="74" t="n"/>
      <c r="O3057" s="78">
        <f>IF($A3057="","",YEAR($A3057)*100+MONTH($A3057))</f>
        <v/>
      </c>
      <c r="P3057" s="79">
        <f>IF(OR($F3057="",$D3057=""),"",IF($D3057="Receita",$F3057,IF($D3057="Transferência",0,-$F3057)))</f>
        <v/>
      </c>
    </row>
    <row r="3058">
      <c r="A3058" s="73" t="n"/>
      <c r="B3058" s="74" t="n"/>
      <c r="C3058" s="74" t="n"/>
      <c r="D3058" s="75">
        <f>IF($C3058="","",IFERROR(INDEX(CAT_TIPO,MATCH($C3058,CAT_NOME,0)),"Sem categoria"))</f>
        <v/>
      </c>
      <c r="E3058" s="75">
        <f>IF($C3058="","",IFERROR(INDEX(CAT_GRUPO,MATCH($C3058,CAT_NOME,0)),"Sem categoria"))</f>
        <v/>
      </c>
      <c r="F3058" s="76" t="n"/>
      <c r="G3058" s="74" t="n"/>
      <c r="H3058" s="74" t="n"/>
      <c r="I3058" s="74" t="n"/>
      <c r="J3058" s="77" t="n"/>
      <c r="K3058" s="77" t="n"/>
      <c r="L3058" s="74" t="n"/>
      <c r="M3058" s="74" t="n"/>
      <c r="O3058" s="78">
        <f>IF($A3058="","",YEAR($A3058)*100+MONTH($A3058))</f>
        <v/>
      </c>
      <c r="P3058" s="79">
        <f>IF(OR($F3058="",$D3058=""),"",IF($D3058="Receita",$F3058,IF($D3058="Transferência",0,-$F3058)))</f>
        <v/>
      </c>
    </row>
    <row r="3059">
      <c r="A3059" s="73" t="n"/>
      <c r="B3059" s="74" t="n"/>
      <c r="C3059" s="74" t="n"/>
      <c r="D3059" s="75">
        <f>IF($C3059="","",IFERROR(INDEX(CAT_TIPO,MATCH($C3059,CAT_NOME,0)),"Sem categoria"))</f>
        <v/>
      </c>
      <c r="E3059" s="75">
        <f>IF($C3059="","",IFERROR(INDEX(CAT_GRUPO,MATCH($C3059,CAT_NOME,0)),"Sem categoria"))</f>
        <v/>
      </c>
      <c r="F3059" s="76" t="n"/>
      <c r="G3059" s="74" t="n"/>
      <c r="H3059" s="74" t="n"/>
      <c r="I3059" s="74" t="n"/>
      <c r="J3059" s="77" t="n"/>
      <c r="K3059" s="77" t="n"/>
      <c r="L3059" s="74" t="n"/>
      <c r="M3059" s="74" t="n"/>
      <c r="O3059" s="78">
        <f>IF($A3059="","",YEAR($A3059)*100+MONTH($A3059))</f>
        <v/>
      </c>
      <c r="P3059" s="79">
        <f>IF(OR($F3059="",$D3059=""),"",IF($D3059="Receita",$F3059,IF($D3059="Transferência",0,-$F3059)))</f>
        <v/>
      </c>
    </row>
    <row r="3060">
      <c r="A3060" s="73" t="n"/>
      <c r="B3060" s="74" t="n"/>
      <c r="C3060" s="74" t="n"/>
      <c r="D3060" s="75">
        <f>IF($C3060="","",IFERROR(INDEX(CAT_TIPO,MATCH($C3060,CAT_NOME,0)),"Sem categoria"))</f>
        <v/>
      </c>
      <c r="E3060" s="75">
        <f>IF($C3060="","",IFERROR(INDEX(CAT_GRUPO,MATCH($C3060,CAT_NOME,0)),"Sem categoria"))</f>
        <v/>
      </c>
      <c r="F3060" s="76" t="n"/>
      <c r="G3060" s="74" t="n"/>
      <c r="H3060" s="74" t="n"/>
      <c r="I3060" s="74" t="n"/>
      <c r="J3060" s="77" t="n"/>
      <c r="K3060" s="77" t="n"/>
      <c r="L3060" s="74" t="n"/>
      <c r="M3060" s="74" t="n"/>
      <c r="O3060" s="78">
        <f>IF($A3060="","",YEAR($A3060)*100+MONTH($A3060))</f>
        <v/>
      </c>
      <c r="P3060" s="79">
        <f>IF(OR($F3060="",$D3060=""),"",IF($D3060="Receita",$F3060,IF($D3060="Transferência",0,-$F3060)))</f>
        <v/>
      </c>
    </row>
    <row r="3061">
      <c r="A3061" s="73" t="n"/>
      <c r="B3061" s="74" t="n"/>
      <c r="C3061" s="74" t="n"/>
      <c r="D3061" s="75">
        <f>IF($C3061="","",IFERROR(INDEX(CAT_TIPO,MATCH($C3061,CAT_NOME,0)),"Sem categoria"))</f>
        <v/>
      </c>
      <c r="E3061" s="75">
        <f>IF($C3061="","",IFERROR(INDEX(CAT_GRUPO,MATCH($C3061,CAT_NOME,0)),"Sem categoria"))</f>
        <v/>
      </c>
      <c r="F3061" s="76" t="n"/>
      <c r="G3061" s="74" t="n"/>
      <c r="H3061" s="74" t="n"/>
      <c r="I3061" s="74" t="n"/>
      <c r="J3061" s="77" t="n"/>
      <c r="K3061" s="77" t="n"/>
      <c r="L3061" s="74" t="n"/>
      <c r="M3061" s="74" t="n"/>
      <c r="O3061" s="78">
        <f>IF($A3061="","",YEAR($A3061)*100+MONTH($A3061))</f>
        <v/>
      </c>
      <c r="P3061" s="79">
        <f>IF(OR($F3061="",$D3061=""),"",IF($D3061="Receita",$F3061,IF($D3061="Transferência",0,-$F3061)))</f>
        <v/>
      </c>
    </row>
    <row r="3062">
      <c r="A3062" s="73" t="n"/>
      <c r="B3062" s="74" t="n"/>
      <c r="C3062" s="74" t="n"/>
      <c r="D3062" s="75">
        <f>IF($C3062="","",IFERROR(INDEX(CAT_TIPO,MATCH($C3062,CAT_NOME,0)),"Sem categoria"))</f>
        <v/>
      </c>
      <c r="E3062" s="75">
        <f>IF($C3062="","",IFERROR(INDEX(CAT_GRUPO,MATCH($C3062,CAT_NOME,0)),"Sem categoria"))</f>
        <v/>
      </c>
      <c r="F3062" s="76" t="n"/>
      <c r="G3062" s="74" t="n"/>
      <c r="H3062" s="74" t="n"/>
      <c r="I3062" s="74" t="n"/>
      <c r="J3062" s="77" t="n"/>
      <c r="K3062" s="77" t="n"/>
      <c r="L3062" s="74" t="n"/>
      <c r="M3062" s="74" t="n"/>
      <c r="O3062" s="78">
        <f>IF($A3062="","",YEAR($A3062)*100+MONTH($A3062))</f>
        <v/>
      </c>
      <c r="P3062" s="79">
        <f>IF(OR($F3062="",$D3062=""),"",IF($D3062="Receita",$F3062,IF($D3062="Transferência",0,-$F3062)))</f>
        <v/>
      </c>
    </row>
    <row r="3063">
      <c r="A3063" s="73" t="n"/>
      <c r="B3063" s="74" t="n"/>
      <c r="C3063" s="74" t="n"/>
      <c r="D3063" s="75">
        <f>IF($C3063="","",IFERROR(INDEX(CAT_TIPO,MATCH($C3063,CAT_NOME,0)),"Sem categoria"))</f>
        <v/>
      </c>
      <c r="E3063" s="75">
        <f>IF($C3063="","",IFERROR(INDEX(CAT_GRUPO,MATCH($C3063,CAT_NOME,0)),"Sem categoria"))</f>
        <v/>
      </c>
      <c r="F3063" s="76" t="n"/>
      <c r="G3063" s="74" t="n"/>
      <c r="H3063" s="74" t="n"/>
      <c r="I3063" s="74" t="n"/>
      <c r="J3063" s="77" t="n"/>
      <c r="K3063" s="77" t="n"/>
      <c r="L3063" s="74" t="n"/>
      <c r="M3063" s="74" t="n"/>
      <c r="O3063" s="78">
        <f>IF($A3063="","",YEAR($A3063)*100+MONTH($A3063))</f>
        <v/>
      </c>
      <c r="P3063" s="79">
        <f>IF(OR($F3063="",$D3063=""),"",IF($D3063="Receita",$F3063,IF($D3063="Transferência",0,-$F3063)))</f>
        <v/>
      </c>
    </row>
    <row r="3064">
      <c r="A3064" s="73" t="n"/>
      <c r="B3064" s="74" t="n"/>
      <c r="C3064" s="74" t="n"/>
      <c r="D3064" s="75">
        <f>IF($C3064="","",IFERROR(INDEX(CAT_TIPO,MATCH($C3064,CAT_NOME,0)),"Sem categoria"))</f>
        <v/>
      </c>
      <c r="E3064" s="75">
        <f>IF($C3064="","",IFERROR(INDEX(CAT_GRUPO,MATCH($C3064,CAT_NOME,0)),"Sem categoria"))</f>
        <v/>
      </c>
      <c r="F3064" s="76" t="n"/>
      <c r="G3064" s="74" t="n"/>
      <c r="H3064" s="74" t="n"/>
      <c r="I3064" s="74" t="n"/>
      <c r="J3064" s="77" t="n"/>
      <c r="K3064" s="77" t="n"/>
      <c r="L3064" s="74" t="n"/>
      <c r="M3064" s="74" t="n"/>
      <c r="O3064" s="78">
        <f>IF($A3064="","",YEAR($A3064)*100+MONTH($A3064))</f>
        <v/>
      </c>
      <c r="P3064" s="79">
        <f>IF(OR($F3064="",$D3064=""),"",IF($D3064="Receita",$F3064,IF($D3064="Transferência",0,-$F3064)))</f>
        <v/>
      </c>
    </row>
    <row r="3065">
      <c r="A3065" s="73" t="n"/>
      <c r="B3065" s="74" t="n"/>
      <c r="C3065" s="74" t="n"/>
      <c r="D3065" s="75">
        <f>IF($C3065="","",IFERROR(INDEX(CAT_TIPO,MATCH($C3065,CAT_NOME,0)),"Sem categoria"))</f>
        <v/>
      </c>
      <c r="E3065" s="75">
        <f>IF($C3065="","",IFERROR(INDEX(CAT_GRUPO,MATCH($C3065,CAT_NOME,0)),"Sem categoria"))</f>
        <v/>
      </c>
      <c r="F3065" s="76" t="n"/>
      <c r="G3065" s="74" t="n"/>
      <c r="H3065" s="74" t="n"/>
      <c r="I3065" s="74" t="n"/>
      <c r="J3065" s="77" t="n"/>
      <c r="K3065" s="77" t="n"/>
      <c r="L3065" s="74" t="n"/>
      <c r="M3065" s="74" t="n"/>
      <c r="O3065" s="78">
        <f>IF($A3065="","",YEAR($A3065)*100+MONTH($A3065))</f>
        <v/>
      </c>
      <c r="P3065" s="79">
        <f>IF(OR($F3065="",$D3065=""),"",IF($D3065="Receita",$F3065,IF($D3065="Transferência",0,-$F3065)))</f>
        <v/>
      </c>
    </row>
    <row r="3066">
      <c r="A3066" s="73" t="n"/>
      <c r="B3066" s="74" t="n"/>
      <c r="C3066" s="74" t="n"/>
      <c r="D3066" s="75">
        <f>IF($C3066="","",IFERROR(INDEX(CAT_TIPO,MATCH($C3066,CAT_NOME,0)),"Sem categoria"))</f>
        <v/>
      </c>
      <c r="E3066" s="75">
        <f>IF($C3066="","",IFERROR(INDEX(CAT_GRUPO,MATCH($C3066,CAT_NOME,0)),"Sem categoria"))</f>
        <v/>
      </c>
      <c r="F3066" s="76" t="n"/>
      <c r="G3066" s="74" t="n"/>
      <c r="H3066" s="74" t="n"/>
      <c r="I3066" s="74" t="n"/>
      <c r="J3066" s="77" t="n"/>
      <c r="K3066" s="77" t="n"/>
      <c r="L3066" s="74" t="n"/>
      <c r="M3066" s="74" t="n"/>
      <c r="O3066" s="78">
        <f>IF($A3066="","",YEAR($A3066)*100+MONTH($A3066))</f>
        <v/>
      </c>
      <c r="P3066" s="79">
        <f>IF(OR($F3066="",$D3066=""),"",IF($D3066="Receita",$F3066,IF($D3066="Transferência",0,-$F3066)))</f>
        <v/>
      </c>
    </row>
    <row r="3067">
      <c r="A3067" s="73" t="n"/>
      <c r="B3067" s="74" t="n"/>
      <c r="C3067" s="74" t="n"/>
      <c r="D3067" s="75">
        <f>IF($C3067="","",IFERROR(INDEX(CAT_TIPO,MATCH($C3067,CAT_NOME,0)),"Sem categoria"))</f>
        <v/>
      </c>
      <c r="E3067" s="75">
        <f>IF($C3067="","",IFERROR(INDEX(CAT_GRUPO,MATCH($C3067,CAT_NOME,0)),"Sem categoria"))</f>
        <v/>
      </c>
      <c r="F3067" s="76" t="n"/>
      <c r="G3067" s="74" t="n"/>
      <c r="H3067" s="74" t="n"/>
      <c r="I3067" s="74" t="n"/>
      <c r="J3067" s="77" t="n"/>
      <c r="K3067" s="77" t="n"/>
      <c r="L3067" s="74" t="n"/>
      <c r="M3067" s="74" t="n"/>
      <c r="O3067" s="78">
        <f>IF($A3067="","",YEAR($A3067)*100+MONTH($A3067))</f>
        <v/>
      </c>
      <c r="P3067" s="79">
        <f>IF(OR($F3067="",$D3067=""),"",IF($D3067="Receita",$F3067,IF($D3067="Transferência",0,-$F3067)))</f>
        <v/>
      </c>
    </row>
    <row r="3068">
      <c r="A3068" s="73" t="n"/>
      <c r="B3068" s="74" t="n"/>
      <c r="C3068" s="74" t="n"/>
      <c r="D3068" s="75">
        <f>IF($C3068="","",IFERROR(INDEX(CAT_TIPO,MATCH($C3068,CAT_NOME,0)),"Sem categoria"))</f>
        <v/>
      </c>
      <c r="E3068" s="75">
        <f>IF($C3068="","",IFERROR(INDEX(CAT_GRUPO,MATCH($C3068,CAT_NOME,0)),"Sem categoria"))</f>
        <v/>
      </c>
      <c r="F3068" s="76" t="n"/>
      <c r="G3068" s="74" t="n"/>
      <c r="H3068" s="74" t="n"/>
      <c r="I3068" s="74" t="n"/>
      <c r="J3068" s="77" t="n"/>
      <c r="K3068" s="77" t="n"/>
      <c r="L3068" s="74" t="n"/>
      <c r="M3068" s="74" t="n"/>
      <c r="O3068" s="78">
        <f>IF($A3068="","",YEAR($A3068)*100+MONTH($A3068))</f>
        <v/>
      </c>
      <c r="P3068" s="79">
        <f>IF(OR($F3068="",$D3068=""),"",IF($D3068="Receita",$F3068,IF($D3068="Transferência",0,-$F3068)))</f>
        <v/>
      </c>
    </row>
    <row r="3069">
      <c r="A3069" s="73" t="n"/>
      <c r="B3069" s="74" t="n"/>
      <c r="C3069" s="74" t="n"/>
      <c r="D3069" s="75">
        <f>IF($C3069="","",IFERROR(INDEX(CAT_TIPO,MATCH($C3069,CAT_NOME,0)),"Sem categoria"))</f>
        <v/>
      </c>
      <c r="E3069" s="75">
        <f>IF($C3069="","",IFERROR(INDEX(CAT_GRUPO,MATCH($C3069,CAT_NOME,0)),"Sem categoria"))</f>
        <v/>
      </c>
      <c r="F3069" s="76" t="n"/>
      <c r="G3069" s="74" t="n"/>
      <c r="H3069" s="74" t="n"/>
      <c r="I3069" s="74" t="n"/>
      <c r="J3069" s="77" t="n"/>
      <c r="K3069" s="77" t="n"/>
      <c r="L3069" s="74" t="n"/>
      <c r="M3069" s="74" t="n"/>
      <c r="O3069" s="78">
        <f>IF($A3069="","",YEAR($A3069)*100+MONTH($A3069))</f>
        <v/>
      </c>
      <c r="P3069" s="79">
        <f>IF(OR($F3069="",$D3069=""),"",IF($D3069="Receita",$F3069,IF($D3069="Transferência",0,-$F3069)))</f>
        <v/>
      </c>
    </row>
    <row r="3070">
      <c r="A3070" s="73" t="n"/>
      <c r="B3070" s="74" t="n"/>
      <c r="C3070" s="74" t="n"/>
      <c r="D3070" s="75">
        <f>IF($C3070="","",IFERROR(INDEX(CAT_TIPO,MATCH($C3070,CAT_NOME,0)),"Sem categoria"))</f>
        <v/>
      </c>
      <c r="E3070" s="75">
        <f>IF($C3070="","",IFERROR(INDEX(CAT_GRUPO,MATCH($C3070,CAT_NOME,0)),"Sem categoria"))</f>
        <v/>
      </c>
      <c r="F3070" s="76" t="n"/>
      <c r="G3070" s="74" t="n"/>
      <c r="H3070" s="74" t="n"/>
      <c r="I3070" s="74" t="n"/>
      <c r="J3070" s="77" t="n"/>
      <c r="K3070" s="77" t="n"/>
      <c r="L3070" s="74" t="n"/>
      <c r="M3070" s="74" t="n"/>
      <c r="O3070" s="78">
        <f>IF($A3070="","",YEAR($A3070)*100+MONTH($A3070))</f>
        <v/>
      </c>
      <c r="P3070" s="79">
        <f>IF(OR($F3070="",$D3070=""),"",IF($D3070="Receita",$F3070,IF($D3070="Transferência",0,-$F3070)))</f>
        <v/>
      </c>
    </row>
    <row r="3071">
      <c r="A3071" s="73" t="n"/>
      <c r="B3071" s="74" t="n"/>
      <c r="C3071" s="74" t="n"/>
      <c r="D3071" s="75">
        <f>IF($C3071="","",IFERROR(INDEX(CAT_TIPO,MATCH($C3071,CAT_NOME,0)),"Sem categoria"))</f>
        <v/>
      </c>
      <c r="E3071" s="75">
        <f>IF($C3071="","",IFERROR(INDEX(CAT_GRUPO,MATCH($C3071,CAT_NOME,0)),"Sem categoria"))</f>
        <v/>
      </c>
      <c r="F3071" s="76" t="n"/>
      <c r="G3071" s="74" t="n"/>
      <c r="H3071" s="74" t="n"/>
      <c r="I3071" s="74" t="n"/>
      <c r="J3071" s="77" t="n"/>
      <c r="K3071" s="77" t="n"/>
      <c r="L3071" s="74" t="n"/>
      <c r="M3071" s="74" t="n"/>
      <c r="O3071" s="78">
        <f>IF($A3071="","",YEAR($A3071)*100+MONTH($A3071))</f>
        <v/>
      </c>
      <c r="P3071" s="79">
        <f>IF(OR($F3071="",$D3071=""),"",IF($D3071="Receita",$F3071,IF($D3071="Transferência",0,-$F3071)))</f>
        <v/>
      </c>
    </row>
    <row r="3072">
      <c r="A3072" s="73" t="n"/>
      <c r="B3072" s="74" t="n"/>
      <c r="C3072" s="74" t="n"/>
      <c r="D3072" s="75">
        <f>IF($C3072="","",IFERROR(INDEX(CAT_TIPO,MATCH($C3072,CAT_NOME,0)),"Sem categoria"))</f>
        <v/>
      </c>
      <c r="E3072" s="75">
        <f>IF($C3072="","",IFERROR(INDEX(CAT_GRUPO,MATCH($C3072,CAT_NOME,0)),"Sem categoria"))</f>
        <v/>
      </c>
      <c r="F3072" s="76" t="n"/>
      <c r="G3072" s="74" t="n"/>
      <c r="H3072" s="74" t="n"/>
      <c r="I3072" s="74" t="n"/>
      <c r="J3072" s="77" t="n"/>
      <c r="K3072" s="77" t="n"/>
      <c r="L3072" s="74" t="n"/>
      <c r="M3072" s="74" t="n"/>
      <c r="O3072" s="78">
        <f>IF($A3072="","",YEAR($A3072)*100+MONTH($A3072))</f>
        <v/>
      </c>
      <c r="P3072" s="79">
        <f>IF(OR($F3072="",$D3072=""),"",IF($D3072="Receita",$F3072,IF($D3072="Transferência",0,-$F3072)))</f>
        <v/>
      </c>
    </row>
    <row r="3073">
      <c r="A3073" s="73" t="n"/>
      <c r="B3073" s="74" t="n"/>
      <c r="C3073" s="74" t="n"/>
      <c r="D3073" s="75">
        <f>IF($C3073="","",IFERROR(INDEX(CAT_TIPO,MATCH($C3073,CAT_NOME,0)),"Sem categoria"))</f>
        <v/>
      </c>
      <c r="E3073" s="75">
        <f>IF($C3073="","",IFERROR(INDEX(CAT_GRUPO,MATCH($C3073,CAT_NOME,0)),"Sem categoria"))</f>
        <v/>
      </c>
      <c r="F3073" s="76" t="n"/>
      <c r="G3073" s="74" t="n"/>
      <c r="H3073" s="74" t="n"/>
      <c r="I3073" s="74" t="n"/>
      <c r="J3073" s="77" t="n"/>
      <c r="K3073" s="77" t="n"/>
      <c r="L3073" s="74" t="n"/>
      <c r="M3073" s="74" t="n"/>
      <c r="O3073" s="78">
        <f>IF($A3073="","",YEAR($A3073)*100+MONTH($A3073))</f>
        <v/>
      </c>
      <c r="P3073" s="79">
        <f>IF(OR($F3073="",$D3073=""),"",IF($D3073="Receita",$F3073,IF($D3073="Transferência",0,-$F3073)))</f>
        <v/>
      </c>
    </row>
    <row r="3074">
      <c r="A3074" s="73" t="n"/>
      <c r="B3074" s="74" t="n"/>
      <c r="C3074" s="74" t="n"/>
      <c r="D3074" s="75">
        <f>IF($C3074="","",IFERROR(INDEX(CAT_TIPO,MATCH($C3074,CAT_NOME,0)),"Sem categoria"))</f>
        <v/>
      </c>
      <c r="E3074" s="75">
        <f>IF($C3074="","",IFERROR(INDEX(CAT_GRUPO,MATCH($C3074,CAT_NOME,0)),"Sem categoria"))</f>
        <v/>
      </c>
      <c r="F3074" s="76" t="n"/>
      <c r="G3074" s="74" t="n"/>
      <c r="H3074" s="74" t="n"/>
      <c r="I3074" s="74" t="n"/>
      <c r="J3074" s="77" t="n"/>
      <c r="K3074" s="77" t="n"/>
      <c r="L3074" s="74" t="n"/>
      <c r="M3074" s="74" t="n"/>
      <c r="O3074" s="78">
        <f>IF($A3074="","",YEAR($A3074)*100+MONTH($A3074))</f>
        <v/>
      </c>
      <c r="P3074" s="79">
        <f>IF(OR($F3074="",$D3074=""),"",IF($D3074="Receita",$F3074,IF($D3074="Transferência",0,-$F3074)))</f>
        <v/>
      </c>
    </row>
    <row r="3075">
      <c r="A3075" s="73" t="n"/>
      <c r="B3075" s="74" t="n"/>
      <c r="C3075" s="74" t="n"/>
      <c r="D3075" s="75">
        <f>IF($C3075="","",IFERROR(INDEX(CAT_TIPO,MATCH($C3075,CAT_NOME,0)),"Sem categoria"))</f>
        <v/>
      </c>
      <c r="E3075" s="75">
        <f>IF($C3075="","",IFERROR(INDEX(CAT_GRUPO,MATCH($C3075,CAT_NOME,0)),"Sem categoria"))</f>
        <v/>
      </c>
      <c r="F3075" s="76" t="n"/>
      <c r="G3075" s="74" t="n"/>
      <c r="H3075" s="74" t="n"/>
      <c r="I3075" s="74" t="n"/>
      <c r="J3075" s="77" t="n"/>
      <c r="K3075" s="77" t="n"/>
      <c r="L3075" s="74" t="n"/>
      <c r="M3075" s="74" t="n"/>
      <c r="O3075" s="78">
        <f>IF($A3075="","",YEAR($A3075)*100+MONTH($A3075))</f>
        <v/>
      </c>
      <c r="P3075" s="79">
        <f>IF(OR($F3075="",$D3075=""),"",IF($D3075="Receita",$F3075,IF($D3075="Transferência",0,-$F3075)))</f>
        <v/>
      </c>
    </row>
    <row r="3076">
      <c r="A3076" s="73" t="n"/>
      <c r="B3076" s="74" t="n"/>
      <c r="C3076" s="74" t="n"/>
      <c r="D3076" s="75">
        <f>IF($C3076="","",IFERROR(INDEX(CAT_TIPO,MATCH($C3076,CAT_NOME,0)),"Sem categoria"))</f>
        <v/>
      </c>
      <c r="E3076" s="75">
        <f>IF($C3076="","",IFERROR(INDEX(CAT_GRUPO,MATCH($C3076,CAT_NOME,0)),"Sem categoria"))</f>
        <v/>
      </c>
      <c r="F3076" s="76" t="n"/>
      <c r="G3076" s="74" t="n"/>
      <c r="H3076" s="74" t="n"/>
      <c r="I3076" s="74" t="n"/>
      <c r="J3076" s="77" t="n"/>
      <c r="K3076" s="77" t="n"/>
      <c r="L3076" s="74" t="n"/>
      <c r="M3076" s="74" t="n"/>
      <c r="O3076" s="78">
        <f>IF($A3076="","",YEAR($A3076)*100+MONTH($A3076))</f>
        <v/>
      </c>
      <c r="P3076" s="79">
        <f>IF(OR($F3076="",$D3076=""),"",IF($D3076="Receita",$F3076,IF($D3076="Transferência",0,-$F3076)))</f>
        <v/>
      </c>
    </row>
    <row r="3077">
      <c r="A3077" s="73" t="n"/>
      <c r="B3077" s="74" t="n"/>
      <c r="C3077" s="74" t="n"/>
      <c r="D3077" s="75">
        <f>IF($C3077="","",IFERROR(INDEX(CAT_TIPO,MATCH($C3077,CAT_NOME,0)),"Sem categoria"))</f>
        <v/>
      </c>
      <c r="E3077" s="75">
        <f>IF($C3077="","",IFERROR(INDEX(CAT_GRUPO,MATCH($C3077,CAT_NOME,0)),"Sem categoria"))</f>
        <v/>
      </c>
      <c r="F3077" s="76" t="n"/>
      <c r="G3077" s="74" t="n"/>
      <c r="H3077" s="74" t="n"/>
      <c r="I3077" s="74" t="n"/>
      <c r="J3077" s="77" t="n"/>
      <c r="K3077" s="77" t="n"/>
      <c r="L3077" s="74" t="n"/>
      <c r="M3077" s="74" t="n"/>
      <c r="O3077" s="78">
        <f>IF($A3077="","",YEAR($A3077)*100+MONTH($A3077))</f>
        <v/>
      </c>
      <c r="P3077" s="79">
        <f>IF(OR($F3077="",$D3077=""),"",IF($D3077="Receita",$F3077,IF($D3077="Transferência",0,-$F3077)))</f>
        <v/>
      </c>
    </row>
    <row r="3078">
      <c r="A3078" s="73" t="n"/>
      <c r="B3078" s="74" t="n"/>
      <c r="C3078" s="74" t="n"/>
      <c r="D3078" s="75">
        <f>IF($C3078="","",IFERROR(INDEX(CAT_TIPO,MATCH($C3078,CAT_NOME,0)),"Sem categoria"))</f>
        <v/>
      </c>
      <c r="E3078" s="75">
        <f>IF($C3078="","",IFERROR(INDEX(CAT_GRUPO,MATCH($C3078,CAT_NOME,0)),"Sem categoria"))</f>
        <v/>
      </c>
      <c r="F3078" s="76" t="n"/>
      <c r="G3078" s="74" t="n"/>
      <c r="H3078" s="74" t="n"/>
      <c r="I3078" s="74" t="n"/>
      <c r="J3078" s="77" t="n"/>
      <c r="K3078" s="77" t="n"/>
      <c r="L3078" s="74" t="n"/>
      <c r="M3078" s="74" t="n"/>
      <c r="O3078" s="78">
        <f>IF($A3078="","",YEAR($A3078)*100+MONTH($A3078))</f>
        <v/>
      </c>
      <c r="P3078" s="79">
        <f>IF(OR($F3078="",$D3078=""),"",IF($D3078="Receita",$F3078,IF($D3078="Transferência",0,-$F3078)))</f>
        <v/>
      </c>
    </row>
    <row r="3079">
      <c r="A3079" s="73" t="n"/>
      <c r="B3079" s="74" t="n"/>
      <c r="C3079" s="74" t="n"/>
      <c r="D3079" s="75">
        <f>IF($C3079="","",IFERROR(INDEX(CAT_TIPO,MATCH($C3079,CAT_NOME,0)),"Sem categoria"))</f>
        <v/>
      </c>
      <c r="E3079" s="75">
        <f>IF($C3079="","",IFERROR(INDEX(CAT_GRUPO,MATCH($C3079,CAT_NOME,0)),"Sem categoria"))</f>
        <v/>
      </c>
      <c r="F3079" s="76" t="n"/>
      <c r="G3079" s="74" t="n"/>
      <c r="H3079" s="74" t="n"/>
      <c r="I3079" s="74" t="n"/>
      <c r="J3079" s="77" t="n"/>
      <c r="K3079" s="77" t="n"/>
      <c r="L3079" s="74" t="n"/>
      <c r="M3079" s="74" t="n"/>
      <c r="O3079" s="78">
        <f>IF($A3079="","",YEAR($A3079)*100+MONTH($A3079))</f>
        <v/>
      </c>
      <c r="P3079" s="79">
        <f>IF(OR($F3079="",$D3079=""),"",IF($D3079="Receita",$F3079,IF($D3079="Transferência",0,-$F3079)))</f>
        <v/>
      </c>
    </row>
    <row r="3080">
      <c r="A3080" s="73" t="n"/>
      <c r="B3080" s="74" t="n"/>
      <c r="C3080" s="74" t="n"/>
      <c r="D3080" s="75">
        <f>IF($C3080="","",IFERROR(INDEX(CAT_TIPO,MATCH($C3080,CAT_NOME,0)),"Sem categoria"))</f>
        <v/>
      </c>
      <c r="E3080" s="75">
        <f>IF($C3080="","",IFERROR(INDEX(CAT_GRUPO,MATCH($C3080,CAT_NOME,0)),"Sem categoria"))</f>
        <v/>
      </c>
      <c r="F3080" s="76" t="n"/>
      <c r="G3080" s="74" t="n"/>
      <c r="H3080" s="74" t="n"/>
      <c r="I3080" s="74" t="n"/>
      <c r="J3080" s="77" t="n"/>
      <c r="K3080" s="77" t="n"/>
      <c r="L3080" s="74" t="n"/>
      <c r="M3080" s="74" t="n"/>
      <c r="O3080" s="78">
        <f>IF($A3080="","",YEAR($A3080)*100+MONTH($A3080))</f>
        <v/>
      </c>
      <c r="P3080" s="79">
        <f>IF(OR($F3080="",$D3080=""),"",IF($D3080="Receita",$F3080,IF($D3080="Transferência",0,-$F3080)))</f>
        <v/>
      </c>
    </row>
    <row r="3081">
      <c r="A3081" s="73" t="n"/>
      <c r="B3081" s="74" t="n"/>
      <c r="C3081" s="74" t="n"/>
      <c r="D3081" s="75">
        <f>IF($C3081="","",IFERROR(INDEX(CAT_TIPO,MATCH($C3081,CAT_NOME,0)),"Sem categoria"))</f>
        <v/>
      </c>
      <c r="E3081" s="75">
        <f>IF($C3081="","",IFERROR(INDEX(CAT_GRUPO,MATCH($C3081,CAT_NOME,0)),"Sem categoria"))</f>
        <v/>
      </c>
      <c r="F3081" s="76" t="n"/>
      <c r="G3081" s="74" t="n"/>
      <c r="H3081" s="74" t="n"/>
      <c r="I3081" s="74" t="n"/>
      <c r="J3081" s="77" t="n"/>
      <c r="K3081" s="77" t="n"/>
      <c r="L3081" s="74" t="n"/>
      <c r="M3081" s="74" t="n"/>
      <c r="O3081" s="78">
        <f>IF($A3081="","",YEAR($A3081)*100+MONTH($A3081))</f>
        <v/>
      </c>
      <c r="P3081" s="79">
        <f>IF(OR($F3081="",$D3081=""),"",IF($D3081="Receita",$F3081,IF($D3081="Transferência",0,-$F3081)))</f>
        <v/>
      </c>
    </row>
    <row r="3082">
      <c r="A3082" s="73" t="n"/>
      <c r="B3082" s="74" t="n"/>
      <c r="C3082" s="74" t="n"/>
      <c r="D3082" s="75">
        <f>IF($C3082="","",IFERROR(INDEX(CAT_TIPO,MATCH($C3082,CAT_NOME,0)),"Sem categoria"))</f>
        <v/>
      </c>
      <c r="E3082" s="75">
        <f>IF($C3082="","",IFERROR(INDEX(CAT_GRUPO,MATCH($C3082,CAT_NOME,0)),"Sem categoria"))</f>
        <v/>
      </c>
      <c r="F3082" s="76" t="n"/>
      <c r="G3082" s="74" t="n"/>
      <c r="H3082" s="74" t="n"/>
      <c r="I3082" s="74" t="n"/>
      <c r="J3082" s="77" t="n"/>
      <c r="K3082" s="77" t="n"/>
      <c r="L3082" s="74" t="n"/>
      <c r="M3082" s="74" t="n"/>
      <c r="O3082" s="78">
        <f>IF($A3082="","",YEAR($A3082)*100+MONTH($A3082))</f>
        <v/>
      </c>
      <c r="P3082" s="79">
        <f>IF(OR($F3082="",$D3082=""),"",IF($D3082="Receita",$F3082,IF($D3082="Transferência",0,-$F3082)))</f>
        <v/>
      </c>
    </row>
    <row r="3083">
      <c r="A3083" s="73" t="n"/>
      <c r="B3083" s="74" t="n"/>
      <c r="C3083" s="74" t="n"/>
      <c r="D3083" s="75">
        <f>IF($C3083="","",IFERROR(INDEX(CAT_TIPO,MATCH($C3083,CAT_NOME,0)),"Sem categoria"))</f>
        <v/>
      </c>
      <c r="E3083" s="75">
        <f>IF($C3083="","",IFERROR(INDEX(CAT_GRUPO,MATCH($C3083,CAT_NOME,0)),"Sem categoria"))</f>
        <v/>
      </c>
      <c r="F3083" s="76" t="n"/>
      <c r="G3083" s="74" t="n"/>
      <c r="H3083" s="74" t="n"/>
      <c r="I3083" s="74" t="n"/>
      <c r="J3083" s="77" t="n"/>
      <c r="K3083" s="77" t="n"/>
      <c r="L3083" s="74" t="n"/>
      <c r="M3083" s="74" t="n"/>
      <c r="O3083" s="78">
        <f>IF($A3083="","",YEAR($A3083)*100+MONTH($A3083))</f>
        <v/>
      </c>
      <c r="P3083" s="79">
        <f>IF(OR($F3083="",$D3083=""),"",IF($D3083="Receita",$F3083,IF($D3083="Transferência",0,-$F3083)))</f>
        <v/>
      </c>
    </row>
    <row r="3084">
      <c r="A3084" s="73" t="n"/>
      <c r="B3084" s="74" t="n"/>
      <c r="C3084" s="74" t="n"/>
      <c r="D3084" s="75">
        <f>IF($C3084="","",IFERROR(INDEX(CAT_TIPO,MATCH($C3084,CAT_NOME,0)),"Sem categoria"))</f>
        <v/>
      </c>
      <c r="E3084" s="75">
        <f>IF($C3084="","",IFERROR(INDEX(CAT_GRUPO,MATCH($C3084,CAT_NOME,0)),"Sem categoria"))</f>
        <v/>
      </c>
      <c r="F3084" s="76" t="n"/>
      <c r="G3084" s="74" t="n"/>
      <c r="H3084" s="74" t="n"/>
      <c r="I3084" s="74" t="n"/>
      <c r="J3084" s="77" t="n"/>
      <c r="K3084" s="77" t="n"/>
      <c r="L3084" s="74" t="n"/>
      <c r="M3084" s="74" t="n"/>
      <c r="O3084" s="78">
        <f>IF($A3084="","",YEAR($A3084)*100+MONTH($A3084))</f>
        <v/>
      </c>
      <c r="P3084" s="79">
        <f>IF(OR($F3084="",$D3084=""),"",IF($D3084="Receita",$F3084,IF($D3084="Transferência",0,-$F3084)))</f>
        <v/>
      </c>
    </row>
    <row r="3085">
      <c r="A3085" s="73" t="n"/>
      <c r="B3085" s="74" t="n"/>
      <c r="C3085" s="74" t="n"/>
      <c r="D3085" s="75">
        <f>IF($C3085="","",IFERROR(INDEX(CAT_TIPO,MATCH($C3085,CAT_NOME,0)),"Sem categoria"))</f>
        <v/>
      </c>
      <c r="E3085" s="75">
        <f>IF($C3085="","",IFERROR(INDEX(CAT_GRUPO,MATCH($C3085,CAT_NOME,0)),"Sem categoria"))</f>
        <v/>
      </c>
      <c r="F3085" s="76" t="n"/>
      <c r="G3085" s="74" t="n"/>
      <c r="H3085" s="74" t="n"/>
      <c r="I3085" s="74" t="n"/>
      <c r="J3085" s="77" t="n"/>
      <c r="K3085" s="77" t="n"/>
      <c r="L3085" s="74" t="n"/>
      <c r="M3085" s="74" t="n"/>
      <c r="O3085" s="78">
        <f>IF($A3085="","",YEAR($A3085)*100+MONTH($A3085))</f>
        <v/>
      </c>
      <c r="P3085" s="79">
        <f>IF(OR($F3085="",$D3085=""),"",IF($D3085="Receita",$F3085,IF($D3085="Transferência",0,-$F3085)))</f>
        <v/>
      </c>
    </row>
    <row r="3086">
      <c r="A3086" s="73" t="n"/>
      <c r="B3086" s="74" t="n"/>
      <c r="C3086" s="74" t="n"/>
      <c r="D3086" s="75">
        <f>IF($C3086="","",IFERROR(INDEX(CAT_TIPO,MATCH($C3086,CAT_NOME,0)),"Sem categoria"))</f>
        <v/>
      </c>
      <c r="E3086" s="75">
        <f>IF($C3086="","",IFERROR(INDEX(CAT_GRUPO,MATCH($C3086,CAT_NOME,0)),"Sem categoria"))</f>
        <v/>
      </c>
      <c r="F3086" s="76" t="n"/>
      <c r="G3086" s="74" t="n"/>
      <c r="H3086" s="74" t="n"/>
      <c r="I3086" s="74" t="n"/>
      <c r="J3086" s="77" t="n"/>
      <c r="K3086" s="77" t="n"/>
      <c r="L3086" s="74" t="n"/>
      <c r="M3086" s="74" t="n"/>
      <c r="O3086" s="78">
        <f>IF($A3086="","",YEAR($A3086)*100+MONTH($A3086))</f>
        <v/>
      </c>
      <c r="P3086" s="79">
        <f>IF(OR($F3086="",$D3086=""),"",IF($D3086="Receita",$F3086,IF($D3086="Transferência",0,-$F3086)))</f>
        <v/>
      </c>
    </row>
    <row r="3087">
      <c r="A3087" s="73" t="n"/>
      <c r="B3087" s="74" t="n"/>
      <c r="C3087" s="74" t="n"/>
      <c r="D3087" s="75">
        <f>IF($C3087="","",IFERROR(INDEX(CAT_TIPO,MATCH($C3087,CAT_NOME,0)),"Sem categoria"))</f>
        <v/>
      </c>
      <c r="E3087" s="75">
        <f>IF($C3087="","",IFERROR(INDEX(CAT_GRUPO,MATCH($C3087,CAT_NOME,0)),"Sem categoria"))</f>
        <v/>
      </c>
      <c r="F3087" s="76" t="n"/>
      <c r="G3087" s="74" t="n"/>
      <c r="H3087" s="74" t="n"/>
      <c r="I3087" s="74" t="n"/>
      <c r="J3087" s="77" t="n"/>
      <c r="K3087" s="77" t="n"/>
      <c r="L3087" s="74" t="n"/>
      <c r="M3087" s="74" t="n"/>
      <c r="O3087" s="78">
        <f>IF($A3087="","",YEAR($A3087)*100+MONTH($A3087))</f>
        <v/>
      </c>
      <c r="P3087" s="79">
        <f>IF(OR($F3087="",$D3087=""),"",IF($D3087="Receita",$F3087,IF($D3087="Transferência",0,-$F3087)))</f>
        <v/>
      </c>
    </row>
    <row r="3088">
      <c r="A3088" s="73" t="n"/>
      <c r="B3088" s="74" t="n"/>
      <c r="C3088" s="74" t="n"/>
      <c r="D3088" s="75">
        <f>IF($C3088="","",IFERROR(INDEX(CAT_TIPO,MATCH($C3088,CAT_NOME,0)),"Sem categoria"))</f>
        <v/>
      </c>
      <c r="E3088" s="75">
        <f>IF($C3088="","",IFERROR(INDEX(CAT_GRUPO,MATCH($C3088,CAT_NOME,0)),"Sem categoria"))</f>
        <v/>
      </c>
      <c r="F3088" s="76" t="n"/>
      <c r="G3088" s="74" t="n"/>
      <c r="H3088" s="74" t="n"/>
      <c r="I3088" s="74" t="n"/>
      <c r="J3088" s="77" t="n"/>
      <c r="K3088" s="77" t="n"/>
      <c r="L3088" s="74" t="n"/>
      <c r="M3088" s="74" t="n"/>
      <c r="O3088" s="78">
        <f>IF($A3088="","",YEAR($A3088)*100+MONTH($A3088))</f>
        <v/>
      </c>
      <c r="P3088" s="79">
        <f>IF(OR($F3088="",$D3088=""),"",IF($D3088="Receita",$F3088,IF($D3088="Transferência",0,-$F3088)))</f>
        <v/>
      </c>
    </row>
    <row r="3089">
      <c r="A3089" s="73" t="n"/>
      <c r="B3089" s="74" t="n"/>
      <c r="C3089" s="74" t="n"/>
      <c r="D3089" s="75">
        <f>IF($C3089="","",IFERROR(INDEX(CAT_TIPO,MATCH($C3089,CAT_NOME,0)),"Sem categoria"))</f>
        <v/>
      </c>
      <c r="E3089" s="75">
        <f>IF($C3089="","",IFERROR(INDEX(CAT_GRUPO,MATCH($C3089,CAT_NOME,0)),"Sem categoria"))</f>
        <v/>
      </c>
      <c r="F3089" s="76" t="n"/>
      <c r="G3089" s="74" t="n"/>
      <c r="H3089" s="74" t="n"/>
      <c r="I3089" s="74" t="n"/>
      <c r="J3089" s="77" t="n"/>
      <c r="K3089" s="77" t="n"/>
      <c r="L3089" s="74" t="n"/>
      <c r="M3089" s="74" t="n"/>
      <c r="O3089" s="78">
        <f>IF($A3089="","",YEAR($A3089)*100+MONTH($A3089))</f>
        <v/>
      </c>
      <c r="P3089" s="79">
        <f>IF(OR($F3089="",$D3089=""),"",IF($D3089="Receita",$F3089,IF($D3089="Transferência",0,-$F3089)))</f>
        <v/>
      </c>
    </row>
    <row r="3090">
      <c r="A3090" s="73" t="n"/>
      <c r="B3090" s="74" t="n"/>
      <c r="C3090" s="74" t="n"/>
      <c r="D3090" s="75">
        <f>IF($C3090="","",IFERROR(INDEX(CAT_TIPO,MATCH($C3090,CAT_NOME,0)),"Sem categoria"))</f>
        <v/>
      </c>
      <c r="E3090" s="75">
        <f>IF($C3090="","",IFERROR(INDEX(CAT_GRUPO,MATCH($C3090,CAT_NOME,0)),"Sem categoria"))</f>
        <v/>
      </c>
      <c r="F3090" s="76" t="n"/>
      <c r="G3090" s="74" t="n"/>
      <c r="H3090" s="74" t="n"/>
      <c r="I3090" s="74" t="n"/>
      <c r="J3090" s="77" t="n"/>
      <c r="K3090" s="77" t="n"/>
      <c r="L3090" s="74" t="n"/>
      <c r="M3090" s="74" t="n"/>
      <c r="O3090" s="78">
        <f>IF($A3090="","",YEAR($A3090)*100+MONTH($A3090))</f>
        <v/>
      </c>
      <c r="P3090" s="79">
        <f>IF(OR($F3090="",$D3090=""),"",IF($D3090="Receita",$F3090,IF($D3090="Transferência",0,-$F3090)))</f>
        <v/>
      </c>
    </row>
    <row r="3091">
      <c r="A3091" s="73" t="n"/>
      <c r="B3091" s="74" t="n"/>
      <c r="C3091" s="74" t="n"/>
      <c r="D3091" s="75">
        <f>IF($C3091="","",IFERROR(INDEX(CAT_TIPO,MATCH($C3091,CAT_NOME,0)),"Sem categoria"))</f>
        <v/>
      </c>
      <c r="E3091" s="75">
        <f>IF($C3091="","",IFERROR(INDEX(CAT_GRUPO,MATCH($C3091,CAT_NOME,0)),"Sem categoria"))</f>
        <v/>
      </c>
      <c r="F3091" s="76" t="n"/>
      <c r="G3091" s="74" t="n"/>
      <c r="H3091" s="74" t="n"/>
      <c r="I3091" s="74" t="n"/>
      <c r="J3091" s="77" t="n"/>
      <c r="K3091" s="77" t="n"/>
      <c r="L3091" s="74" t="n"/>
      <c r="M3091" s="74" t="n"/>
      <c r="O3091" s="78">
        <f>IF($A3091="","",YEAR($A3091)*100+MONTH($A3091))</f>
        <v/>
      </c>
      <c r="P3091" s="79">
        <f>IF(OR($F3091="",$D3091=""),"",IF($D3091="Receita",$F3091,IF($D3091="Transferência",0,-$F3091)))</f>
        <v/>
      </c>
    </row>
    <row r="3092">
      <c r="A3092" s="73" t="n"/>
      <c r="B3092" s="74" t="n"/>
      <c r="C3092" s="74" t="n"/>
      <c r="D3092" s="75">
        <f>IF($C3092="","",IFERROR(INDEX(CAT_TIPO,MATCH($C3092,CAT_NOME,0)),"Sem categoria"))</f>
        <v/>
      </c>
      <c r="E3092" s="75">
        <f>IF($C3092="","",IFERROR(INDEX(CAT_GRUPO,MATCH($C3092,CAT_NOME,0)),"Sem categoria"))</f>
        <v/>
      </c>
      <c r="F3092" s="76" t="n"/>
      <c r="G3092" s="74" t="n"/>
      <c r="H3092" s="74" t="n"/>
      <c r="I3092" s="74" t="n"/>
      <c r="J3092" s="77" t="n"/>
      <c r="K3092" s="77" t="n"/>
      <c r="L3092" s="74" t="n"/>
      <c r="M3092" s="74" t="n"/>
      <c r="O3092" s="78">
        <f>IF($A3092="","",YEAR($A3092)*100+MONTH($A3092))</f>
        <v/>
      </c>
      <c r="P3092" s="79">
        <f>IF(OR($F3092="",$D3092=""),"",IF($D3092="Receita",$F3092,IF($D3092="Transferência",0,-$F3092)))</f>
        <v/>
      </c>
    </row>
    <row r="3093">
      <c r="A3093" s="73" t="n"/>
      <c r="B3093" s="74" t="n"/>
      <c r="C3093" s="74" t="n"/>
      <c r="D3093" s="75">
        <f>IF($C3093="","",IFERROR(INDEX(CAT_TIPO,MATCH($C3093,CAT_NOME,0)),"Sem categoria"))</f>
        <v/>
      </c>
      <c r="E3093" s="75">
        <f>IF($C3093="","",IFERROR(INDEX(CAT_GRUPO,MATCH($C3093,CAT_NOME,0)),"Sem categoria"))</f>
        <v/>
      </c>
      <c r="F3093" s="76" t="n"/>
      <c r="G3093" s="74" t="n"/>
      <c r="H3093" s="74" t="n"/>
      <c r="I3093" s="74" t="n"/>
      <c r="J3093" s="77" t="n"/>
      <c r="K3093" s="77" t="n"/>
      <c r="L3093" s="74" t="n"/>
      <c r="M3093" s="74" t="n"/>
      <c r="O3093" s="78">
        <f>IF($A3093="","",YEAR($A3093)*100+MONTH($A3093))</f>
        <v/>
      </c>
      <c r="P3093" s="79">
        <f>IF(OR($F3093="",$D3093=""),"",IF($D3093="Receita",$F3093,IF($D3093="Transferência",0,-$F3093)))</f>
        <v/>
      </c>
    </row>
    <row r="3094">
      <c r="A3094" s="73" t="n"/>
      <c r="B3094" s="74" t="n"/>
      <c r="C3094" s="74" t="n"/>
      <c r="D3094" s="75">
        <f>IF($C3094="","",IFERROR(INDEX(CAT_TIPO,MATCH($C3094,CAT_NOME,0)),"Sem categoria"))</f>
        <v/>
      </c>
      <c r="E3094" s="75">
        <f>IF($C3094="","",IFERROR(INDEX(CAT_GRUPO,MATCH($C3094,CAT_NOME,0)),"Sem categoria"))</f>
        <v/>
      </c>
      <c r="F3094" s="76" t="n"/>
      <c r="G3094" s="74" t="n"/>
      <c r="H3094" s="74" t="n"/>
      <c r="I3094" s="74" t="n"/>
      <c r="J3094" s="77" t="n"/>
      <c r="K3094" s="77" t="n"/>
      <c r="L3094" s="74" t="n"/>
      <c r="M3094" s="74" t="n"/>
      <c r="O3094" s="78">
        <f>IF($A3094="","",YEAR($A3094)*100+MONTH($A3094))</f>
        <v/>
      </c>
      <c r="P3094" s="79">
        <f>IF(OR($F3094="",$D3094=""),"",IF($D3094="Receita",$F3094,IF($D3094="Transferência",0,-$F3094)))</f>
        <v/>
      </c>
    </row>
    <row r="3095">
      <c r="A3095" s="73" t="n"/>
      <c r="B3095" s="74" t="n"/>
      <c r="C3095" s="74" t="n"/>
      <c r="D3095" s="75">
        <f>IF($C3095="","",IFERROR(INDEX(CAT_TIPO,MATCH($C3095,CAT_NOME,0)),"Sem categoria"))</f>
        <v/>
      </c>
      <c r="E3095" s="75">
        <f>IF($C3095="","",IFERROR(INDEX(CAT_GRUPO,MATCH($C3095,CAT_NOME,0)),"Sem categoria"))</f>
        <v/>
      </c>
      <c r="F3095" s="76" t="n"/>
      <c r="G3095" s="74" t="n"/>
      <c r="H3095" s="74" t="n"/>
      <c r="I3095" s="74" t="n"/>
      <c r="J3095" s="77" t="n"/>
      <c r="K3095" s="77" t="n"/>
      <c r="L3095" s="74" t="n"/>
      <c r="M3095" s="74" t="n"/>
      <c r="O3095" s="78">
        <f>IF($A3095="","",YEAR($A3095)*100+MONTH($A3095))</f>
        <v/>
      </c>
      <c r="P3095" s="79">
        <f>IF(OR($F3095="",$D3095=""),"",IF($D3095="Receita",$F3095,IF($D3095="Transferência",0,-$F3095)))</f>
        <v/>
      </c>
    </row>
    <row r="3096">
      <c r="A3096" s="73" t="n"/>
      <c r="B3096" s="74" t="n"/>
      <c r="C3096" s="74" t="n"/>
      <c r="D3096" s="75">
        <f>IF($C3096="","",IFERROR(INDEX(CAT_TIPO,MATCH($C3096,CAT_NOME,0)),"Sem categoria"))</f>
        <v/>
      </c>
      <c r="E3096" s="75">
        <f>IF($C3096="","",IFERROR(INDEX(CAT_GRUPO,MATCH($C3096,CAT_NOME,0)),"Sem categoria"))</f>
        <v/>
      </c>
      <c r="F3096" s="76" t="n"/>
      <c r="G3096" s="74" t="n"/>
      <c r="H3096" s="74" t="n"/>
      <c r="I3096" s="74" t="n"/>
      <c r="J3096" s="77" t="n"/>
      <c r="K3096" s="77" t="n"/>
      <c r="L3096" s="74" t="n"/>
      <c r="M3096" s="74" t="n"/>
      <c r="O3096" s="78">
        <f>IF($A3096="","",YEAR($A3096)*100+MONTH($A3096))</f>
        <v/>
      </c>
      <c r="P3096" s="79">
        <f>IF(OR($F3096="",$D3096=""),"",IF($D3096="Receita",$F3096,IF($D3096="Transferência",0,-$F3096)))</f>
        <v/>
      </c>
    </row>
    <row r="3097">
      <c r="A3097" s="73" t="n"/>
      <c r="B3097" s="74" t="n"/>
      <c r="C3097" s="74" t="n"/>
      <c r="D3097" s="75">
        <f>IF($C3097="","",IFERROR(INDEX(CAT_TIPO,MATCH($C3097,CAT_NOME,0)),"Sem categoria"))</f>
        <v/>
      </c>
      <c r="E3097" s="75">
        <f>IF($C3097="","",IFERROR(INDEX(CAT_GRUPO,MATCH($C3097,CAT_NOME,0)),"Sem categoria"))</f>
        <v/>
      </c>
      <c r="F3097" s="76" t="n"/>
      <c r="G3097" s="74" t="n"/>
      <c r="H3097" s="74" t="n"/>
      <c r="I3097" s="74" t="n"/>
      <c r="J3097" s="77" t="n"/>
      <c r="K3097" s="77" t="n"/>
      <c r="L3097" s="74" t="n"/>
      <c r="M3097" s="74" t="n"/>
      <c r="O3097" s="78">
        <f>IF($A3097="","",YEAR($A3097)*100+MONTH($A3097))</f>
        <v/>
      </c>
      <c r="P3097" s="79">
        <f>IF(OR($F3097="",$D3097=""),"",IF($D3097="Receita",$F3097,IF($D3097="Transferência",0,-$F3097)))</f>
        <v/>
      </c>
    </row>
    <row r="3098">
      <c r="A3098" s="73" t="n"/>
      <c r="B3098" s="74" t="n"/>
      <c r="C3098" s="74" t="n"/>
      <c r="D3098" s="75">
        <f>IF($C3098="","",IFERROR(INDEX(CAT_TIPO,MATCH($C3098,CAT_NOME,0)),"Sem categoria"))</f>
        <v/>
      </c>
      <c r="E3098" s="75">
        <f>IF($C3098="","",IFERROR(INDEX(CAT_GRUPO,MATCH($C3098,CAT_NOME,0)),"Sem categoria"))</f>
        <v/>
      </c>
      <c r="F3098" s="76" t="n"/>
      <c r="G3098" s="74" t="n"/>
      <c r="H3098" s="74" t="n"/>
      <c r="I3098" s="74" t="n"/>
      <c r="J3098" s="77" t="n"/>
      <c r="K3098" s="77" t="n"/>
      <c r="L3098" s="74" t="n"/>
      <c r="M3098" s="74" t="n"/>
      <c r="O3098" s="78">
        <f>IF($A3098="","",YEAR($A3098)*100+MONTH($A3098))</f>
        <v/>
      </c>
      <c r="P3098" s="79">
        <f>IF(OR($F3098="",$D3098=""),"",IF($D3098="Receita",$F3098,IF($D3098="Transferência",0,-$F3098)))</f>
        <v/>
      </c>
    </row>
    <row r="3099">
      <c r="A3099" s="73" t="n"/>
      <c r="B3099" s="74" t="n"/>
      <c r="C3099" s="74" t="n"/>
      <c r="D3099" s="75">
        <f>IF($C3099="","",IFERROR(INDEX(CAT_TIPO,MATCH($C3099,CAT_NOME,0)),"Sem categoria"))</f>
        <v/>
      </c>
      <c r="E3099" s="75">
        <f>IF($C3099="","",IFERROR(INDEX(CAT_GRUPO,MATCH($C3099,CAT_NOME,0)),"Sem categoria"))</f>
        <v/>
      </c>
      <c r="F3099" s="76" t="n"/>
      <c r="G3099" s="74" t="n"/>
      <c r="H3099" s="74" t="n"/>
      <c r="I3099" s="74" t="n"/>
      <c r="J3099" s="77" t="n"/>
      <c r="K3099" s="77" t="n"/>
      <c r="L3099" s="74" t="n"/>
      <c r="M3099" s="74" t="n"/>
      <c r="O3099" s="78">
        <f>IF($A3099="","",YEAR($A3099)*100+MONTH($A3099))</f>
        <v/>
      </c>
      <c r="P3099" s="79">
        <f>IF(OR($F3099="",$D3099=""),"",IF($D3099="Receita",$F3099,IF($D3099="Transferência",0,-$F3099)))</f>
        <v/>
      </c>
    </row>
    <row r="3100">
      <c r="A3100" s="73" t="n"/>
      <c r="B3100" s="74" t="n"/>
      <c r="C3100" s="74" t="n"/>
      <c r="D3100" s="75">
        <f>IF($C3100="","",IFERROR(INDEX(CAT_TIPO,MATCH($C3100,CAT_NOME,0)),"Sem categoria"))</f>
        <v/>
      </c>
      <c r="E3100" s="75">
        <f>IF($C3100="","",IFERROR(INDEX(CAT_GRUPO,MATCH($C3100,CAT_NOME,0)),"Sem categoria"))</f>
        <v/>
      </c>
      <c r="F3100" s="76" t="n"/>
      <c r="G3100" s="74" t="n"/>
      <c r="H3100" s="74" t="n"/>
      <c r="I3100" s="74" t="n"/>
      <c r="J3100" s="77" t="n"/>
      <c r="K3100" s="77" t="n"/>
      <c r="L3100" s="74" t="n"/>
      <c r="M3100" s="74" t="n"/>
      <c r="O3100" s="78">
        <f>IF($A3100="","",YEAR($A3100)*100+MONTH($A3100))</f>
        <v/>
      </c>
      <c r="P3100" s="79">
        <f>IF(OR($F3100="",$D3100=""),"",IF($D3100="Receita",$F3100,IF($D3100="Transferência",0,-$F3100)))</f>
        <v/>
      </c>
    </row>
    <row r="3101">
      <c r="A3101" s="73" t="n"/>
      <c r="B3101" s="74" t="n"/>
      <c r="C3101" s="74" t="n"/>
      <c r="D3101" s="75">
        <f>IF($C3101="","",IFERROR(INDEX(CAT_TIPO,MATCH($C3101,CAT_NOME,0)),"Sem categoria"))</f>
        <v/>
      </c>
      <c r="E3101" s="75">
        <f>IF($C3101="","",IFERROR(INDEX(CAT_GRUPO,MATCH($C3101,CAT_NOME,0)),"Sem categoria"))</f>
        <v/>
      </c>
      <c r="F3101" s="76" t="n"/>
      <c r="G3101" s="74" t="n"/>
      <c r="H3101" s="74" t="n"/>
      <c r="I3101" s="74" t="n"/>
      <c r="J3101" s="77" t="n"/>
      <c r="K3101" s="77" t="n"/>
      <c r="L3101" s="74" t="n"/>
      <c r="M3101" s="74" t="n"/>
      <c r="O3101" s="78">
        <f>IF($A3101="","",YEAR($A3101)*100+MONTH($A3101))</f>
        <v/>
      </c>
      <c r="P3101" s="79">
        <f>IF(OR($F3101="",$D3101=""),"",IF($D3101="Receita",$F3101,IF($D3101="Transferência",0,-$F3101)))</f>
        <v/>
      </c>
    </row>
    <row r="3102">
      <c r="A3102" s="73" t="n"/>
      <c r="B3102" s="74" t="n"/>
      <c r="C3102" s="74" t="n"/>
      <c r="D3102" s="75">
        <f>IF($C3102="","",IFERROR(INDEX(CAT_TIPO,MATCH($C3102,CAT_NOME,0)),"Sem categoria"))</f>
        <v/>
      </c>
      <c r="E3102" s="75">
        <f>IF($C3102="","",IFERROR(INDEX(CAT_GRUPO,MATCH($C3102,CAT_NOME,0)),"Sem categoria"))</f>
        <v/>
      </c>
      <c r="F3102" s="76" t="n"/>
      <c r="G3102" s="74" t="n"/>
      <c r="H3102" s="74" t="n"/>
      <c r="I3102" s="74" t="n"/>
      <c r="J3102" s="77" t="n"/>
      <c r="K3102" s="77" t="n"/>
      <c r="L3102" s="74" t="n"/>
      <c r="M3102" s="74" t="n"/>
      <c r="O3102" s="78">
        <f>IF($A3102="","",YEAR($A3102)*100+MONTH($A3102))</f>
        <v/>
      </c>
      <c r="P3102" s="79">
        <f>IF(OR($F3102="",$D3102=""),"",IF($D3102="Receita",$F3102,IF($D3102="Transferência",0,-$F3102)))</f>
        <v/>
      </c>
    </row>
    <row r="3103">
      <c r="A3103" s="73" t="n"/>
      <c r="B3103" s="74" t="n"/>
      <c r="C3103" s="74" t="n"/>
      <c r="D3103" s="75">
        <f>IF($C3103="","",IFERROR(INDEX(CAT_TIPO,MATCH($C3103,CAT_NOME,0)),"Sem categoria"))</f>
        <v/>
      </c>
      <c r="E3103" s="75">
        <f>IF($C3103="","",IFERROR(INDEX(CAT_GRUPO,MATCH($C3103,CAT_NOME,0)),"Sem categoria"))</f>
        <v/>
      </c>
      <c r="F3103" s="76" t="n"/>
      <c r="G3103" s="74" t="n"/>
      <c r="H3103" s="74" t="n"/>
      <c r="I3103" s="74" t="n"/>
      <c r="J3103" s="77" t="n"/>
      <c r="K3103" s="77" t="n"/>
      <c r="L3103" s="74" t="n"/>
      <c r="M3103" s="74" t="n"/>
      <c r="O3103" s="78">
        <f>IF($A3103="","",YEAR($A3103)*100+MONTH($A3103))</f>
        <v/>
      </c>
      <c r="P3103" s="79">
        <f>IF(OR($F3103="",$D3103=""),"",IF($D3103="Receita",$F3103,IF($D3103="Transferência",0,-$F3103)))</f>
        <v/>
      </c>
    </row>
    <row r="3104">
      <c r="A3104" s="73" t="n"/>
      <c r="B3104" s="74" t="n"/>
      <c r="C3104" s="74" t="n"/>
      <c r="D3104" s="75">
        <f>IF($C3104="","",IFERROR(INDEX(CAT_TIPO,MATCH($C3104,CAT_NOME,0)),"Sem categoria"))</f>
        <v/>
      </c>
      <c r="E3104" s="75">
        <f>IF($C3104="","",IFERROR(INDEX(CAT_GRUPO,MATCH($C3104,CAT_NOME,0)),"Sem categoria"))</f>
        <v/>
      </c>
      <c r="F3104" s="76" t="n"/>
      <c r="G3104" s="74" t="n"/>
      <c r="H3104" s="74" t="n"/>
      <c r="I3104" s="74" t="n"/>
      <c r="J3104" s="77" t="n"/>
      <c r="K3104" s="77" t="n"/>
      <c r="L3104" s="74" t="n"/>
      <c r="M3104" s="74" t="n"/>
      <c r="O3104" s="78">
        <f>IF($A3104="","",YEAR($A3104)*100+MONTH($A3104))</f>
        <v/>
      </c>
      <c r="P3104" s="79">
        <f>IF(OR($F3104="",$D3104=""),"",IF($D3104="Receita",$F3104,IF($D3104="Transferência",0,-$F3104)))</f>
        <v/>
      </c>
    </row>
    <row r="3105">
      <c r="A3105" s="73" t="n"/>
      <c r="B3105" s="74" t="n"/>
      <c r="C3105" s="74" t="n"/>
      <c r="D3105" s="75">
        <f>IF($C3105="","",IFERROR(INDEX(CAT_TIPO,MATCH($C3105,CAT_NOME,0)),"Sem categoria"))</f>
        <v/>
      </c>
      <c r="E3105" s="75">
        <f>IF($C3105="","",IFERROR(INDEX(CAT_GRUPO,MATCH($C3105,CAT_NOME,0)),"Sem categoria"))</f>
        <v/>
      </c>
      <c r="F3105" s="76" t="n"/>
      <c r="G3105" s="74" t="n"/>
      <c r="H3105" s="74" t="n"/>
      <c r="I3105" s="74" t="n"/>
      <c r="J3105" s="77" t="n"/>
      <c r="K3105" s="77" t="n"/>
      <c r="L3105" s="74" t="n"/>
      <c r="M3105" s="74" t="n"/>
      <c r="O3105" s="78">
        <f>IF($A3105="","",YEAR($A3105)*100+MONTH($A3105))</f>
        <v/>
      </c>
      <c r="P3105" s="79">
        <f>IF(OR($F3105="",$D3105=""),"",IF($D3105="Receita",$F3105,IF($D3105="Transferência",0,-$F3105)))</f>
        <v/>
      </c>
    </row>
    <row r="3106">
      <c r="A3106" s="73" t="n"/>
      <c r="B3106" s="74" t="n"/>
      <c r="C3106" s="74" t="n"/>
      <c r="D3106" s="75">
        <f>IF($C3106="","",IFERROR(INDEX(CAT_TIPO,MATCH($C3106,CAT_NOME,0)),"Sem categoria"))</f>
        <v/>
      </c>
      <c r="E3106" s="75">
        <f>IF($C3106="","",IFERROR(INDEX(CAT_GRUPO,MATCH($C3106,CAT_NOME,0)),"Sem categoria"))</f>
        <v/>
      </c>
      <c r="F3106" s="76" t="n"/>
      <c r="G3106" s="74" t="n"/>
      <c r="H3106" s="74" t="n"/>
      <c r="I3106" s="74" t="n"/>
      <c r="J3106" s="77" t="n"/>
      <c r="K3106" s="77" t="n"/>
      <c r="L3106" s="74" t="n"/>
      <c r="M3106" s="74" t="n"/>
      <c r="O3106" s="78">
        <f>IF($A3106="","",YEAR($A3106)*100+MONTH($A3106))</f>
        <v/>
      </c>
      <c r="P3106" s="79">
        <f>IF(OR($F3106="",$D3106=""),"",IF($D3106="Receita",$F3106,IF($D3106="Transferência",0,-$F3106)))</f>
        <v/>
      </c>
    </row>
    <row r="3107">
      <c r="A3107" s="73" t="n"/>
      <c r="B3107" s="74" t="n"/>
      <c r="C3107" s="74" t="n"/>
      <c r="D3107" s="75">
        <f>IF($C3107="","",IFERROR(INDEX(CAT_TIPO,MATCH($C3107,CAT_NOME,0)),"Sem categoria"))</f>
        <v/>
      </c>
      <c r="E3107" s="75">
        <f>IF($C3107="","",IFERROR(INDEX(CAT_GRUPO,MATCH($C3107,CAT_NOME,0)),"Sem categoria"))</f>
        <v/>
      </c>
      <c r="F3107" s="76" t="n"/>
      <c r="G3107" s="74" t="n"/>
      <c r="H3107" s="74" t="n"/>
      <c r="I3107" s="74" t="n"/>
      <c r="J3107" s="77" t="n"/>
      <c r="K3107" s="77" t="n"/>
      <c r="L3107" s="74" t="n"/>
      <c r="M3107" s="74" t="n"/>
      <c r="O3107" s="78">
        <f>IF($A3107="","",YEAR($A3107)*100+MONTH($A3107))</f>
        <v/>
      </c>
      <c r="P3107" s="79">
        <f>IF(OR($F3107="",$D3107=""),"",IF($D3107="Receita",$F3107,IF($D3107="Transferência",0,-$F3107)))</f>
        <v/>
      </c>
    </row>
    <row r="3108">
      <c r="A3108" s="73" t="n"/>
      <c r="B3108" s="74" t="n"/>
      <c r="C3108" s="74" t="n"/>
      <c r="D3108" s="75">
        <f>IF($C3108="","",IFERROR(INDEX(CAT_TIPO,MATCH($C3108,CAT_NOME,0)),"Sem categoria"))</f>
        <v/>
      </c>
      <c r="E3108" s="75">
        <f>IF($C3108="","",IFERROR(INDEX(CAT_GRUPO,MATCH($C3108,CAT_NOME,0)),"Sem categoria"))</f>
        <v/>
      </c>
      <c r="F3108" s="76" t="n"/>
      <c r="G3108" s="74" t="n"/>
      <c r="H3108" s="74" t="n"/>
      <c r="I3108" s="74" t="n"/>
      <c r="J3108" s="77" t="n"/>
      <c r="K3108" s="77" t="n"/>
      <c r="L3108" s="74" t="n"/>
      <c r="M3108" s="74" t="n"/>
      <c r="O3108" s="78">
        <f>IF($A3108="","",YEAR($A3108)*100+MONTH($A3108))</f>
        <v/>
      </c>
      <c r="P3108" s="79">
        <f>IF(OR($F3108="",$D3108=""),"",IF($D3108="Receita",$F3108,IF($D3108="Transferência",0,-$F3108)))</f>
        <v/>
      </c>
    </row>
    <row r="3109">
      <c r="A3109" s="73" t="n"/>
      <c r="B3109" s="74" t="n"/>
      <c r="C3109" s="74" t="n"/>
      <c r="D3109" s="75">
        <f>IF($C3109="","",IFERROR(INDEX(CAT_TIPO,MATCH($C3109,CAT_NOME,0)),"Sem categoria"))</f>
        <v/>
      </c>
      <c r="E3109" s="75">
        <f>IF($C3109="","",IFERROR(INDEX(CAT_GRUPO,MATCH($C3109,CAT_NOME,0)),"Sem categoria"))</f>
        <v/>
      </c>
      <c r="F3109" s="76" t="n"/>
      <c r="G3109" s="74" t="n"/>
      <c r="H3109" s="74" t="n"/>
      <c r="I3109" s="74" t="n"/>
      <c r="J3109" s="77" t="n"/>
      <c r="K3109" s="77" t="n"/>
      <c r="L3109" s="74" t="n"/>
      <c r="M3109" s="74" t="n"/>
      <c r="O3109" s="78">
        <f>IF($A3109="","",YEAR($A3109)*100+MONTH($A3109))</f>
        <v/>
      </c>
      <c r="P3109" s="79">
        <f>IF(OR($F3109="",$D3109=""),"",IF($D3109="Receita",$F3109,IF($D3109="Transferência",0,-$F3109)))</f>
        <v/>
      </c>
    </row>
    <row r="3110">
      <c r="A3110" s="73" t="n"/>
      <c r="B3110" s="74" t="n"/>
      <c r="C3110" s="74" t="n"/>
      <c r="D3110" s="75">
        <f>IF($C3110="","",IFERROR(INDEX(CAT_TIPO,MATCH($C3110,CAT_NOME,0)),"Sem categoria"))</f>
        <v/>
      </c>
      <c r="E3110" s="75">
        <f>IF($C3110="","",IFERROR(INDEX(CAT_GRUPO,MATCH($C3110,CAT_NOME,0)),"Sem categoria"))</f>
        <v/>
      </c>
      <c r="F3110" s="76" t="n"/>
      <c r="G3110" s="74" t="n"/>
      <c r="H3110" s="74" t="n"/>
      <c r="I3110" s="74" t="n"/>
      <c r="J3110" s="77" t="n"/>
      <c r="K3110" s="77" t="n"/>
      <c r="L3110" s="74" t="n"/>
      <c r="M3110" s="74" t="n"/>
      <c r="O3110" s="78">
        <f>IF($A3110="","",YEAR($A3110)*100+MONTH($A3110))</f>
        <v/>
      </c>
      <c r="P3110" s="79">
        <f>IF(OR($F3110="",$D3110=""),"",IF($D3110="Receita",$F3110,IF($D3110="Transferência",0,-$F3110)))</f>
        <v/>
      </c>
    </row>
    <row r="3111">
      <c r="A3111" s="73" t="n"/>
      <c r="B3111" s="74" t="n"/>
      <c r="C3111" s="74" t="n"/>
      <c r="D3111" s="75">
        <f>IF($C3111="","",IFERROR(INDEX(CAT_TIPO,MATCH($C3111,CAT_NOME,0)),"Sem categoria"))</f>
        <v/>
      </c>
      <c r="E3111" s="75">
        <f>IF($C3111="","",IFERROR(INDEX(CAT_GRUPO,MATCH($C3111,CAT_NOME,0)),"Sem categoria"))</f>
        <v/>
      </c>
      <c r="F3111" s="76" t="n"/>
      <c r="G3111" s="74" t="n"/>
      <c r="H3111" s="74" t="n"/>
      <c r="I3111" s="74" t="n"/>
      <c r="J3111" s="77" t="n"/>
      <c r="K3111" s="77" t="n"/>
      <c r="L3111" s="74" t="n"/>
      <c r="M3111" s="74" t="n"/>
      <c r="O3111" s="78">
        <f>IF($A3111="","",YEAR($A3111)*100+MONTH($A3111))</f>
        <v/>
      </c>
      <c r="P3111" s="79">
        <f>IF(OR($F3111="",$D3111=""),"",IF($D3111="Receita",$F3111,IF($D3111="Transferência",0,-$F3111)))</f>
        <v/>
      </c>
    </row>
    <row r="3112">
      <c r="A3112" s="73" t="n"/>
      <c r="B3112" s="74" t="n"/>
      <c r="C3112" s="74" t="n"/>
      <c r="D3112" s="75">
        <f>IF($C3112="","",IFERROR(INDEX(CAT_TIPO,MATCH($C3112,CAT_NOME,0)),"Sem categoria"))</f>
        <v/>
      </c>
      <c r="E3112" s="75">
        <f>IF($C3112="","",IFERROR(INDEX(CAT_GRUPO,MATCH($C3112,CAT_NOME,0)),"Sem categoria"))</f>
        <v/>
      </c>
      <c r="F3112" s="76" t="n"/>
      <c r="G3112" s="74" t="n"/>
      <c r="H3112" s="74" t="n"/>
      <c r="I3112" s="74" t="n"/>
      <c r="J3112" s="77" t="n"/>
      <c r="K3112" s="77" t="n"/>
      <c r="L3112" s="74" t="n"/>
      <c r="M3112" s="74" t="n"/>
      <c r="O3112" s="78">
        <f>IF($A3112="","",YEAR($A3112)*100+MONTH($A3112))</f>
        <v/>
      </c>
      <c r="P3112" s="79">
        <f>IF(OR($F3112="",$D3112=""),"",IF($D3112="Receita",$F3112,IF($D3112="Transferência",0,-$F3112)))</f>
        <v/>
      </c>
    </row>
    <row r="3113">
      <c r="A3113" s="73" t="n"/>
      <c r="B3113" s="74" t="n"/>
      <c r="C3113" s="74" t="n"/>
      <c r="D3113" s="75">
        <f>IF($C3113="","",IFERROR(INDEX(CAT_TIPO,MATCH($C3113,CAT_NOME,0)),"Sem categoria"))</f>
        <v/>
      </c>
      <c r="E3113" s="75">
        <f>IF($C3113="","",IFERROR(INDEX(CAT_GRUPO,MATCH($C3113,CAT_NOME,0)),"Sem categoria"))</f>
        <v/>
      </c>
      <c r="F3113" s="76" t="n"/>
      <c r="G3113" s="74" t="n"/>
      <c r="H3113" s="74" t="n"/>
      <c r="I3113" s="74" t="n"/>
      <c r="J3113" s="77" t="n"/>
      <c r="K3113" s="77" t="n"/>
      <c r="L3113" s="74" t="n"/>
      <c r="M3113" s="74" t="n"/>
      <c r="O3113" s="78">
        <f>IF($A3113="","",YEAR($A3113)*100+MONTH($A3113))</f>
        <v/>
      </c>
      <c r="P3113" s="79">
        <f>IF(OR($F3113="",$D3113=""),"",IF($D3113="Receita",$F3113,IF($D3113="Transferência",0,-$F3113)))</f>
        <v/>
      </c>
    </row>
    <row r="3114">
      <c r="A3114" s="73" t="n"/>
      <c r="B3114" s="74" t="n"/>
      <c r="C3114" s="74" t="n"/>
      <c r="D3114" s="75">
        <f>IF($C3114="","",IFERROR(INDEX(CAT_TIPO,MATCH($C3114,CAT_NOME,0)),"Sem categoria"))</f>
        <v/>
      </c>
      <c r="E3114" s="75">
        <f>IF($C3114="","",IFERROR(INDEX(CAT_GRUPO,MATCH($C3114,CAT_NOME,0)),"Sem categoria"))</f>
        <v/>
      </c>
      <c r="F3114" s="76" t="n"/>
      <c r="G3114" s="74" t="n"/>
      <c r="H3114" s="74" t="n"/>
      <c r="I3114" s="74" t="n"/>
      <c r="J3114" s="77" t="n"/>
      <c r="K3114" s="77" t="n"/>
      <c r="L3114" s="74" t="n"/>
      <c r="M3114" s="74" t="n"/>
      <c r="O3114" s="78">
        <f>IF($A3114="","",YEAR($A3114)*100+MONTH($A3114))</f>
        <v/>
      </c>
      <c r="P3114" s="79">
        <f>IF(OR($F3114="",$D3114=""),"",IF($D3114="Receita",$F3114,IF($D3114="Transferência",0,-$F3114)))</f>
        <v/>
      </c>
    </row>
    <row r="3115">
      <c r="A3115" s="73" t="n"/>
      <c r="B3115" s="74" t="n"/>
      <c r="C3115" s="74" t="n"/>
      <c r="D3115" s="75">
        <f>IF($C3115="","",IFERROR(INDEX(CAT_TIPO,MATCH($C3115,CAT_NOME,0)),"Sem categoria"))</f>
        <v/>
      </c>
      <c r="E3115" s="75">
        <f>IF($C3115="","",IFERROR(INDEX(CAT_GRUPO,MATCH($C3115,CAT_NOME,0)),"Sem categoria"))</f>
        <v/>
      </c>
      <c r="F3115" s="76" t="n"/>
      <c r="G3115" s="74" t="n"/>
      <c r="H3115" s="74" t="n"/>
      <c r="I3115" s="74" t="n"/>
      <c r="J3115" s="77" t="n"/>
      <c r="K3115" s="77" t="n"/>
      <c r="L3115" s="74" t="n"/>
      <c r="M3115" s="74" t="n"/>
      <c r="O3115" s="78">
        <f>IF($A3115="","",YEAR($A3115)*100+MONTH($A3115))</f>
        <v/>
      </c>
      <c r="P3115" s="79">
        <f>IF(OR($F3115="",$D3115=""),"",IF($D3115="Receita",$F3115,IF($D3115="Transferência",0,-$F3115)))</f>
        <v/>
      </c>
    </row>
    <row r="3116">
      <c r="A3116" s="73" t="n"/>
      <c r="B3116" s="74" t="n"/>
      <c r="C3116" s="74" t="n"/>
      <c r="D3116" s="75">
        <f>IF($C3116="","",IFERROR(INDEX(CAT_TIPO,MATCH($C3116,CAT_NOME,0)),"Sem categoria"))</f>
        <v/>
      </c>
      <c r="E3116" s="75">
        <f>IF($C3116="","",IFERROR(INDEX(CAT_GRUPO,MATCH($C3116,CAT_NOME,0)),"Sem categoria"))</f>
        <v/>
      </c>
      <c r="F3116" s="76" t="n"/>
      <c r="G3116" s="74" t="n"/>
      <c r="H3116" s="74" t="n"/>
      <c r="I3116" s="74" t="n"/>
      <c r="J3116" s="77" t="n"/>
      <c r="K3116" s="77" t="n"/>
      <c r="L3116" s="74" t="n"/>
      <c r="M3116" s="74" t="n"/>
      <c r="O3116" s="78">
        <f>IF($A3116="","",YEAR($A3116)*100+MONTH($A3116))</f>
        <v/>
      </c>
      <c r="P3116" s="79">
        <f>IF(OR($F3116="",$D3116=""),"",IF($D3116="Receita",$F3116,IF($D3116="Transferência",0,-$F3116)))</f>
        <v/>
      </c>
    </row>
    <row r="3117">
      <c r="A3117" s="73" t="n"/>
      <c r="B3117" s="74" t="n"/>
      <c r="C3117" s="74" t="n"/>
      <c r="D3117" s="75">
        <f>IF($C3117="","",IFERROR(INDEX(CAT_TIPO,MATCH($C3117,CAT_NOME,0)),"Sem categoria"))</f>
        <v/>
      </c>
      <c r="E3117" s="75">
        <f>IF($C3117="","",IFERROR(INDEX(CAT_GRUPO,MATCH($C3117,CAT_NOME,0)),"Sem categoria"))</f>
        <v/>
      </c>
      <c r="F3117" s="76" t="n"/>
      <c r="G3117" s="74" t="n"/>
      <c r="H3117" s="74" t="n"/>
      <c r="I3117" s="74" t="n"/>
      <c r="J3117" s="77" t="n"/>
      <c r="K3117" s="77" t="n"/>
      <c r="L3117" s="74" t="n"/>
      <c r="M3117" s="74" t="n"/>
      <c r="O3117" s="78">
        <f>IF($A3117="","",YEAR($A3117)*100+MONTH($A3117))</f>
        <v/>
      </c>
      <c r="P3117" s="79">
        <f>IF(OR($F3117="",$D3117=""),"",IF($D3117="Receita",$F3117,IF($D3117="Transferência",0,-$F3117)))</f>
        <v/>
      </c>
    </row>
    <row r="3118">
      <c r="A3118" s="73" t="n"/>
      <c r="B3118" s="74" t="n"/>
      <c r="C3118" s="74" t="n"/>
      <c r="D3118" s="75">
        <f>IF($C3118="","",IFERROR(INDEX(CAT_TIPO,MATCH($C3118,CAT_NOME,0)),"Sem categoria"))</f>
        <v/>
      </c>
      <c r="E3118" s="75">
        <f>IF($C3118="","",IFERROR(INDEX(CAT_GRUPO,MATCH($C3118,CAT_NOME,0)),"Sem categoria"))</f>
        <v/>
      </c>
      <c r="F3118" s="76" t="n"/>
      <c r="G3118" s="74" t="n"/>
      <c r="H3118" s="74" t="n"/>
      <c r="I3118" s="74" t="n"/>
      <c r="J3118" s="77" t="n"/>
      <c r="K3118" s="77" t="n"/>
      <c r="L3118" s="74" t="n"/>
      <c r="M3118" s="74" t="n"/>
      <c r="O3118" s="78">
        <f>IF($A3118="","",YEAR($A3118)*100+MONTH($A3118))</f>
        <v/>
      </c>
      <c r="P3118" s="79">
        <f>IF(OR($F3118="",$D3118=""),"",IF($D3118="Receita",$F3118,IF($D3118="Transferência",0,-$F3118)))</f>
        <v/>
      </c>
    </row>
    <row r="3119">
      <c r="A3119" s="73" t="n"/>
      <c r="B3119" s="74" t="n"/>
      <c r="C3119" s="74" t="n"/>
      <c r="D3119" s="75">
        <f>IF($C3119="","",IFERROR(INDEX(CAT_TIPO,MATCH($C3119,CAT_NOME,0)),"Sem categoria"))</f>
        <v/>
      </c>
      <c r="E3119" s="75">
        <f>IF($C3119="","",IFERROR(INDEX(CAT_GRUPO,MATCH($C3119,CAT_NOME,0)),"Sem categoria"))</f>
        <v/>
      </c>
      <c r="F3119" s="76" t="n"/>
      <c r="G3119" s="74" t="n"/>
      <c r="H3119" s="74" t="n"/>
      <c r="I3119" s="74" t="n"/>
      <c r="J3119" s="77" t="n"/>
      <c r="K3119" s="77" t="n"/>
      <c r="L3119" s="74" t="n"/>
      <c r="M3119" s="74" t="n"/>
      <c r="O3119" s="78">
        <f>IF($A3119="","",YEAR($A3119)*100+MONTH($A3119))</f>
        <v/>
      </c>
      <c r="P3119" s="79">
        <f>IF(OR($F3119="",$D3119=""),"",IF($D3119="Receita",$F3119,IF($D3119="Transferência",0,-$F3119)))</f>
        <v/>
      </c>
    </row>
    <row r="3120">
      <c r="A3120" s="73" t="n"/>
      <c r="B3120" s="74" t="n"/>
      <c r="C3120" s="74" t="n"/>
      <c r="D3120" s="75">
        <f>IF($C3120="","",IFERROR(INDEX(CAT_TIPO,MATCH($C3120,CAT_NOME,0)),"Sem categoria"))</f>
        <v/>
      </c>
      <c r="E3120" s="75">
        <f>IF($C3120="","",IFERROR(INDEX(CAT_GRUPO,MATCH($C3120,CAT_NOME,0)),"Sem categoria"))</f>
        <v/>
      </c>
      <c r="F3120" s="76" t="n"/>
      <c r="G3120" s="74" t="n"/>
      <c r="H3120" s="74" t="n"/>
      <c r="I3120" s="74" t="n"/>
      <c r="J3120" s="77" t="n"/>
      <c r="K3120" s="77" t="n"/>
      <c r="L3120" s="74" t="n"/>
      <c r="M3120" s="74" t="n"/>
      <c r="O3120" s="78">
        <f>IF($A3120="","",YEAR($A3120)*100+MONTH($A3120))</f>
        <v/>
      </c>
      <c r="P3120" s="79">
        <f>IF(OR($F3120="",$D3120=""),"",IF($D3120="Receita",$F3120,IF($D3120="Transferência",0,-$F3120)))</f>
        <v/>
      </c>
    </row>
    <row r="3121">
      <c r="A3121" s="73" t="n"/>
      <c r="B3121" s="74" t="n"/>
      <c r="C3121" s="74" t="n"/>
      <c r="D3121" s="75">
        <f>IF($C3121="","",IFERROR(INDEX(CAT_TIPO,MATCH($C3121,CAT_NOME,0)),"Sem categoria"))</f>
        <v/>
      </c>
      <c r="E3121" s="75">
        <f>IF($C3121="","",IFERROR(INDEX(CAT_GRUPO,MATCH($C3121,CAT_NOME,0)),"Sem categoria"))</f>
        <v/>
      </c>
      <c r="F3121" s="76" t="n"/>
      <c r="G3121" s="74" t="n"/>
      <c r="H3121" s="74" t="n"/>
      <c r="I3121" s="74" t="n"/>
      <c r="J3121" s="77" t="n"/>
      <c r="K3121" s="77" t="n"/>
      <c r="L3121" s="74" t="n"/>
      <c r="M3121" s="74" t="n"/>
      <c r="O3121" s="78">
        <f>IF($A3121="","",YEAR($A3121)*100+MONTH($A3121))</f>
        <v/>
      </c>
      <c r="P3121" s="79">
        <f>IF(OR($F3121="",$D3121=""),"",IF($D3121="Receita",$F3121,IF($D3121="Transferência",0,-$F3121)))</f>
        <v/>
      </c>
    </row>
    <row r="3122">
      <c r="A3122" s="73" t="n"/>
      <c r="B3122" s="74" t="n"/>
      <c r="C3122" s="74" t="n"/>
      <c r="D3122" s="75">
        <f>IF($C3122="","",IFERROR(INDEX(CAT_TIPO,MATCH($C3122,CAT_NOME,0)),"Sem categoria"))</f>
        <v/>
      </c>
      <c r="E3122" s="75">
        <f>IF($C3122="","",IFERROR(INDEX(CAT_GRUPO,MATCH($C3122,CAT_NOME,0)),"Sem categoria"))</f>
        <v/>
      </c>
      <c r="F3122" s="76" t="n"/>
      <c r="G3122" s="74" t="n"/>
      <c r="H3122" s="74" t="n"/>
      <c r="I3122" s="74" t="n"/>
      <c r="J3122" s="77" t="n"/>
      <c r="K3122" s="77" t="n"/>
      <c r="L3122" s="74" t="n"/>
      <c r="M3122" s="74" t="n"/>
      <c r="O3122" s="78">
        <f>IF($A3122="","",YEAR($A3122)*100+MONTH($A3122))</f>
        <v/>
      </c>
      <c r="P3122" s="79">
        <f>IF(OR($F3122="",$D3122=""),"",IF($D3122="Receita",$F3122,IF($D3122="Transferência",0,-$F3122)))</f>
        <v/>
      </c>
    </row>
    <row r="3123">
      <c r="A3123" s="73" t="n"/>
      <c r="B3123" s="74" t="n"/>
      <c r="C3123" s="74" t="n"/>
      <c r="D3123" s="75">
        <f>IF($C3123="","",IFERROR(INDEX(CAT_TIPO,MATCH($C3123,CAT_NOME,0)),"Sem categoria"))</f>
        <v/>
      </c>
      <c r="E3123" s="75">
        <f>IF($C3123="","",IFERROR(INDEX(CAT_GRUPO,MATCH($C3123,CAT_NOME,0)),"Sem categoria"))</f>
        <v/>
      </c>
      <c r="F3123" s="76" t="n"/>
      <c r="G3123" s="74" t="n"/>
      <c r="H3123" s="74" t="n"/>
      <c r="I3123" s="74" t="n"/>
      <c r="J3123" s="77" t="n"/>
      <c r="K3123" s="77" t="n"/>
      <c r="L3123" s="74" t="n"/>
      <c r="M3123" s="74" t="n"/>
      <c r="O3123" s="78">
        <f>IF($A3123="","",YEAR($A3123)*100+MONTH($A3123))</f>
        <v/>
      </c>
      <c r="P3123" s="79">
        <f>IF(OR($F3123="",$D3123=""),"",IF($D3123="Receita",$F3123,IF($D3123="Transferência",0,-$F3123)))</f>
        <v/>
      </c>
    </row>
    <row r="3124">
      <c r="A3124" s="73" t="n"/>
      <c r="B3124" s="74" t="n"/>
      <c r="C3124" s="74" t="n"/>
      <c r="D3124" s="75">
        <f>IF($C3124="","",IFERROR(INDEX(CAT_TIPO,MATCH($C3124,CAT_NOME,0)),"Sem categoria"))</f>
        <v/>
      </c>
      <c r="E3124" s="75">
        <f>IF($C3124="","",IFERROR(INDEX(CAT_GRUPO,MATCH($C3124,CAT_NOME,0)),"Sem categoria"))</f>
        <v/>
      </c>
      <c r="F3124" s="76" t="n"/>
      <c r="G3124" s="74" t="n"/>
      <c r="H3124" s="74" t="n"/>
      <c r="I3124" s="74" t="n"/>
      <c r="J3124" s="77" t="n"/>
      <c r="K3124" s="77" t="n"/>
      <c r="L3124" s="74" t="n"/>
      <c r="M3124" s="74" t="n"/>
      <c r="O3124" s="78">
        <f>IF($A3124="","",YEAR($A3124)*100+MONTH($A3124))</f>
        <v/>
      </c>
      <c r="P3124" s="79">
        <f>IF(OR($F3124="",$D3124=""),"",IF($D3124="Receita",$F3124,IF($D3124="Transferência",0,-$F3124)))</f>
        <v/>
      </c>
    </row>
    <row r="3125">
      <c r="A3125" s="73" t="n"/>
      <c r="B3125" s="74" t="n"/>
      <c r="C3125" s="74" t="n"/>
      <c r="D3125" s="75">
        <f>IF($C3125="","",IFERROR(INDEX(CAT_TIPO,MATCH($C3125,CAT_NOME,0)),"Sem categoria"))</f>
        <v/>
      </c>
      <c r="E3125" s="75">
        <f>IF($C3125="","",IFERROR(INDEX(CAT_GRUPO,MATCH($C3125,CAT_NOME,0)),"Sem categoria"))</f>
        <v/>
      </c>
      <c r="F3125" s="76" t="n"/>
      <c r="G3125" s="74" t="n"/>
      <c r="H3125" s="74" t="n"/>
      <c r="I3125" s="74" t="n"/>
      <c r="J3125" s="77" t="n"/>
      <c r="K3125" s="77" t="n"/>
      <c r="L3125" s="74" t="n"/>
      <c r="M3125" s="74" t="n"/>
      <c r="O3125" s="78">
        <f>IF($A3125="","",YEAR($A3125)*100+MONTH($A3125))</f>
        <v/>
      </c>
      <c r="P3125" s="79">
        <f>IF(OR($F3125="",$D3125=""),"",IF($D3125="Receita",$F3125,IF($D3125="Transferência",0,-$F3125)))</f>
        <v/>
      </c>
    </row>
    <row r="3126">
      <c r="A3126" s="73" t="n"/>
      <c r="B3126" s="74" t="n"/>
      <c r="C3126" s="74" t="n"/>
      <c r="D3126" s="75">
        <f>IF($C3126="","",IFERROR(INDEX(CAT_TIPO,MATCH($C3126,CAT_NOME,0)),"Sem categoria"))</f>
        <v/>
      </c>
      <c r="E3126" s="75">
        <f>IF($C3126="","",IFERROR(INDEX(CAT_GRUPO,MATCH($C3126,CAT_NOME,0)),"Sem categoria"))</f>
        <v/>
      </c>
      <c r="F3126" s="76" t="n"/>
      <c r="G3126" s="74" t="n"/>
      <c r="H3126" s="74" t="n"/>
      <c r="I3126" s="74" t="n"/>
      <c r="J3126" s="77" t="n"/>
      <c r="K3126" s="77" t="n"/>
      <c r="L3126" s="74" t="n"/>
      <c r="M3126" s="74" t="n"/>
      <c r="O3126" s="78">
        <f>IF($A3126="","",YEAR($A3126)*100+MONTH($A3126))</f>
        <v/>
      </c>
      <c r="P3126" s="79">
        <f>IF(OR($F3126="",$D3126=""),"",IF($D3126="Receita",$F3126,IF($D3126="Transferência",0,-$F3126)))</f>
        <v/>
      </c>
    </row>
    <row r="3127">
      <c r="A3127" s="73" t="n"/>
      <c r="B3127" s="74" t="n"/>
      <c r="C3127" s="74" t="n"/>
      <c r="D3127" s="75">
        <f>IF($C3127="","",IFERROR(INDEX(CAT_TIPO,MATCH($C3127,CAT_NOME,0)),"Sem categoria"))</f>
        <v/>
      </c>
      <c r="E3127" s="75">
        <f>IF($C3127="","",IFERROR(INDEX(CAT_GRUPO,MATCH($C3127,CAT_NOME,0)),"Sem categoria"))</f>
        <v/>
      </c>
      <c r="F3127" s="76" t="n"/>
      <c r="G3127" s="74" t="n"/>
      <c r="H3127" s="74" t="n"/>
      <c r="I3127" s="74" t="n"/>
      <c r="J3127" s="77" t="n"/>
      <c r="K3127" s="77" t="n"/>
      <c r="L3127" s="74" t="n"/>
      <c r="M3127" s="74" t="n"/>
      <c r="O3127" s="78">
        <f>IF($A3127="","",YEAR($A3127)*100+MONTH($A3127))</f>
        <v/>
      </c>
      <c r="P3127" s="79">
        <f>IF(OR($F3127="",$D3127=""),"",IF($D3127="Receita",$F3127,IF($D3127="Transferência",0,-$F3127)))</f>
        <v/>
      </c>
    </row>
    <row r="3128">
      <c r="A3128" s="73" t="n"/>
      <c r="B3128" s="74" t="n"/>
      <c r="C3128" s="74" t="n"/>
      <c r="D3128" s="75">
        <f>IF($C3128="","",IFERROR(INDEX(CAT_TIPO,MATCH($C3128,CAT_NOME,0)),"Sem categoria"))</f>
        <v/>
      </c>
      <c r="E3128" s="75">
        <f>IF($C3128="","",IFERROR(INDEX(CAT_GRUPO,MATCH($C3128,CAT_NOME,0)),"Sem categoria"))</f>
        <v/>
      </c>
      <c r="F3128" s="76" t="n"/>
      <c r="G3128" s="74" t="n"/>
      <c r="H3128" s="74" t="n"/>
      <c r="I3128" s="74" t="n"/>
      <c r="J3128" s="77" t="n"/>
      <c r="K3128" s="77" t="n"/>
      <c r="L3128" s="74" t="n"/>
      <c r="M3128" s="74" t="n"/>
      <c r="O3128" s="78">
        <f>IF($A3128="","",YEAR($A3128)*100+MONTH($A3128))</f>
        <v/>
      </c>
      <c r="P3128" s="79">
        <f>IF(OR($F3128="",$D3128=""),"",IF($D3128="Receita",$F3128,IF($D3128="Transferência",0,-$F3128)))</f>
        <v/>
      </c>
    </row>
    <row r="3129">
      <c r="A3129" s="73" t="n"/>
      <c r="B3129" s="74" t="n"/>
      <c r="C3129" s="74" t="n"/>
      <c r="D3129" s="75">
        <f>IF($C3129="","",IFERROR(INDEX(CAT_TIPO,MATCH($C3129,CAT_NOME,0)),"Sem categoria"))</f>
        <v/>
      </c>
      <c r="E3129" s="75">
        <f>IF($C3129="","",IFERROR(INDEX(CAT_GRUPO,MATCH($C3129,CAT_NOME,0)),"Sem categoria"))</f>
        <v/>
      </c>
      <c r="F3129" s="76" t="n"/>
      <c r="G3129" s="74" t="n"/>
      <c r="H3129" s="74" t="n"/>
      <c r="I3129" s="74" t="n"/>
      <c r="J3129" s="77" t="n"/>
      <c r="K3129" s="77" t="n"/>
      <c r="L3129" s="74" t="n"/>
      <c r="M3129" s="74" t="n"/>
      <c r="O3129" s="78">
        <f>IF($A3129="","",YEAR($A3129)*100+MONTH($A3129))</f>
        <v/>
      </c>
      <c r="P3129" s="79">
        <f>IF(OR($F3129="",$D3129=""),"",IF($D3129="Receita",$F3129,IF($D3129="Transferência",0,-$F3129)))</f>
        <v/>
      </c>
    </row>
    <row r="3130">
      <c r="A3130" s="73" t="n"/>
      <c r="B3130" s="74" t="n"/>
      <c r="C3130" s="74" t="n"/>
      <c r="D3130" s="75">
        <f>IF($C3130="","",IFERROR(INDEX(CAT_TIPO,MATCH($C3130,CAT_NOME,0)),"Sem categoria"))</f>
        <v/>
      </c>
      <c r="E3130" s="75">
        <f>IF($C3130="","",IFERROR(INDEX(CAT_GRUPO,MATCH($C3130,CAT_NOME,0)),"Sem categoria"))</f>
        <v/>
      </c>
      <c r="F3130" s="76" t="n"/>
      <c r="G3130" s="74" t="n"/>
      <c r="H3130" s="74" t="n"/>
      <c r="I3130" s="74" t="n"/>
      <c r="J3130" s="77" t="n"/>
      <c r="K3130" s="77" t="n"/>
      <c r="L3130" s="74" t="n"/>
      <c r="M3130" s="74" t="n"/>
      <c r="O3130" s="78">
        <f>IF($A3130="","",YEAR($A3130)*100+MONTH($A3130))</f>
        <v/>
      </c>
      <c r="P3130" s="79">
        <f>IF(OR($F3130="",$D3130=""),"",IF($D3130="Receita",$F3130,IF($D3130="Transferência",0,-$F3130)))</f>
        <v/>
      </c>
    </row>
    <row r="3131">
      <c r="A3131" s="73" t="n"/>
      <c r="B3131" s="74" t="n"/>
      <c r="C3131" s="74" t="n"/>
      <c r="D3131" s="75">
        <f>IF($C3131="","",IFERROR(INDEX(CAT_TIPO,MATCH($C3131,CAT_NOME,0)),"Sem categoria"))</f>
        <v/>
      </c>
      <c r="E3131" s="75">
        <f>IF($C3131="","",IFERROR(INDEX(CAT_GRUPO,MATCH($C3131,CAT_NOME,0)),"Sem categoria"))</f>
        <v/>
      </c>
      <c r="F3131" s="76" t="n"/>
      <c r="G3131" s="74" t="n"/>
      <c r="H3131" s="74" t="n"/>
      <c r="I3131" s="74" t="n"/>
      <c r="J3131" s="77" t="n"/>
      <c r="K3131" s="77" t="n"/>
      <c r="L3131" s="74" t="n"/>
      <c r="M3131" s="74" t="n"/>
      <c r="O3131" s="78">
        <f>IF($A3131="","",YEAR($A3131)*100+MONTH($A3131))</f>
        <v/>
      </c>
      <c r="P3131" s="79">
        <f>IF(OR($F3131="",$D3131=""),"",IF($D3131="Receita",$F3131,IF($D3131="Transferência",0,-$F3131)))</f>
        <v/>
      </c>
    </row>
    <row r="3132">
      <c r="A3132" s="73" t="n"/>
      <c r="B3132" s="74" t="n"/>
      <c r="C3132" s="74" t="n"/>
      <c r="D3132" s="75">
        <f>IF($C3132="","",IFERROR(INDEX(CAT_TIPO,MATCH($C3132,CAT_NOME,0)),"Sem categoria"))</f>
        <v/>
      </c>
      <c r="E3132" s="75">
        <f>IF($C3132="","",IFERROR(INDEX(CAT_GRUPO,MATCH($C3132,CAT_NOME,0)),"Sem categoria"))</f>
        <v/>
      </c>
      <c r="F3132" s="76" t="n"/>
      <c r="G3132" s="74" t="n"/>
      <c r="H3132" s="74" t="n"/>
      <c r="I3132" s="74" t="n"/>
      <c r="J3132" s="77" t="n"/>
      <c r="K3132" s="77" t="n"/>
      <c r="L3132" s="74" t="n"/>
      <c r="M3132" s="74" t="n"/>
      <c r="O3132" s="78">
        <f>IF($A3132="","",YEAR($A3132)*100+MONTH($A3132))</f>
        <v/>
      </c>
      <c r="P3132" s="79">
        <f>IF(OR($F3132="",$D3132=""),"",IF($D3132="Receita",$F3132,IF($D3132="Transferência",0,-$F3132)))</f>
        <v/>
      </c>
    </row>
    <row r="3133">
      <c r="A3133" s="73" t="n"/>
      <c r="B3133" s="74" t="n"/>
      <c r="C3133" s="74" t="n"/>
      <c r="D3133" s="75">
        <f>IF($C3133="","",IFERROR(INDEX(CAT_TIPO,MATCH($C3133,CAT_NOME,0)),"Sem categoria"))</f>
        <v/>
      </c>
      <c r="E3133" s="75">
        <f>IF($C3133="","",IFERROR(INDEX(CAT_GRUPO,MATCH($C3133,CAT_NOME,0)),"Sem categoria"))</f>
        <v/>
      </c>
      <c r="F3133" s="76" t="n"/>
      <c r="G3133" s="74" t="n"/>
      <c r="H3133" s="74" t="n"/>
      <c r="I3133" s="74" t="n"/>
      <c r="J3133" s="77" t="n"/>
      <c r="K3133" s="77" t="n"/>
      <c r="L3133" s="74" t="n"/>
      <c r="M3133" s="74" t="n"/>
      <c r="O3133" s="78">
        <f>IF($A3133="","",YEAR($A3133)*100+MONTH($A3133))</f>
        <v/>
      </c>
      <c r="P3133" s="79">
        <f>IF(OR($F3133="",$D3133=""),"",IF($D3133="Receita",$F3133,IF($D3133="Transferência",0,-$F3133)))</f>
        <v/>
      </c>
    </row>
    <row r="3134">
      <c r="A3134" s="73" t="n"/>
      <c r="B3134" s="74" t="n"/>
      <c r="C3134" s="74" t="n"/>
      <c r="D3134" s="75">
        <f>IF($C3134="","",IFERROR(INDEX(CAT_TIPO,MATCH($C3134,CAT_NOME,0)),"Sem categoria"))</f>
        <v/>
      </c>
      <c r="E3134" s="75">
        <f>IF($C3134="","",IFERROR(INDEX(CAT_GRUPO,MATCH($C3134,CAT_NOME,0)),"Sem categoria"))</f>
        <v/>
      </c>
      <c r="F3134" s="76" t="n"/>
      <c r="G3134" s="74" t="n"/>
      <c r="H3134" s="74" t="n"/>
      <c r="I3134" s="74" t="n"/>
      <c r="J3134" s="77" t="n"/>
      <c r="K3134" s="77" t="n"/>
      <c r="L3134" s="74" t="n"/>
      <c r="M3134" s="74" t="n"/>
      <c r="O3134" s="78">
        <f>IF($A3134="","",YEAR($A3134)*100+MONTH($A3134))</f>
        <v/>
      </c>
      <c r="P3134" s="79">
        <f>IF(OR($F3134="",$D3134=""),"",IF($D3134="Receita",$F3134,IF($D3134="Transferência",0,-$F3134)))</f>
        <v/>
      </c>
    </row>
    <row r="3135">
      <c r="A3135" s="73" t="n"/>
      <c r="B3135" s="74" t="n"/>
      <c r="C3135" s="74" t="n"/>
      <c r="D3135" s="75">
        <f>IF($C3135="","",IFERROR(INDEX(CAT_TIPO,MATCH($C3135,CAT_NOME,0)),"Sem categoria"))</f>
        <v/>
      </c>
      <c r="E3135" s="75">
        <f>IF($C3135="","",IFERROR(INDEX(CAT_GRUPO,MATCH($C3135,CAT_NOME,0)),"Sem categoria"))</f>
        <v/>
      </c>
      <c r="F3135" s="76" t="n"/>
      <c r="G3135" s="74" t="n"/>
      <c r="H3135" s="74" t="n"/>
      <c r="I3135" s="74" t="n"/>
      <c r="J3135" s="77" t="n"/>
      <c r="K3135" s="77" t="n"/>
      <c r="L3135" s="74" t="n"/>
      <c r="M3135" s="74" t="n"/>
      <c r="O3135" s="78">
        <f>IF($A3135="","",YEAR($A3135)*100+MONTH($A3135))</f>
        <v/>
      </c>
      <c r="P3135" s="79">
        <f>IF(OR($F3135="",$D3135=""),"",IF($D3135="Receita",$F3135,IF($D3135="Transferência",0,-$F3135)))</f>
        <v/>
      </c>
    </row>
    <row r="3136">
      <c r="A3136" s="73" t="n"/>
      <c r="B3136" s="74" t="n"/>
      <c r="C3136" s="74" t="n"/>
      <c r="D3136" s="75">
        <f>IF($C3136="","",IFERROR(INDEX(CAT_TIPO,MATCH($C3136,CAT_NOME,0)),"Sem categoria"))</f>
        <v/>
      </c>
      <c r="E3136" s="75">
        <f>IF($C3136="","",IFERROR(INDEX(CAT_GRUPO,MATCH($C3136,CAT_NOME,0)),"Sem categoria"))</f>
        <v/>
      </c>
      <c r="F3136" s="76" t="n"/>
      <c r="G3136" s="74" t="n"/>
      <c r="H3136" s="74" t="n"/>
      <c r="I3136" s="74" t="n"/>
      <c r="J3136" s="77" t="n"/>
      <c r="K3136" s="77" t="n"/>
      <c r="L3136" s="74" t="n"/>
      <c r="M3136" s="74" t="n"/>
      <c r="O3136" s="78">
        <f>IF($A3136="","",YEAR($A3136)*100+MONTH($A3136))</f>
        <v/>
      </c>
      <c r="P3136" s="79">
        <f>IF(OR($F3136="",$D3136=""),"",IF($D3136="Receita",$F3136,IF($D3136="Transferência",0,-$F3136)))</f>
        <v/>
      </c>
    </row>
    <row r="3137">
      <c r="A3137" s="73" t="n"/>
      <c r="B3137" s="74" t="n"/>
      <c r="C3137" s="74" t="n"/>
      <c r="D3137" s="75">
        <f>IF($C3137="","",IFERROR(INDEX(CAT_TIPO,MATCH($C3137,CAT_NOME,0)),"Sem categoria"))</f>
        <v/>
      </c>
      <c r="E3137" s="75">
        <f>IF($C3137="","",IFERROR(INDEX(CAT_GRUPO,MATCH($C3137,CAT_NOME,0)),"Sem categoria"))</f>
        <v/>
      </c>
      <c r="F3137" s="76" t="n"/>
      <c r="G3137" s="74" t="n"/>
      <c r="H3137" s="74" t="n"/>
      <c r="I3137" s="74" t="n"/>
      <c r="J3137" s="77" t="n"/>
      <c r="K3137" s="77" t="n"/>
      <c r="L3137" s="74" t="n"/>
      <c r="M3137" s="74" t="n"/>
      <c r="O3137" s="78">
        <f>IF($A3137="","",YEAR($A3137)*100+MONTH($A3137))</f>
        <v/>
      </c>
      <c r="P3137" s="79">
        <f>IF(OR($F3137="",$D3137=""),"",IF($D3137="Receita",$F3137,IF($D3137="Transferência",0,-$F3137)))</f>
        <v/>
      </c>
    </row>
    <row r="3138">
      <c r="A3138" s="73" t="n"/>
      <c r="B3138" s="74" t="n"/>
      <c r="C3138" s="74" t="n"/>
      <c r="D3138" s="75">
        <f>IF($C3138="","",IFERROR(INDEX(CAT_TIPO,MATCH($C3138,CAT_NOME,0)),"Sem categoria"))</f>
        <v/>
      </c>
      <c r="E3138" s="75">
        <f>IF($C3138="","",IFERROR(INDEX(CAT_GRUPO,MATCH($C3138,CAT_NOME,0)),"Sem categoria"))</f>
        <v/>
      </c>
      <c r="F3138" s="76" t="n"/>
      <c r="G3138" s="74" t="n"/>
      <c r="H3138" s="74" t="n"/>
      <c r="I3138" s="74" t="n"/>
      <c r="J3138" s="77" t="n"/>
      <c r="K3138" s="77" t="n"/>
      <c r="L3138" s="74" t="n"/>
      <c r="M3138" s="74" t="n"/>
      <c r="O3138" s="78">
        <f>IF($A3138="","",YEAR($A3138)*100+MONTH($A3138))</f>
        <v/>
      </c>
      <c r="P3138" s="79">
        <f>IF(OR($F3138="",$D3138=""),"",IF($D3138="Receita",$F3138,IF($D3138="Transferência",0,-$F3138)))</f>
        <v/>
      </c>
    </row>
    <row r="3139">
      <c r="A3139" s="73" t="n"/>
      <c r="B3139" s="74" t="n"/>
      <c r="C3139" s="74" t="n"/>
      <c r="D3139" s="75">
        <f>IF($C3139="","",IFERROR(INDEX(CAT_TIPO,MATCH($C3139,CAT_NOME,0)),"Sem categoria"))</f>
        <v/>
      </c>
      <c r="E3139" s="75">
        <f>IF($C3139="","",IFERROR(INDEX(CAT_GRUPO,MATCH($C3139,CAT_NOME,0)),"Sem categoria"))</f>
        <v/>
      </c>
      <c r="F3139" s="76" t="n"/>
      <c r="G3139" s="74" t="n"/>
      <c r="H3139" s="74" t="n"/>
      <c r="I3139" s="74" t="n"/>
      <c r="J3139" s="77" t="n"/>
      <c r="K3139" s="77" t="n"/>
      <c r="L3139" s="74" t="n"/>
      <c r="M3139" s="74" t="n"/>
      <c r="O3139" s="78">
        <f>IF($A3139="","",YEAR($A3139)*100+MONTH($A3139))</f>
        <v/>
      </c>
      <c r="P3139" s="79">
        <f>IF(OR($F3139="",$D3139=""),"",IF($D3139="Receita",$F3139,IF($D3139="Transferência",0,-$F3139)))</f>
        <v/>
      </c>
    </row>
    <row r="3140">
      <c r="A3140" s="73" t="n"/>
      <c r="B3140" s="74" t="n"/>
      <c r="C3140" s="74" t="n"/>
      <c r="D3140" s="75">
        <f>IF($C3140="","",IFERROR(INDEX(CAT_TIPO,MATCH($C3140,CAT_NOME,0)),"Sem categoria"))</f>
        <v/>
      </c>
      <c r="E3140" s="75">
        <f>IF($C3140="","",IFERROR(INDEX(CAT_GRUPO,MATCH($C3140,CAT_NOME,0)),"Sem categoria"))</f>
        <v/>
      </c>
      <c r="F3140" s="76" t="n"/>
      <c r="G3140" s="74" t="n"/>
      <c r="H3140" s="74" t="n"/>
      <c r="I3140" s="74" t="n"/>
      <c r="J3140" s="77" t="n"/>
      <c r="K3140" s="77" t="n"/>
      <c r="L3140" s="74" t="n"/>
      <c r="M3140" s="74" t="n"/>
      <c r="O3140" s="78">
        <f>IF($A3140="","",YEAR($A3140)*100+MONTH($A3140))</f>
        <v/>
      </c>
      <c r="P3140" s="79">
        <f>IF(OR($F3140="",$D3140=""),"",IF($D3140="Receita",$F3140,IF($D3140="Transferência",0,-$F3140)))</f>
        <v/>
      </c>
    </row>
    <row r="3141">
      <c r="A3141" s="73" t="n"/>
      <c r="B3141" s="74" t="n"/>
      <c r="C3141" s="74" t="n"/>
      <c r="D3141" s="75">
        <f>IF($C3141="","",IFERROR(INDEX(CAT_TIPO,MATCH($C3141,CAT_NOME,0)),"Sem categoria"))</f>
        <v/>
      </c>
      <c r="E3141" s="75">
        <f>IF($C3141="","",IFERROR(INDEX(CAT_GRUPO,MATCH($C3141,CAT_NOME,0)),"Sem categoria"))</f>
        <v/>
      </c>
      <c r="F3141" s="76" t="n"/>
      <c r="G3141" s="74" t="n"/>
      <c r="H3141" s="74" t="n"/>
      <c r="I3141" s="74" t="n"/>
      <c r="J3141" s="77" t="n"/>
      <c r="K3141" s="77" t="n"/>
      <c r="L3141" s="74" t="n"/>
      <c r="M3141" s="74" t="n"/>
      <c r="O3141" s="78">
        <f>IF($A3141="","",YEAR($A3141)*100+MONTH($A3141))</f>
        <v/>
      </c>
      <c r="P3141" s="79">
        <f>IF(OR($F3141="",$D3141=""),"",IF($D3141="Receita",$F3141,IF($D3141="Transferência",0,-$F3141)))</f>
        <v/>
      </c>
    </row>
    <row r="3142">
      <c r="A3142" s="73" t="n"/>
      <c r="B3142" s="74" t="n"/>
      <c r="C3142" s="74" t="n"/>
      <c r="D3142" s="75">
        <f>IF($C3142="","",IFERROR(INDEX(CAT_TIPO,MATCH($C3142,CAT_NOME,0)),"Sem categoria"))</f>
        <v/>
      </c>
      <c r="E3142" s="75">
        <f>IF($C3142="","",IFERROR(INDEX(CAT_GRUPO,MATCH($C3142,CAT_NOME,0)),"Sem categoria"))</f>
        <v/>
      </c>
      <c r="F3142" s="76" t="n"/>
      <c r="G3142" s="74" t="n"/>
      <c r="H3142" s="74" t="n"/>
      <c r="I3142" s="74" t="n"/>
      <c r="J3142" s="77" t="n"/>
      <c r="K3142" s="77" t="n"/>
      <c r="L3142" s="74" t="n"/>
      <c r="M3142" s="74" t="n"/>
      <c r="O3142" s="78">
        <f>IF($A3142="","",YEAR($A3142)*100+MONTH($A3142))</f>
        <v/>
      </c>
      <c r="P3142" s="79">
        <f>IF(OR($F3142="",$D3142=""),"",IF($D3142="Receita",$F3142,IF($D3142="Transferência",0,-$F3142)))</f>
        <v/>
      </c>
    </row>
    <row r="3143">
      <c r="A3143" s="73" t="n"/>
      <c r="B3143" s="74" t="n"/>
      <c r="C3143" s="74" t="n"/>
      <c r="D3143" s="75">
        <f>IF($C3143="","",IFERROR(INDEX(CAT_TIPO,MATCH($C3143,CAT_NOME,0)),"Sem categoria"))</f>
        <v/>
      </c>
      <c r="E3143" s="75">
        <f>IF($C3143="","",IFERROR(INDEX(CAT_GRUPO,MATCH($C3143,CAT_NOME,0)),"Sem categoria"))</f>
        <v/>
      </c>
      <c r="F3143" s="76" t="n"/>
      <c r="G3143" s="74" t="n"/>
      <c r="H3143" s="74" t="n"/>
      <c r="I3143" s="74" t="n"/>
      <c r="J3143" s="77" t="n"/>
      <c r="K3143" s="77" t="n"/>
      <c r="L3143" s="74" t="n"/>
      <c r="M3143" s="74" t="n"/>
      <c r="O3143" s="78">
        <f>IF($A3143="","",YEAR($A3143)*100+MONTH($A3143))</f>
        <v/>
      </c>
      <c r="P3143" s="79">
        <f>IF(OR($F3143="",$D3143=""),"",IF($D3143="Receita",$F3143,IF($D3143="Transferência",0,-$F3143)))</f>
        <v/>
      </c>
    </row>
    <row r="3144">
      <c r="A3144" s="73" t="n"/>
      <c r="B3144" s="74" t="n"/>
      <c r="C3144" s="74" t="n"/>
      <c r="D3144" s="75">
        <f>IF($C3144="","",IFERROR(INDEX(CAT_TIPO,MATCH($C3144,CAT_NOME,0)),"Sem categoria"))</f>
        <v/>
      </c>
      <c r="E3144" s="75">
        <f>IF($C3144="","",IFERROR(INDEX(CAT_GRUPO,MATCH($C3144,CAT_NOME,0)),"Sem categoria"))</f>
        <v/>
      </c>
      <c r="F3144" s="76" t="n"/>
      <c r="G3144" s="74" t="n"/>
      <c r="H3144" s="74" t="n"/>
      <c r="I3144" s="74" t="n"/>
      <c r="J3144" s="77" t="n"/>
      <c r="K3144" s="77" t="n"/>
      <c r="L3144" s="74" t="n"/>
      <c r="M3144" s="74" t="n"/>
      <c r="O3144" s="78">
        <f>IF($A3144="","",YEAR($A3144)*100+MONTH($A3144))</f>
        <v/>
      </c>
      <c r="P3144" s="79">
        <f>IF(OR($F3144="",$D3144=""),"",IF($D3144="Receita",$F3144,IF($D3144="Transferência",0,-$F3144)))</f>
        <v/>
      </c>
    </row>
    <row r="3145">
      <c r="A3145" s="73" t="n"/>
      <c r="B3145" s="74" t="n"/>
      <c r="C3145" s="74" t="n"/>
      <c r="D3145" s="75">
        <f>IF($C3145="","",IFERROR(INDEX(CAT_TIPO,MATCH($C3145,CAT_NOME,0)),"Sem categoria"))</f>
        <v/>
      </c>
      <c r="E3145" s="75">
        <f>IF($C3145="","",IFERROR(INDEX(CAT_GRUPO,MATCH($C3145,CAT_NOME,0)),"Sem categoria"))</f>
        <v/>
      </c>
      <c r="F3145" s="76" t="n"/>
      <c r="G3145" s="74" t="n"/>
      <c r="H3145" s="74" t="n"/>
      <c r="I3145" s="74" t="n"/>
      <c r="J3145" s="77" t="n"/>
      <c r="K3145" s="77" t="n"/>
      <c r="L3145" s="74" t="n"/>
      <c r="M3145" s="74" t="n"/>
      <c r="O3145" s="78">
        <f>IF($A3145="","",YEAR($A3145)*100+MONTH($A3145))</f>
        <v/>
      </c>
      <c r="P3145" s="79">
        <f>IF(OR($F3145="",$D3145=""),"",IF($D3145="Receita",$F3145,IF($D3145="Transferência",0,-$F3145)))</f>
        <v/>
      </c>
    </row>
    <row r="3146">
      <c r="A3146" s="73" t="n"/>
      <c r="B3146" s="74" t="n"/>
      <c r="C3146" s="74" t="n"/>
      <c r="D3146" s="75">
        <f>IF($C3146="","",IFERROR(INDEX(CAT_TIPO,MATCH($C3146,CAT_NOME,0)),"Sem categoria"))</f>
        <v/>
      </c>
      <c r="E3146" s="75">
        <f>IF($C3146="","",IFERROR(INDEX(CAT_GRUPO,MATCH($C3146,CAT_NOME,0)),"Sem categoria"))</f>
        <v/>
      </c>
      <c r="F3146" s="76" t="n"/>
      <c r="G3146" s="74" t="n"/>
      <c r="H3146" s="74" t="n"/>
      <c r="I3146" s="74" t="n"/>
      <c r="J3146" s="77" t="n"/>
      <c r="K3146" s="77" t="n"/>
      <c r="L3146" s="74" t="n"/>
      <c r="M3146" s="74" t="n"/>
      <c r="O3146" s="78">
        <f>IF($A3146="","",YEAR($A3146)*100+MONTH($A3146))</f>
        <v/>
      </c>
      <c r="P3146" s="79">
        <f>IF(OR($F3146="",$D3146=""),"",IF($D3146="Receita",$F3146,IF($D3146="Transferência",0,-$F3146)))</f>
        <v/>
      </c>
    </row>
    <row r="3147">
      <c r="A3147" s="73" t="n"/>
      <c r="B3147" s="74" t="n"/>
      <c r="C3147" s="74" t="n"/>
      <c r="D3147" s="75">
        <f>IF($C3147="","",IFERROR(INDEX(CAT_TIPO,MATCH($C3147,CAT_NOME,0)),"Sem categoria"))</f>
        <v/>
      </c>
      <c r="E3147" s="75">
        <f>IF($C3147="","",IFERROR(INDEX(CAT_GRUPO,MATCH($C3147,CAT_NOME,0)),"Sem categoria"))</f>
        <v/>
      </c>
      <c r="F3147" s="76" t="n"/>
      <c r="G3147" s="74" t="n"/>
      <c r="H3147" s="74" t="n"/>
      <c r="I3147" s="74" t="n"/>
      <c r="J3147" s="77" t="n"/>
      <c r="K3147" s="77" t="n"/>
      <c r="L3147" s="74" t="n"/>
      <c r="M3147" s="74" t="n"/>
      <c r="O3147" s="78">
        <f>IF($A3147="","",YEAR($A3147)*100+MONTH($A3147))</f>
        <v/>
      </c>
      <c r="P3147" s="79">
        <f>IF(OR($F3147="",$D3147=""),"",IF($D3147="Receita",$F3147,IF($D3147="Transferência",0,-$F3147)))</f>
        <v/>
      </c>
    </row>
    <row r="3148">
      <c r="A3148" s="73" t="n"/>
      <c r="B3148" s="74" t="n"/>
      <c r="C3148" s="74" t="n"/>
      <c r="D3148" s="75">
        <f>IF($C3148="","",IFERROR(INDEX(CAT_TIPO,MATCH($C3148,CAT_NOME,0)),"Sem categoria"))</f>
        <v/>
      </c>
      <c r="E3148" s="75">
        <f>IF($C3148="","",IFERROR(INDEX(CAT_GRUPO,MATCH($C3148,CAT_NOME,0)),"Sem categoria"))</f>
        <v/>
      </c>
      <c r="F3148" s="76" t="n"/>
      <c r="G3148" s="74" t="n"/>
      <c r="H3148" s="74" t="n"/>
      <c r="I3148" s="74" t="n"/>
      <c r="J3148" s="77" t="n"/>
      <c r="K3148" s="77" t="n"/>
      <c r="L3148" s="74" t="n"/>
      <c r="M3148" s="74" t="n"/>
      <c r="O3148" s="78">
        <f>IF($A3148="","",YEAR($A3148)*100+MONTH($A3148))</f>
        <v/>
      </c>
      <c r="P3148" s="79">
        <f>IF(OR($F3148="",$D3148=""),"",IF($D3148="Receita",$F3148,IF($D3148="Transferência",0,-$F3148)))</f>
        <v/>
      </c>
    </row>
    <row r="3149">
      <c r="A3149" s="73" t="n"/>
      <c r="B3149" s="74" t="n"/>
      <c r="C3149" s="74" t="n"/>
      <c r="D3149" s="75">
        <f>IF($C3149="","",IFERROR(INDEX(CAT_TIPO,MATCH($C3149,CAT_NOME,0)),"Sem categoria"))</f>
        <v/>
      </c>
      <c r="E3149" s="75">
        <f>IF($C3149="","",IFERROR(INDEX(CAT_GRUPO,MATCH($C3149,CAT_NOME,0)),"Sem categoria"))</f>
        <v/>
      </c>
      <c r="F3149" s="76" t="n"/>
      <c r="G3149" s="74" t="n"/>
      <c r="H3149" s="74" t="n"/>
      <c r="I3149" s="74" t="n"/>
      <c r="J3149" s="77" t="n"/>
      <c r="K3149" s="77" t="n"/>
      <c r="L3149" s="74" t="n"/>
      <c r="M3149" s="74" t="n"/>
      <c r="O3149" s="78">
        <f>IF($A3149="","",YEAR($A3149)*100+MONTH($A3149))</f>
        <v/>
      </c>
      <c r="P3149" s="79">
        <f>IF(OR($F3149="",$D3149=""),"",IF($D3149="Receita",$F3149,IF($D3149="Transferência",0,-$F3149)))</f>
        <v/>
      </c>
    </row>
    <row r="3150">
      <c r="A3150" s="73" t="n"/>
      <c r="B3150" s="74" t="n"/>
      <c r="C3150" s="74" t="n"/>
      <c r="D3150" s="75">
        <f>IF($C3150="","",IFERROR(INDEX(CAT_TIPO,MATCH($C3150,CAT_NOME,0)),"Sem categoria"))</f>
        <v/>
      </c>
      <c r="E3150" s="75">
        <f>IF($C3150="","",IFERROR(INDEX(CAT_GRUPO,MATCH($C3150,CAT_NOME,0)),"Sem categoria"))</f>
        <v/>
      </c>
      <c r="F3150" s="76" t="n"/>
      <c r="G3150" s="74" t="n"/>
      <c r="H3150" s="74" t="n"/>
      <c r="I3150" s="74" t="n"/>
      <c r="J3150" s="77" t="n"/>
      <c r="K3150" s="77" t="n"/>
      <c r="L3150" s="74" t="n"/>
      <c r="M3150" s="74" t="n"/>
      <c r="O3150" s="78">
        <f>IF($A3150="","",YEAR($A3150)*100+MONTH($A3150))</f>
        <v/>
      </c>
      <c r="P3150" s="79">
        <f>IF(OR($F3150="",$D3150=""),"",IF($D3150="Receita",$F3150,IF($D3150="Transferência",0,-$F3150)))</f>
        <v/>
      </c>
    </row>
    <row r="3151">
      <c r="A3151" s="73" t="n"/>
      <c r="B3151" s="74" t="n"/>
      <c r="C3151" s="74" t="n"/>
      <c r="D3151" s="75">
        <f>IF($C3151="","",IFERROR(INDEX(CAT_TIPO,MATCH($C3151,CAT_NOME,0)),"Sem categoria"))</f>
        <v/>
      </c>
      <c r="E3151" s="75">
        <f>IF($C3151="","",IFERROR(INDEX(CAT_GRUPO,MATCH($C3151,CAT_NOME,0)),"Sem categoria"))</f>
        <v/>
      </c>
      <c r="F3151" s="76" t="n"/>
      <c r="G3151" s="74" t="n"/>
      <c r="H3151" s="74" t="n"/>
      <c r="I3151" s="74" t="n"/>
      <c r="J3151" s="77" t="n"/>
      <c r="K3151" s="77" t="n"/>
      <c r="L3151" s="74" t="n"/>
      <c r="M3151" s="74" t="n"/>
      <c r="O3151" s="78">
        <f>IF($A3151="","",YEAR($A3151)*100+MONTH($A3151))</f>
        <v/>
      </c>
      <c r="P3151" s="79">
        <f>IF(OR($F3151="",$D3151=""),"",IF($D3151="Receita",$F3151,IF($D3151="Transferência",0,-$F3151)))</f>
        <v/>
      </c>
    </row>
    <row r="3152">
      <c r="A3152" s="73" t="n"/>
      <c r="B3152" s="74" t="n"/>
      <c r="C3152" s="74" t="n"/>
      <c r="D3152" s="75">
        <f>IF($C3152="","",IFERROR(INDEX(CAT_TIPO,MATCH($C3152,CAT_NOME,0)),"Sem categoria"))</f>
        <v/>
      </c>
      <c r="E3152" s="75">
        <f>IF($C3152="","",IFERROR(INDEX(CAT_GRUPO,MATCH($C3152,CAT_NOME,0)),"Sem categoria"))</f>
        <v/>
      </c>
      <c r="F3152" s="76" t="n"/>
      <c r="G3152" s="74" t="n"/>
      <c r="H3152" s="74" t="n"/>
      <c r="I3152" s="74" t="n"/>
      <c r="J3152" s="77" t="n"/>
      <c r="K3152" s="77" t="n"/>
      <c r="L3152" s="74" t="n"/>
      <c r="M3152" s="74" t="n"/>
      <c r="O3152" s="78">
        <f>IF($A3152="","",YEAR($A3152)*100+MONTH($A3152))</f>
        <v/>
      </c>
      <c r="P3152" s="79">
        <f>IF(OR($F3152="",$D3152=""),"",IF($D3152="Receita",$F3152,IF($D3152="Transferência",0,-$F3152)))</f>
        <v/>
      </c>
    </row>
    <row r="3153">
      <c r="A3153" s="73" t="n"/>
      <c r="B3153" s="74" t="n"/>
      <c r="C3153" s="74" t="n"/>
      <c r="D3153" s="75">
        <f>IF($C3153="","",IFERROR(INDEX(CAT_TIPO,MATCH($C3153,CAT_NOME,0)),"Sem categoria"))</f>
        <v/>
      </c>
      <c r="E3153" s="75">
        <f>IF($C3153="","",IFERROR(INDEX(CAT_GRUPO,MATCH($C3153,CAT_NOME,0)),"Sem categoria"))</f>
        <v/>
      </c>
      <c r="F3153" s="76" t="n"/>
      <c r="G3153" s="74" t="n"/>
      <c r="H3153" s="74" t="n"/>
      <c r="I3153" s="74" t="n"/>
      <c r="J3153" s="77" t="n"/>
      <c r="K3153" s="77" t="n"/>
      <c r="L3153" s="74" t="n"/>
      <c r="M3153" s="74" t="n"/>
      <c r="O3153" s="78">
        <f>IF($A3153="","",YEAR($A3153)*100+MONTH($A3153))</f>
        <v/>
      </c>
      <c r="P3153" s="79">
        <f>IF(OR($F3153="",$D3153=""),"",IF($D3153="Receita",$F3153,IF($D3153="Transferência",0,-$F3153)))</f>
        <v/>
      </c>
    </row>
    <row r="3154">
      <c r="A3154" s="73" t="n"/>
      <c r="B3154" s="74" t="n"/>
      <c r="C3154" s="74" t="n"/>
      <c r="D3154" s="75">
        <f>IF($C3154="","",IFERROR(INDEX(CAT_TIPO,MATCH($C3154,CAT_NOME,0)),"Sem categoria"))</f>
        <v/>
      </c>
      <c r="E3154" s="75">
        <f>IF($C3154="","",IFERROR(INDEX(CAT_GRUPO,MATCH($C3154,CAT_NOME,0)),"Sem categoria"))</f>
        <v/>
      </c>
      <c r="F3154" s="76" t="n"/>
      <c r="G3154" s="74" t="n"/>
      <c r="H3154" s="74" t="n"/>
      <c r="I3154" s="74" t="n"/>
      <c r="J3154" s="77" t="n"/>
      <c r="K3154" s="77" t="n"/>
      <c r="L3154" s="74" t="n"/>
      <c r="M3154" s="74" t="n"/>
      <c r="O3154" s="78">
        <f>IF($A3154="","",YEAR($A3154)*100+MONTH($A3154))</f>
        <v/>
      </c>
      <c r="P3154" s="79">
        <f>IF(OR($F3154="",$D3154=""),"",IF($D3154="Receita",$F3154,IF($D3154="Transferência",0,-$F3154)))</f>
        <v/>
      </c>
    </row>
    <row r="3155">
      <c r="A3155" s="73" t="n"/>
      <c r="B3155" s="74" t="n"/>
      <c r="C3155" s="74" t="n"/>
      <c r="D3155" s="75">
        <f>IF($C3155="","",IFERROR(INDEX(CAT_TIPO,MATCH($C3155,CAT_NOME,0)),"Sem categoria"))</f>
        <v/>
      </c>
      <c r="E3155" s="75">
        <f>IF($C3155="","",IFERROR(INDEX(CAT_GRUPO,MATCH($C3155,CAT_NOME,0)),"Sem categoria"))</f>
        <v/>
      </c>
      <c r="F3155" s="76" t="n"/>
      <c r="G3155" s="74" t="n"/>
      <c r="H3155" s="74" t="n"/>
      <c r="I3155" s="74" t="n"/>
      <c r="J3155" s="77" t="n"/>
      <c r="K3155" s="77" t="n"/>
      <c r="L3155" s="74" t="n"/>
      <c r="M3155" s="74" t="n"/>
      <c r="O3155" s="78">
        <f>IF($A3155="","",YEAR($A3155)*100+MONTH($A3155))</f>
        <v/>
      </c>
      <c r="P3155" s="79">
        <f>IF(OR($F3155="",$D3155=""),"",IF($D3155="Receita",$F3155,IF($D3155="Transferência",0,-$F3155)))</f>
        <v/>
      </c>
    </row>
    <row r="3156">
      <c r="A3156" s="73" t="n"/>
      <c r="B3156" s="74" t="n"/>
      <c r="C3156" s="74" t="n"/>
      <c r="D3156" s="75">
        <f>IF($C3156="","",IFERROR(INDEX(CAT_TIPO,MATCH($C3156,CAT_NOME,0)),"Sem categoria"))</f>
        <v/>
      </c>
      <c r="E3156" s="75">
        <f>IF($C3156="","",IFERROR(INDEX(CAT_GRUPO,MATCH($C3156,CAT_NOME,0)),"Sem categoria"))</f>
        <v/>
      </c>
      <c r="F3156" s="76" t="n"/>
      <c r="G3156" s="74" t="n"/>
      <c r="H3156" s="74" t="n"/>
      <c r="I3156" s="74" t="n"/>
      <c r="J3156" s="77" t="n"/>
      <c r="K3156" s="77" t="n"/>
      <c r="L3156" s="74" t="n"/>
      <c r="M3156" s="74" t="n"/>
      <c r="O3156" s="78">
        <f>IF($A3156="","",YEAR($A3156)*100+MONTH($A3156))</f>
        <v/>
      </c>
      <c r="P3156" s="79">
        <f>IF(OR($F3156="",$D3156=""),"",IF($D3156="Receita",$F3156,IF($D3156="Transferência",0,-$F3156)))</f>
        <v/>
      </c>
    </row>
    <row r="3157">
      <c r="A3157" s="73" t="n"/>
      <c r="B3157" s="74" t="n"/>
      <c r="C3157" s="74" t="n"/>
      <c r="D3157" s="75">
        <f>IF($C3157="","",IFERROR(INDEX(CAT_TIPO,MATCH($C3157,CAT_NOME,0)),"Sem categoria"))</f>
        <v/>
      </c>
      <c r="E3157" s="75">
        <f>IF($C3157="","",IFERROR(INDEX(CAT_GRUPO,MATCH($C3157,CAT_NOME,0)),"Sem categoria"))</f>
        <v/>
      </c>
      <c r="F3157" s="76" t="n"/>
      <c r="G3157" s="74" t="n"/>
      <c r="H3157" s="74" t="n"/>
      <c r="I3157" s="74" t="n"/>
      <c r="J3157" s="77" t="n"/>
      <c r="K3157" s="77" t="n"/>
      <c r="L3157" s="74" t="n"/>
      <c r="M3157" s="74" t="n"/>
      <c r="O3157" s="78">
        <f>IF($A3157="","",YEAR($A3157)*100+MONTH($A3157))</f>
        <v/>
      </c>
      <c r="P3157" s="79">
        <f>IF(OR($F3157="",$D3157=""),"",IF($D3157="Receita",$F3157,IF($D3157="Transferência",0,-$F3157)))</f>
        <v/>
      </c>
    </row>
    <row r="3158">
      <c r="A3158" s="73" t="n"/>
      <c r="B3158" s="74" t="n"/>
      <c r="C3158" s="74" t="n"/>
      <c r="D3158" s="75">
        <f>IF($C3158="","",IFERROR(INDEX(CAT_TIPO,MATCH($C3158,CAT_NOME,0)),"Sem categoria"))</f>
        <v/>
      </c>
      <c r="E3158" s="75">
        <f>IF($C3158="","",IFERROR(INDEX(CAT_GRUPO,MATCH($C3158,CAT_NOME,0)),"Sem categoria"))</f>
        <v/>
      </c>
      <c r="F3158" s="76" t="n"/>
      <c r="G3158" s="74" t="n"/>
      <c r="H3158" s="74" t="n"/>
      <c r="I3158" s="74" t="n"/>
      <c r="J3158" s="77" t="n"/>
      <c r="K3158" s="77" t="n"/>
      <c r="L3158" s="74" t="n"/>
      <c r="M3158" s="74" t="n"/>
      <c r="O3158" s="78">
        <f>IF($A3158="","",YEAR($A3158)*100+MONTH($A3158))</f>
        <v/>
      </c>
      <c r="P3158" s="79">
        <f>IF(OR($F3158="",$D3158=""),"",IF($D3158="Receita",$F3158,IF($D3158="Transferência",0,-$F3158)))</f>
        <v/>
      </c>
    </row>
    <row r="3159">
      <c r="A3159" s="73" t="n"/>
      <c r="B3159" s="74" t="n"/>
      <c r="C3159" s="74" t="n"/>
      <c r="D3159" s="75">
        <f>IF($C3159="","",IFERROR(INDEX(CAT_TIPO,MATCH($C3159,CAT_NOME,0)),"Sem categoria"))</f>
        <v/>
      </c>
      <c r="E3159" s="75">
        <f>IF($C3159="","",IFERROR(INDEX(CAT_GRUPO,MATCH($C3159,CAT_NOME,0)),"Sem categoria"))</f>
        <v/>
      </c>
      <c r="F3159" s="76" t="n"/>
      <c r="G3159" s="74" t="n"/>
      <c r="H3159" s="74" t="n"/>
      <c r="I3159" s="74" t="n"/>
      <c r="J3159" s="77" t="n"/>
      <c r="K3159" s="77" t="n"/>
      <c r="L3159" s="74" t="n"/>
      <c r="M3159" s="74" t="n"/>
      <c r="O3159" s="78">
        <f>IF($A3159="","",YEAR($A3159)*100+MONTH($A3159))</f>
        <v/>
      </c>
      <c r="P3159" s="79">
        <f>IF(OR($F3159="",$D3159=""),"",IF($D3159="Receita",$F3159,IF($D3159="Transferência",0,-$F3159)))</f>
        <v/>
      </c>
    </row>
    <row r="3160">
      <c r="A3160" s="73" t="n"/>
      <c r="B3160" s="74" t="n"/>
      <c r="C3160" s="74" t="n"/>
      <c r="D3160" s="75">
        <f>IF($C3160="","",IFERROR(INDEX(CAT_TIPO,MATCH($C3160,CAT_NOME,0)),"Sem categoria"))</f>
        <v/>
      </c>
      <c r="E3160" s="75">
        <f>IF($C3160="","",IFERROR(INDEX(CAT_GRUPO,MATCH($C3160,CAT_NOME,0)),"Sem categoria"))</f>
        <v/>
      </c>
      <c r="F3160" s="76" t="n"/>
      <c r="G3160" s="74" t="n"/>
      <c r="H3160" s="74" t="n"/>
      <c r="I3160" s="74" t="n"/>
      <c r="J3160" s="77" t="n"/>
      <c r="K3160" s="77" t="n"/>
      <c r="L3160" s="74" t="n"/>
      <c r="M3160" s="74" t="n"/>
      <c r="O3160" s="78">
        <f>IF($A3160="","",YEAR($A3160)*100+MONTH($A3160))</f>
        <v/>
      </c>
      <c r="P3160" s="79">
        <f>IF(OR($F3160="",$D3160=""),"",IF($D3160="Receita",$F3160,IF($D3160="Transferência",0,-$F3160)))</f>
        <v/>
      </c>
    </row>
    <row r="3161">
      <c r="A3161" s="73" t="n"/>
      <c r="B3161" s="74" t="n"/>
      <c r="C3161" s="74" t="n"/>
      <c r="D3161" s="75">
        <f>IF($C3161="","",IFERROR(INDEX(CAT_TIPO,MATCH($C3161,CAT_NOME,0)),"Sem categoria"))</f>
        <v/>
      </c>
      <c r="E3161" s="75">
        <f>IF($C3161="","",IFERROR(INDEX(CAT_GRUPO,MATCH($C3161,CAT_NOME,0)),"Sem categoria"))</f>
        <v/>
      </c>
      <c r="F3161" s="76" t="n"/>
      <c r="G3161" s="74" t="n"/>
      <c r="H3161" s="74" t="n"/>
      <c r="I3161" s="74" t="n"/>
      <c r="J3161" s="77" t="n"/>
      <c r="K3161" s="77" t="n"/>
      <c r="L3161" s="74" t="n"/>
      <c r="M3161" s="74" t="n"/>
      <c r="O3161" s="78">
        <f>IF($A3161="","",YEAR($A3161)*100+MONTH($A3161))</f>
        <v/>
      </c>
      <c r="P3161" s="79">
        <f>IF(OR($F3161="",$D3161=""),"",IF($D3161="Receita",$F3161,IF($D3161="Transferência",0,-$F3161)))</f>
        <v/>
      </c>
    </row>
    <row r="3162">
      <c r="A3162" s="73" t="n"/>
      <c r="B3162" s="74" t="n"/>
      <c r="C3162" s="74" t="n"/>
      <c r="D3162" s="75">
        <f>IF($C3162="","",IFERROR(INDEX(CAT_TIPO,MATCH($C3162,CAT_NOME,0)),"Sem categoria"))</f>
        <v/>
      </c>
      <c r="E3162" s="75">
        <f>IF($C3162="","",IFERROR(INDEX(CAT_GRUPO,MATCH($C3162,CAT_NOME,0)),"Sem categoria"))</f>
        <v/>
      </c>
      <c r="F3162" s="76" t="n"/>
      <c r="G3162" s="74" t="n"/>
      <c r="H3162" s="74" t="n"/>
      <c r="I3162" s="74" t="n"/>
      <c r="J3162" s="77" t="n"/>
      <c r="K3162" s="77" t="n"/>
      <c r="L3162" s="74" t="n"/>
      <c r="M3162" s="74" t="n"/>
      <c r="O3162" s="78">
        <f>IF($A3162="","",YEAR($A3162)*100+MONTH($A3162))</f>
        <v/>
      </c>
      <c r="P3162" s="79">
        <f>IF(OR($F3162="",$D3162=""),"",IF($D3162="Receita",$F3162,IF($D3162="Transferência",0,-$F3162)))</f>
        <v/>
      </c>
    </row>
    <row r="3163">
      <c r="A3163" s="73" t="n"/>
      <c r="B3163" s="74" t="n"/>
      <c r="C3163" s="74" t="n"/>
      <c r="D3163" s="75">
        <f>IF($C3163="","",IFERROR(INDEX(CAT_TIPO,MATCH($C3163,CAT_NOME,0)),"Sem categoria"))</f>
        <v/>
      </c>
      <c r="E3163" s="75">
        <f>IF($C3163="","",IFERROR(INDEX(CAT_GRUPO,MATCH($C3163,CAT_NOME,0)),"Sem categoria"))</f>
        <v/>
      </c>
      <c r="F3163" s="76" t="n"/>
      <c r="G3163" s="74" t="n"/>
      <c r="H3163" s="74" t="n"/>
      <c r="I3163" s="74" t="n"/>
      <c r="J3163" s="77" t="n"/>
      <c r="K3163" s="77" t="n"/>
      <c r="L3163" s="74" t="n"/>
      <c r="M3163" s="74" t="n"/>
      <c r="O3163" s="78">
        <f>IF($A3163="","",YEAR($A3163)*100+MONTH($A3163))</f>
        <v/>
      </c>
      <c r="P3163" s="79">
        <f>IF(OR($F3163="",$D3163=""),"",IF($D3163="Receita",$F3163,IF($D3163="Transferência",0,-$F3163)))</f>
        <v/>
      </c>
    </row>
    <row r="3164">
      <c r="A3164" s="73" t="n"/>
      <c r="B3164" s="74" t="n"/>
      <c r="C3164" s="74" t="n"/>
      <c r="D3164" s="75">
        <f>IF($C3164="","",IFERROR(INDEX(CAT_TIPO,MATCH($C3164,CAT_NOME,0)),"Sem categoria"))</f>
        <v/>
      </c>
      <c r="E3164" s="75">
        <f>IF($C3164="","",IFERROR(INDEX(CAT_GRUPO,MATCH($C3164,CAT_NOME,0)),"Sem categoria"))</f>
        <v/>
      </c>
      <c r="F3164" s="76" t="n"/>
      <c r="G3164" s="74" t="n"/>
      <c r="H3164" s="74" t="n"/>
      <c r="I3164" s="74" t="n"/>
      <c r="J3164" s="77" t="n"/>
      <c r="K3164" s="77" t="n"/>
      <c r="L3164" s="74" t="n"/>
      <c r="M3164" s="74" t="n"/>
      <c r="O3164" s="78">
        <f>IF($A3164="","",YEAR($A3164)*100+MONTH($A3164))</f>
        <v/>
      </c>
      <c r="P3164" s="79">
        <f>IF(OR($F3164="",$D3164=""),"",IF($D3164="Receita",$F3164,IF($D3164="Transferência",0,-$F3164)))</f>
        <v/>
      </c>
    </row>
    <row r="3165">
      <c r="A3165" s="73" t="n"/>
      <c r="B3165" s="74" t="n"/>
      <c r="C3165" s="74" t="n"/>
      <c r="D3165" s="75">
        <f>IF($C3165="","",IFERROR(INDEX(CAT_TIPO,MATCH($C3165,CAT_NOME,0)),"Sem categoria"))</f>
        <v/>
      </c>
      <c r="E3165" s="75">
        <f>IF($C3165="","",IFERROR(INDEX(CAT_GRUPO,MATCH($C3165,CAT_NOME,0)),"Sem categoria"))</f>
        <v/>
      </c>
      <c r="F3165" s="76" t="n"/>
      <c r="G3165" s="74" t="n"/>
      <c r="H3165" s="74" t="n"/>
      <c r="I3165" s="74" t="n"/>
      <c r="J3165" s="77" t="n"/>
      <c r="K3165" s="77" t="n"/>
      <c r="L3165" s="74" t="n"/>
      <c r="M3165" s="74" t="n"/>
      <c r="O3165" s="78">
        <f>IF($A3165="","",YEAR($A3165)*100+MONTH($A3165))</f>
        <v/>
      </c>
      <c r="P3165" s="79">
        <f>IF(OR($F3165="",$D3165=""),"",IF($D3165="Receita",$F3165,IF($D3165="Transferência",0,-$F3165)))</f>
        <v/>
      </c>
    </row>
    <row r="3166">
      <c r="A3166" s="73" t="n"/>
      <c r="B3166" s="74" t="n"/>
      <c r="C3166" s="74" t="n"/>
      <c r="D3166" s="75">
        <f>IF($C3166="","",IFERROR(INDEX(CAT_TIPO,MATCH($C3166,CAT_NOME,0)),"Sem categoria"))</f>
        <v/>
      </c>
      <c r="E3166" s="75">
        <f>IF($C3166="","",IFERROR(INDEX(CAT_GRUPO,MATCH($C3166,CAT_NOME,0)),"Sem categoria"))</f>
        <v/>
      </c>
      <c r="F3166" s="76" t="n"/>
      <c r="G3166" s="74" t="n"/>
      <c r="H3166" s="74" t="n"/>
      <c r="I3166" s="74" t="n"/>
      <c r="J3166" s="77" t="n"/>
      <c r="K3166" s="77" t="n"/>
      <c r="L3166" s="74" t="n"/>
      <c r="M3166" s="74" t="n"/>
      <c r="O3166" s="78">
        <f>IF($A3166="","",YEAR($A3166)*100+MONTH($A3166))</f>
        <v/>
      </c>
      <c r="P3166" s="79">
        <f>IF(OR($F3166="",$D3166=""),"",IF($D3166="Receita",$F3166,IF($D3166="Transferência",0,-$F3166)))</f>
        <v/>
      </c>
    </row>
    <row r="3167">
      <c r="A3167" s="73" t="n"/>
      <c r="B3167" s="74" t="n"/>
      <c r="C3167" s="74" t="n"/>
      <c r="D3167" s="75">
        <f>IF($C3167="","",IFERROR(INDEX(CAT_TIPO,MATCH($C3167,CAT_NOME,0)),"Sem categoria"))</f>
        <v/>
      </c>
      <c r="E3167" s="75">
        <f>IF($C3167="","",IFERROR(INDEX(CAT_GRUPO,MATCH($C3167,CAT_NOME,0)),"Sem categoria"))</f>
        <v/>
      </c>
      <c r="F3167" s="76" t="n"/>
      <c r="G3167" s="74" t="n"/>
      <c r="H3167" s="74" t="n"/>
      <c r="I3167" s="74" t="n"/>
      <c r="J3167" s="77" t="n"/>
      <c r="K3167" s="77" t="n"/>
      <c r="L3167" s="74" t="n"/>
      <c r="M3167" s="74" t="n"/>
      <c r="O3167" s="78">
        <f>IF($A3167="","",YEAR($A3167)*100+MONTH($A3167))</f>
        <v/>
      </c>
      <c r="P3167" s="79">
        <f>IF(OR($F3167="",$D3167=""),"",IF($D3167="Receita",$F3167,IF($D3167="Transferência",0,-$F3167)))</f>
        <v/>
      </c>
    </row>
    <row r="3168">
      <c r="A3168" s="73" t="n"/>
      <c r="B3168" s="74" t="n"/>
      <c r="C3168" s="74" t="n"/>
      <c r="D3168" s="75">
        <f>IF($C3168="","",IFERROR(INDEX(CAT_TIPO,MATCH($C3168,CAT_NOME,0)),"Sem categoria"))</f>
        <v/>
      </c>
      <c r="E3168" s="75">
        <f>IF($C3168="","",IFERROR(INDEX(CAT_GRUPO,MATCH($C3168,CAT_NOME,0)),"Sem categoria"))</f>
        <v/>
      </c>
      <c r="F3168" s="76" t="n"/>
      <c r="G3168" s="74" t="n"/>
      <c r="H3168" s="74" t="n"/>
      <c r="I3168" s="74" t="n"/>
      <c r="J3168" s="77" t="n"/>
      <c r="K3168" s="77" t="n"/>
      <c r="L3168" s="74" t="n"/>
      <c r="M3168" s="74" t="n"/>
      <c r="O3168" s="78">
        <f>IF($A3168="","",YEAR($A3168)*100+MONTH($A3168))</f>
        <v/>
      </c>
      <c r="P3168" s="79">
        <f>IF(OR($F3168="",$D3168=""),"",IF($D3168="Receita",$F3168,IF($D3168="Transferência",0,-$F3168)))</f>
        <v/>
      </c>
    </row>
    <row r="3169">
      <c r="A3169" s="73" t="n"/>
      <c r="B3169" s="74" t="n"/>
      <c r="C3169" s="74" t="n"/>
      <c r="D3169" s="75">
        <f>IF($C3169="","",IFERROR(INDEX(CAT_TIPO,MATCH($C3169,CAT_NOME,0)),"Sem categoria"))</f>
        <v/>
      </c>
      <c r="E3169" s="75">
        <f>IF($C3169="","",IFERROR(INDEX(CAT_GRUPO,MATCH($C3169,CAT_NOME,0)),"Sem categoria"))</f>
        <v/>
      </c>
      <c r="F3169" s="76" t="n"/>
      <c r="G3169" s="74" t="n"/>
      <c r="H3169" s="74" t="n"/>
      <c r="I3169" s="74" t="n"/>
      <c r="J3169" s="77" t="n"/>
      <c r="K3169" s="77" t="n"/>
      <c r="L3169" s="74" t="n"/>
      <c r="M3169" s="74" t="n"/>
      <c r="O3169" s="78">
        <f>IF($A3169="","",YEAR($A3169)*100+MONTH($A3169))</f>
        <v/>
      </c>
      <c r="P3169" s="79">
        <f>IF(OR($F3169="",$D3169=""),"",IF($D3169="Receita",$F3169,IF($D3169="Transferência",0,-$F3169)))</f>
        <v/>
      </c>
    </row>
    <row r="3170">
      <c r="A3170" s="73" t="n"/>
      <c r="B3170" s="74" t="n"/>
      <c r="C3170" s="74" t="n"/>
      <c r="D3170" s="75">
        <f>IF($C3170="","",IFERROR(INDEX(CAT_TIPO,MATCH($C3170,CAT_NOME,0)),"Sem categoria"))</f>
        <v/>
      </c>
      <c r="E3170" s="75">
        <f>IF($C3170="","",IFERROR(INDEX(CAT_GRUPO,MATCH($C3170,CAT_NOME,0)),"Sem categoria"))</f>
        <v/>
      </c>
      <c r="F3170" s="76" t="n"/>
      <c r="G3170" s="74" t="n"/>
      <c r="H3170" s="74" t="n"/>
      <c r="I3170" s="74" t="n"/>
      <c r="J3170" s="77" t="n"/>
      <c r="K3170" s="77" t="n"/>
      <c r="L3170" s="74" t="n"/>
      <c r="M3170" s="74" t="n"/>
      <c r="O3170" s="78">
        <f>IF($A3170="","",YEAR($A3170)*100+MONTH($A3170))</f>
        <v/>
      </c>
      <c r="P3170" s="79">
        <f>IF(OR($F3170="",$D3170=""),"",IF($D3170="Receita",$F3170,IF($D3170="Transferência",0,-$F3170)))</f>
        <v/>
      </c>
    </row>
    <row r="3171">
      <c r="A3171" s="73" t="n"/>
      <c r="B3171" s="74" t="n"/>
      <c r="C3171" s="74" t="n"/>
      <c r="D3171" s="75">
        <f>IF($C3171="","",IFERROR(INDEX(CAT_TIPO,MATCH($C3171,CAT_NOME,0)),"Sem categoria"))</f>
        <v/>
      </c>
      <c r="E3171" s="75">
        <f>IF($C3171="","",IFERROR(INDEX(CAT_GRUPO,MATCH($C3171,CAT_NOME,0)),"Sem categoria"))</f>
        <v/>
      </c>
      <c r="F3171" s="76" t="n"/>
      <c r="G3171" s="74" t="n"/>
      <c r="H3171" s="74" t="n"/>
      <c r="I3171" s="74" t="n"/>
      <c r="J3171" s="77" t="n"/>
      <c r="K3171" s="77" t="n"/>
      <c r="L3171" s="74" t="n"/>
      <c r="M3171" s="74" t="n"/>
      <c r="O3171" s="78">
        <f>IF($A3171="","",YEAR($A3171)*100+MONTH($A3171))</f>
        <v/>
      </c>
      <c r="P3171" s="79">
        <f>IF(OR($F3171="",$D3171=""),"",IF($D3171="Receita",$F3171,IF($D3171="Transferência",0,-$F3171)))</f>
        <v/>
      </c>
    </row>
    <row r="3172">
      <c r="A3172" s="73" t="n"/>
      <c r="B3172" s="74" t="n"/>
      <c r="C3172" s="74" t="n"/>
      <c r="D3172" s="75">
        <f>IF($C3172="","",IFERROR(INDEX(CAT_TIPO,MATCH($C3172,CAT_NOME,0)),"Sem categoria"))</f>
        <v/>
      </c>
      <c r="E3172" s="75">
        <f>IF($C3172="","",IFERROR(INDEX(CAT_GRUPO,MATCH($C3172,CAT_NOME,0)),"Sem categoria"))</f>
        <v/>
      </c>
      <c r="F3172" s="76" t="n"/>
      <c r="G3172" s="74" t="n"/>
      <c r="H3172" s="74" t="n"/>
      <c r="I3172" s="74" t="n"/>
      <c r="J3172" s="77" t="n"/>
      <c r="K3172" s="77" t="n"/>
      <c r="L3172" s="74" t="n"/>
      <c r="M3172" s="74" t="n"/>
      <c r="O3172" s="78">
        <f>IF($A3172="","",YEAR($A3172)*100+MONTH($A3172))</f>
        <v/>
      </c>
      <c r="P3172" s="79">
        <f>IF(OR($F3172="",$D3172=""),"",IF($D3172="Receita",$F3172,IF($D3172="Transferência",0,-$F3172)))</f>
        <v/>
      </c>
    </row>
    <row r="3173">
      <c r="A3173" s="73" t="n"/>
      <c r="B3173" s="74" t="n"/>
      <c r="C3173" s="74" t="n"/>
      <c r="D3173" s="75">
        <f>IF($C3173="","",IFERROR(INDEX(CAT_TIPO,MATCH($C3173,CAT_NOME,0)),"Sem categoria"))</f>
        <v/>
      </c>
      <c r="E3173" s="75">
        <f>IF($C3173="","",IFERROR(INDEX(CAT_GRUPO,MATCH($C3173,CAT_NOME,0)),"Sem categoria"))</f>
        <v/>
      </c>
      <c r="F3173" s="76" t="n"/>
      <c r="G3173" s="74" t="n"/>
      <c r="H3173" s="74" t="n"/>
      <c r="I3173" s="74" t="n"/>
      <c r="J3173" s="77" t="n"/>
      <c r="K3173" s="77" t="n"/>
      <c r="L3173" s="74" t="n"/>
      <c r="M3173" s="74" t="n"/>
      <c r="O3173" s="78">
        <f>IF($A3173="","",YEAR($A3173)*100+MONTH($A3173))</f>
        <v/>
      </c>
      <c r="P3173" s="79">
        <f>IF(OR($F3173="",$D3173=""),"",IF($D3173="Receita",$F3173,IF($D3173="Transferência",0,-$F3173)))</f>
        <v/>
      </c>
    </row>
    <row r="3174">
      <c r="A3174" s="73" t="n"/>
      <c r="B3174" s="74" t="n"/>
      <c r="C3174" s="74" t="n"/>
      <c r="D3174" s="75">
        <f>IF($C3174="","",IFERROR(INDEX(CAT_TIPO,MATCH($C3174,CAT_NOME,0)),"Sem categoria"))</f>
        <v/>
      </c>
      <c r="E3174" s="75">
        <f>IF($C3174="","",IFERROR(INDEX(CAT_GRUPO,MATCH($C3174,CAT_NOME,0)),"Sem categoria"))</f>
        <v/>
      </c>
      <c r="F3174" s="76" t="n"/>
      <c r="G3174" s="74" t="n"/>
      <c r="H3174" s="74" t="n"/>
      <c r="I3174" s="74" t="n"/>
      <c r="J3174" s="77" t="n"/>
      <c r="K3174" s="77" t="n"/>
      <c r="L3174" s="74" t="n"/>
      <c r="M3174" s="74" t="n"/>
      <c r="O3174" s="78">
        <f>IF($A3174="","",YEAR($A3174)*100+MONTH($A3174))</f>
        <v/>
      </c>
      <c r="P3174" s="79">
        <f>IF(OR($F3174="",$D3174=""),"",IF($D3174="Receita",$F3174,IF($D3174="Transferência",0,-$F3174)))</f>
        <v/>
      </c>
    </row>
    <row r="3175">
      <c r="A3175" s="73" t="n"/>
      <c r="B3175" s="74" t="n"/>
      <c r="C3175" s="74" t="n"/>
      <c r="D3175" s="75">
        <f>IF($C3175="","",IFERROR(INDEX(CAT_TIPO,MATCH($C3175,CAT_NOME,0)),"Sem categoria"))</f>
        <v/>
      </c>
      <c r="E3175" s="75">
        <f>IF($C3175="","",IFERROR(INDEX(CAT_GRUPO,MATCH($C3175,CAT_NOME,0)),"Sem categoria"))</f>
        <v/>
      </c>
      <c r="F3175" s="76" t="n"/>
      <c r="G3175" s="74" t="n"/>
      <c r="H3175" s="74" t="n"/>
      <c r="I3175" s="74" t="n"/>
      <c r="J3175" s="77" t="n"/>
      <c r="K3175" s="77" t="n"/>
      <c r="L3175" s="74" t="n"/>
      <c r="M3175" s="74" t="n"/>
      <c r="O3175" s="78">
        <f>IF($A3175="","",YEAR($A3175)*100+MONTH($A3175))</f>
        <v/>
      </c>
      <c r="P3175" s="79">
        <f>IF(OR($F3175="",$D3175=""),"",IF($D3175="Receita",$F3175,IF($D3175="Transferência",0,-$F3175)))</f>
        <v/>
      </c>
    </row>
    <row r="3176">
      <c r="A3176" s="73" t="n"/>
      <c r="B3176" s="74" t="n"/>
      <c r="C3176" s="74" t="n"/>
      <c r="D3176" s="75">
        <f>IF($C3176="","",IFERROR(INDEX(CAT_TIPO,MATCH($C3176,CAT_NOME,0)),"Sem categoria"))</f>
        <v/>
      </c>
      <c r="E3176" s="75">
        <f>IF($C3176="","",IFERROR(INDEX(CAT_GRUPO,MATCH($C3176,CAT_NOME,0)),"Sem categoria"))</f>
        <v/>
      </c>
      <c r="F3176" s="76" t="n"/>
      <c r="G3176" s="74" t="n"/>
      <c r="H3176" s="74" t="n"/>
      <c r="I3176" s="74" t="n"/>
      <c r="J3176" s="77" t="n"/>
      <c r="K3176" s="77" t="n"/>
      <c r="L3176" s="74" t="n"/>
      <c r="M3176" s="74" t="n"/>
      <c r="O3176" s="78">
        <f>IF($A3176="","",YEAR($A3176)*100+MONTH($A3176))</f>
        <v/>
      </c>
      <c r="P3176" s="79">
        <f>IF(OR($F3176="",$D3176=""),"",IF($D3176="Receita",$F3176,IF($D3176="Transferência",0,-$F3176)))</f>
        <v/>
      </c>
    </row>
    <row r="3177">
      <c r="A3177" s="73" t="n"/>
      <c r="B3177" s="74" t="n"/>
      <c r="C3177" s="74" t="n"/>
      <c r="D3177" s="75">
        <f>IF($C3177="","",IFERROR(INDEX(CAT_TIPO,MATCH($C3177,CAT_NOME,0)),"Sem categoria"))</f>
        <v/>
      </c>
      <c r="E3177" s="75">
        <f>IF($C3177="","",IFERROR(INDEX(CAT_GRUPO,MATCH($C3177,CAT_NOME,0)),"Sem categoria"))</f>
        <v/>
      </c>
      <c r="F3177" s="76" t="n"/>
      <c r="G3177" s="74" t="n"/>
      <c r="H3177" s="74" t="n"/>
      <c r="I3177" s="74" t="n"/>
      <c r="J3177" s="77" t="n"/>
      <c r="K3177" s="77" t="n"/>
      <c r="L3177" s="74" t="n"/>
      <c r="M3177" s="74" t="n"/>
      <c r="O3177" s="78">
        <f>IF($A3177="","",YEAR($A3177)*100+MONTH($A3177))</f>
        <v/>
      </c>
      <c r="P3177" s="79">
        <f>IF(OR($F3177="",$D3177=""),"",IF($D3177="Receita",$F3177,IF($D3177="Transferência",0,-$F3177)))</f>
        <v/>
      </c>
    </row>
    <row r="3178">
      <c r="A3178" s="73" t="n"/>
      <c r="B3178" s="74" t="n"/>
      <c r="C3178" s="74" t="n"/>
      <c r="D3178" s="75">
        <f>IF($C3178="","",IFERROR(INDEX(CAT_TIPO,MATCH($C3178,CAT_NOME,0)),"Sem categoria"))</f>
        <v/>
      </c>
      <c r="E3178" s="75">
        <f>IF($C3178="","",IFERROR(INDEX(CAT_GRUPO,MATCH($C3178,CAT_NOME,0)),"Sem categoria"))</f>
        <v/>
      </c>
      <c r="F3178" s="76" t="n"/>
      <c r="G3178" s="74" t="n"/>
      <c r="H3178" s="74" t="n"/>
      <c r="I3178" s="74" t="n"/>
      <c r="J3178" s="77" t="n"/>
      <c r="K3178" s="77" t="n"/>
      <c r="L3178" s="74" t="n"/>
      <c r="M3178" s="74" t="n"/>
      <c r="O3178" s="78">
        <f>IF($A3178="","",YEAR($A3178)*100+MONTH($A3178))</f>
        <v/>
      </c>
      <c r="P3178" s="79">
        <f>IF(OR($F3178="",$D3178=""),"",IF($D3178="Receita",$F3178,IF($D3178="Transferência",0,-$F3178)))</f>
        <v/>
      </c>
    </row>
    <row r="3179">
      <c r="A3179" s="73" t="n"/>
      <c r="B3179" s="74" t="n"/>
      <c r="C3179" s="74" t="n"/>
      <c r="D3179" s="75">
        <f>IF($C3179="","",IFERROR(INDEX(CAT_TIPO,MATCH($C3179,CAT_NOME,0)),"Sem categoria"))</f>
        <v/>
      </c>
      <c r="E3179" s="75">
        <f>IF($C3179="","",IFERROR(INDEX(CAT_GRUPO,MATCH($C3179,CAT_NOME,0)),"Sem categoria"))</f>
        <v/>
      </c>
      <c r="F3179" s="76" t="n"/>
      <c r="G3179" s="74" t="n"/>
      <c r="H3179" s="74" t="n"/>
      <c r="I3179" s="74" t="n"/>
      <c r="J3179" s="77" t="n"/>
      <c r="K3179" s="77" t="n"/>
      <c r="L3179" s="74" t="n"/>
      <c r="M3179" s="74" t="n"/>
      <c r="O3179" s="78">
        <f>IF($A3179="","",YEAR($A3179)*100+MONTH($A3179))</f>
        <v/>
      </c>
      <c r="P3179" s="79">
        <f>IF(OR($F3179="",$D3179=""),"",IF($D3179="Receita",$F3179,IF($D3179="Transferência",0,-$F3179)))</f>
        <v/>
      </c>
    </row>
    <row r="3180">
      <c r="A3180" s="73" t="n"/>
      <c r="B3180" s="74" t="n"/>
      <c r="C3180" s="74" t="n"/>
      <c r="D3180" s="75">
        <f>IF($C3180="","",IFERROR(INDEX(CAT_TIPO,MATCH($C3180,CAT_NOME,0)),"Sem categoria"))</f>
        <v/>
      </c>
      <c r="E3180" s="75">
        <f>IF($C3180="","",IFERROR(INDEX(CAT_GRUPO,MATCH($C3180,CAT_NOME,0)),"Sem categoria"))</f>
        <v/>
      </c>
      <c r="F3180" s="76" t="n"/>
      <c r="G3180" s="74" t="n"/>
      <c r="H3180" s="74" t="n"/>
      <c r="I3180" s="74" t="n"/>
      <c r="J3180" s="77" t="n"/>
      <c r="K3180" s="77" t="n"/>
      <c r="L3180" s="74" t="n"/>
      <c r="M3180" s="74" t="n"/>
      <c r="O3180" s="78">
        <f>IF($A3180="","",YEAR($A3180)*100+MONTH($A3180))</f>
        <v/>
      </c>
      <c r="P3180" s="79">
        <f>IF(OR($F3180="",$D3180=""),"",IF($D3180="Receita",$F3180,IF($D3180="Transferência",0,-$F3180)))</f>
        <v/>
      </c>
    </row>
    <row r="3181">
      <c r="A3181" s="73" t="n"/>
      <c r="B3181" s="74" t="n"/>
      <c r="C3181" s="74" t="n"/>
      <c r="D3181" s="75">
        <f>IF($C3181="","",IFERROR(INDEX(CAT_TIPO,MATCH($C3181,CAT_NOME,0)),"Sem categoria"))</f>
        <v/>
      </c>
      <c r="E3181" s="75">
        <f>IF($C3181="","",IFERROR(INDEX(CAT_GRUPO,MATCH($C3181,CAT_NOME,0)),"Sem categoria"))</f>
        <v/>
      </c>
      <c r="F3181" s="76" t="n"/>
      <c r="G3181" s="74" t="n"/>
      <c r="H3181" s="74" t="n"/>
      <c r="I3181" s="74" t="n"/>
      <c r="J3181" s="77" t="n"/>
      <c r="K3181" s="77" t="n"/>
      <c r="L3181" s="74" t="n"/>
      <c r="M3181" s="74" t="n"/>
      <c r="O3181" s="78">
        <f>IF($A3181="","",YEAR($A3181)*100+MONTH($A3181))</f>
        <v/>
      </c>
      <c r="P3181" s="79">
        <f>IF(OR($F3181="",$D3181=""),"",IF($D3181="Receita",$F3181,IF($D3181="Transferência",0,-$F3181)))</f>
        <v/>
      </c>
    </row>
    <row r="3182">
      <c r="A3182" s="73" t="n"/>
      <c r="B3182" s="74" t="n"/>
      <c r="C3182" s="74" t="n"/>
      <c r="D3182" s="75">
        <f>IF($C3182="","",IFERROR(INDEX(CAT_TIPO,MATCH($C3182,CAT_NOME,0)),"Sem categoria"))</f>
        <v/>
      </c>
      <c r="E3182" s="75">
        <f>IF($C3182="","",IFERROR(INDEX(CAT_GRUPO,MATCH($C3182,CAT_NOME,0)),"Sem categoria"))</f>
        <v/>
      </c>
      <c r="F3182" s="76" t="n"/>
      <c r="G3182" s="74" t="n"/>
      <c r="H3182" s="74" t="n"/>
      <c r="I3182" s="74" t="n"/>
      <c r="J3182" s="77" t="n"/>
      <c r="K3182" s="77" t="n"/>
      <c r="L3182" s="74" t="n"/>
      <c r="M3182" s="74" t="n"/>
      <c r="O3182" s="78">
        <f>IF($A3182="","",YEAR($A3182)*100+MONTH($A3182))</f>
        <v/>
      </c>
      <c r="P3182" s="79">
        <f>IF(OR($F3182="",$D3182=""),"",IF($D3182="Receita",$F3182,IF($D3182="Transferência",0,-$F3182)))</f>
        <v/>
      </c>
    </row>
    <row r="3183">
      <c r="A3183" s="73" t="n"/>
      <c r="B3183" s="74" t="n"/>
      <c r="C3183" s="74" t="n"/>
      <c r="D3183" s="75">
        <f>IF($C3183="","",IFERROR(INDEX(CAT_TIPO,MATCH($C3183,CAT_NOME,0)),"Sem categoria"))</f>
        <v/>
      </c>
      <c r="E3183" s="75">
        <f>IF($C3183="","",IFERROR(INDEX(CAT_GRUPO,MATCH($C3183,CAT_NOME,0)),"Sem categoria"))</f>
        <v/>
      </c>
      <c r="F3183" s="76" t="n"/>
      <c r="G3183" s="74" t="n"/>
      <c r="H3183" s="74" t="n"/>
      <c r="I3183" s="74" t="n"/>
      <c r="J3183" s="77" t="n"/>
      <c r="K3183" s="77" t="n"/>
      <c r="L3183" s="74" t="n"/>
      <c r="M3183" s="74" t="n"/>
      <c r="O3183" s="78">
        <f>IF($A3183="","",YEAR($A3183)*100+MONTH($A3183))</f>
        <v/>
      </c>
      <c r="P3183" s="79">
        <f>IF(OR($F3183="",$D3183=""),"",IF($D3183="Receita",$F3183,IF($D3183="Transferência",0,-$F3183)))</f>
        <v/>
      </c>
    </row>
    <row r="3184">
      <c r="A3184" s="73" t="n"/>
      <c r="B3184" s="74" t="n"/>
      <c r="C3184" s="74" t="n"/>
      <c r="D3184" s="75">
        <f>IF($C3184="","",IFERROR(INDEX(CAT_TIPO,MATCH($C3184,CAT_NOME,0)),"Sem categoria"))</f>
        <v/>
      </c>
      <c r="E3184" s="75">
        <f>IF($C3184="","",IFERROR(INDEX(CAT_GRUPO,MATCH($C3184,CAT_NOME,0)),"Sem categoria"))</f>
        <v/>
      </c>
      <c r="F3184" s="76" t="n"/>
      <c r="G3184" s="74" t="n"/>
      <c r="H3184" s="74" t="n"/>
      <c r="I3184" s="74" t="n"/>
      <c r="J3184" s="77" t="n"/>
      <c r="K3184" s="77" t="n"/>
      <c r="L3184" s="74" t="n"/>
      <c r="M3184" s="74" t="n"/>
      <c r="O3184" s="78">
        <f>IF($A3184="","",YEAR($A3184)*100+MONTH($A3184))</f>
        <v/>
      </c>
      <c r="P3184" s="79">
        <f>IF(OR($F3184="",$D3184=""),"",IF($D3184="Receita",$F3184,IF($D3184="Transferência",0,-$F3184)))</f>
        <v/>
      </c>
    </row>
    <row r="3185">
      <c r="A3185" s="73" t="n"/>
      <c r="B3185" s="74" t="n"/>
      <c r="C3185" s="74" t="n"/>
      <c r="D3185" s="75">
        <f>IF($C3185="","",IFERROR(INDEX(CAT_TIPO,MATCH($C3185,CAT_NOME,0)),"Sem categoria"))</f>
        <v/>
      </c>
      <c r="E3185" s="75">
        <f>IF($C3185="","",IFERROR(INDEX(CAT_GRUPO,MATCH($C3185,CAT_NOME,0)),"Sem categoria"))</f>
        <v/>
      </c>
      <c r="F3185" s="76" t="n"/>
      <c r="G3185" s="74" t="n"/>
      <c r="H3185" s="74" t="n"/>
      <c r="I3185" s="74" t="n"/>
      <c r="J3185" s="77" t="n"/>
      <c r="K3185" s="77" t="n"/>
      <c r="L3185" s="74" t="n"/>
      <c r="M3185" s="74" t="n"/>
      <c r="O3185" s="78">
        <f>IF($A3185="","",YEAR($A3185)*100+MONTH($A3185))</f>
        <v/>
      </c>
      <c r="P3185" s="79">
        <f>IF(OR($F3185="",$D3185=""),"",IF($D3185="Receita",$F3185,IF($D3185="Transferência",0,-$F3185)))</f>
        <v/>
      </c>
    </row>
    <row r="3186">
      <c r="A3186" s="73" t="n"/>
      <c r="B3186" s="74" t="n"/>
      <c r="C3186" s="74" t="n"/>
      <c r="D3186" s="75">
        <f>IF($C3186="","",IFERROR(INDEX(CAT_TIPO,MATCH($C3186,CAT_NOME,0)),"Sem categoria"))</f>
        <v/>
      </c>
      <c r="E3186" s="75">
        <f>IF($C3186="","",IFERROR(INDEX(CAT_GRUPO,MATCH($C3186,CAT_NOME,0)),"Sem categoria"))</f>
        <v/>
      </c>
      <c r="F3186" s="76" t="n"/>
      <c r="G3186" s="74" t="n"/>
      <c r="H3186" s="74" t="n"/>
      <c r="I3186" s="74" t="n"/>
      <c r="J3186" s="77" t="n"/>
      <c r="K3186" s="77" t="n"/>
      <c r="L3186" s="74" t="n"/>
      <c r="M3186" s="74" t="n"/>
      <c r="O3186" s="78">
        <f>IF($A3186="","",YEAR($A3186)*100+MONTH($A3186))</f>
        <v/>
      </c>
      <c r="P3186" s="79">
        <f>IF(OR($F3186="",$D3186=""),"",IF($D3186="Receita",$F3186,IF($D3186="Transferência",0,-$F3186)))</f>
        <v/>
      </c>
    </row>
    <row r="3187">
      <c r="A3187" s="73" t="n"/>
      <c r="B3187" s="74" t="n"/>
      <c r="C3187" s="74" t="n"/>
      <c r="D3187" s="75">
        <f>IF($C3187="","",IFERROR(INDEX(CAT_TIPO,MATCH($C3187,CAT_NOME,0)),"Sem categoria"))</f>
        <v/>
      </c>
      <c r="E3187" s="75">
        <f>IF($C3187="","",IFERROR(INDEX(CAT_GRUPO,MATCH($C3187,CAT_NOME,0)),"Sem categoria"))</f>
        <v/>
      </c>
      <c r="F3187" s="76" t="n"/>
      <c r="G3187" s="74" t="n"/>
      <c r="H3187" s="74" t="n"/>
      <c r="I3187" s="74" t="n"/>
      <c r="J3187" s="77" t="n"/>
      <c r="K3187" s="77" t="n"/>
      <c r="L3187" s="74" t="n"/>
      <c r="M3187" s="74" t="n"/>
      <c r="O3187" s="78">
        <f>IF($A3187="","",YEAR($A3187)*100+MONTH($A3187))</f>
        <v/>
      </c>
      <c r="P3187" s="79">
        <f>IF(OR($F3187="",$D3187=""),"",IF($D3187="Receita",$F3187,IF($D3187="Transferência",0,-$F3187)))</f>
        <v/>
      </c>
    </row>
    <row r="3188">
      <c r="A3188" s="73" t="n"/>
      <c r="B3188" s="74" t="n"/>
      <c r="C3188" s="74" t="n"/>
      <c r="D3188" s="75">
        <f>IF($C3188="","",IFERROR(INDEX(CAT_TIPO,MATCH($C3188,CAT_NOME,0)),"Sem categoria"))</f>
        <v/>
      </c>
      <c r="E3188" s="75">
        <f>IF($C3188="","",IFERROR(INDEX(CAT_GRUPO,MATCH($C3188,CAT_NOME,0)),"Sem categoria"))</f>
        <v/>
      </c>
      <c r="F3188" s="76" t="n"/>
      <c r="G3188" s="74" t="n"/>
      <c r="H3188" s="74" t="n"/>
      <c r="I3188" s="74" t="n"/>
      <c r="J3188" s="77" t="n"/>
      <c r="K3188" s="77" t="n"/>
      <c r="L3188" s="74" t="n"/>
      <c r="M3188" s="74" t="n"/>
      <c r="O3188" s="78">
        <f>IF($A3188="","",YEAR($A3188)*100+MONTH($A3188))</f>
        <v/>
      </c>
      <c r="P3188" s="79">
        <f>IF(OR($F3188="",$D3188=""),"",IF($D3188="Receita",$F3188,IF($D3188="Transferência",0,-$F3188)))</f>
        <v/>
      </c>
    </row>
    <row r="3189">
      <c r="A3189" s="73" t="n"/>
      <c r="B3189" s="74" t="n"/>
      <c r="C3189" s="74" t="n"/>
      <c r="D3189" s="75">
        <f>IF($C3189="","",IFERROR(INDEX(CAT_TIPO,MATCH($C3189,CAT_NOME,0)),"Sem categoria"))</f>
        <v/>
      </c>
      <c r="E3189" s="75">
        <f>IF($C3189="","",IFERROR(INDEX(CAT_GRUPO,MATCH($C3189,CAT_NOME,0)),"Sem categoria"))</f>
        <v/>
      </c>
      <c r="F3189" s="76" t="n"/>
      <c r="G3189" s="74" t="n"/>
      <c r="H3189" s="74" t="n"/>
      <c r="I3189" s="74" t="n"/>
      <c r="J3189" s="77" t="n"/>
      <c r="K3189" s="77" t="n"/>
      <c r="L3189" s="74" t="n"/>
      <c r="M3189" s="74" t="n"/>
      <c r="O3189" s="78">
        <f>IF($A3189="","",YEAR($A3189)*100+MONTH($A3189))</f>
        <v/>
      </c>
      <c r="P3189" s="79">
        <f>IF(OR($F3189="",$D3189=""),"",IF($D3189="Receita",$F3189,IF($D3189="Transferência",0,-$F3189)))</f>
        <v/>
      </c>
    </row>
    <row r="3190">
      <c r="A3190" s="73" t="n"/>
      <c r="B3190" s="74" t="n"/>
      <c r="C3190" s="74" t="n"/>
      <c r="D3190" s="75">
        <f>IF($C3190="","",IFERROR(INDEX(CAT_TIPO,MATCH($C3190,CAT_NOME,0)),"Sem categoria"))</f>
        <v/>
      </c>
      <c r="E3190" s="75">
        <f>IF($C3190="","",IFERROR(INDEX(CAT_GRUPO,MATCH($C3190,CAT_NOME,0)),"Sem categoria"))</f>
        <v/>
      </c>
      <c r="F3190" s="76" t="n"/>
      <c r="G3190" s="74" t="n"/>
      <c r="H3190" s="74" t="n"/>
      <c r="I3190" s="74" t="n"/>
      <c r="J3190" s="77" t="n"/>
      <c r="K3190" s="77" t="n"/>
      <c r="L3190" s="74" t="n"/>
      <c r="M3190" s="74" t="n"/>
      <c r="O3190" s="78">
        <f>IF($A3190="","",YEAR($A3190)*100+MONTH($A3190))</f>
        <v/>
      </c>
      <c r="P3190" s="79">
        <f>IF(OR($F3190="",$D3190=""),"",IF($D3190="Receita",$F3190,IF($D3190="Transferência",0,-$F3190)))</f>
        <v/>
      </c>
    </row>
    <row r="3191">
      <c r="A3191" s="73" t="n"/>
      <c r="B3191" s="74" t="n"/>
      <c r="C3191" s="74" t="n"/>
      <c r="D3191" s="75">
        <f>IF($C3191="","",IFERROR(INDEX(CAT_TIPO,MATCH($C3191,CAT_NOME,0)),"Sem categoria"))</f>
        <v/>
      </c>
      <c r="E3191" s="75">
        <f>IF($C3191="","",IFERROR(INDEX(CAT_GRUPO,MATCH($C3191,CAT_NOME,0)),"Sem categoria"))</f>
        <v/>
      </c>
      <c r="F3191" s="76" t="n"/>
      <c r="G3191" s="74" t="n"/>
      <c r="H3191" s="74" t="n"/>
      <c r="I3191" s="74" t="n"/>
      <c r="J3191" s="77" t="n"/>
      <c r="K3191" s="77" t="n"/>
      <c r="L3191" s="74" t="n"/>
      <c r="M3191" s="74" t="n"/>
      <c r="O3191" s="78">
        <f>IF($A3191="","",YEAR($A3191)*100+MONTH($A3191))</f>
        <v/>
      </c>
      <c r="P3191" s="79">
        <f>IF(OR($F3191="",$D3191=""),"",IF($D3191="Receita",$F3191,IF($D3191="Transferência",0,-$F3191)))</f>
        <v/>
      </c>
    </row>
    <row r="3192">
      <c r="A3192" s="73" t="n"/>
      <c r="B3192" s="74" t="n"/>
      <c r="C3192" s="74" t="n"/>
      <c r="D3192" s="75">
        <f>IF($C3192="","",IFERROR(INDEX(CAT_TIPO,MATCH($C3192,CAT_NOME,0)),"Sem categoria"))</f>
        <v/>
      </c>
      <c r="E3192" s="75">
        <f>IF($C3192="","",IFERROR(INDEX(CAT_GRUPO,MATCH($C3192,CAT_NOME,0)),"Sem categoria"))</f>
        <v/>
      </c>
      <c r="F3192" s="76" t="n"/>
      <c r="G3192" s="74" t="n"/>
      <c r="H3192" s="74" t="n"/>
      <c r="I3192" s="74" t="n"/>
      <c r="J3192" s="77" t="n"/>
      <c r="K3192" s="77" t="n"/>
      <c r="L3192" s="74" t="n"/>
      <c r="M3192" s="74" t="n"/>
      <c r="O3192" s="78">
        <f>IF($A3192="","",YEAR($A3192)*100+MONTH($A3192))</f>
        <v/>
      </c>
      <c r="P3192" s="79">
        <f>IF(OR($F3192="",$D3192=""),"",IF($D3192="Receita",$F3192,IF($D3192="Transferência",0,-$F3192)))</f>
        <v/>
      </c>
    </row>
    <row r="3193">
      <c r="A3193" s="73" t="n"/>
      <c r="B3193" s="74" t="n"/>
      <c r="C3193" s="74" t="n"/>
      <c r="D3193" s="75">
        <f>IF($C3193="","",IFERROR(INDEX(CAT_TIPO,MATCH($C3193,CAT_NOME,0)),"Sem categoria"))</f>
        <v/>
      </c>
      <c r="E3193" s="75">
        <f>IF($C3193="","",IFERROR(INDEX(CAT_GRUPO,MATCH($C3193,CAT_NOME,0)),"Sem categoria"))</f>
        <v/>
      </c>
      <c r="F3193" s="76" t="n"/>
      <c r="G3193" s="74" t="n"/>
      <c r="H3193" s="74" t="n"/>
      <c r="I3193" s="74" t="n"/>
      <c r="J3193" s="77" t="n"/>
      <c r="K3193" s="77" t="n"/>
      <c r="L3193" s="74" t="n"/>
      <c r="M3193" s="74" t="n"/>
      <c r="O3193" s="78">
        <f>IF($A3193="","",YEAR($A3193)*100+MONTH($A3193))</f>
        <v/>
      </c>
      <c r="P3193" s="79">
        <f>IF(OR($F3193="",$D3193=""),"",IF($D3193="Receita",$F3193,IF($D3193="Transferência",0,-$F3193)))</f>
        <v/>
      </c>
    </row>
    <row r="3194">
      <c r="A3194" s="73" t="n"/>
      <c r="B3194" s="74" t="n"/>
      <c r="C3194" s="74" t="n"/>
      <c r="D3194" s="75">
        <f>IF($C3194="","",IFERROR(INDEX(CAT_TIPO,MATCH($C3194,CAT_NOME,0)),"Sem categoria"))</f>
        <v/>
      </c>
      <c r="E3194" s="75">
        <f>IF($C3194="","",IFERROR(INDEX(CAT_GRUPO,MATCH($C3194,CAT_NOME,0)),"Sem categoria"))</f>
        <v/>
      </c>
      <c r="F3194" s="76" t="n"/>
      <c r="G3194" s="74" t="n"/>
      <c r="H3194" s="74" t="n"/>
      <c r="I3194" s="74" t="n"/>
      <c r="J3194" s="77" t="n"/>
      <c r="K3194" s="77" t="n"/>
      <c r="L3194" s="74" t="n"/>
      <c r="M3194" s="74" t="n"/>
      <c r="O3194" s="78">
        <f>IF($A3194="","",YEAR($A3194)*100+MONTH($A3194))</f>
        <v/>
      </c>
      <c r="P3194" s="79">
        <f>IF(OR($F3194="",$D3194=""),"",IF($D3194="Receita",$F3194,IF($D3194="Transferência",0,-$F3194)))</f>
        <v/>
      </c>
    </row>
    <row r="3195">
      <c r="A3195" s="73" t="n"/>
      <c r="B3195" s="74" t="n"/>
      <c r="C3195" s="74" t="n"/>
      <c r="D3195" s="75">
        <f>IF($C3195="","",IFERROR(INDEX(CAT_TIPO,MATCH($C3195,CAT_NOME,0)),"Sem categoria"))</f>
        <v/>
      </c>
      <c r="E3195" s="75">
        <f>IF($C3195="","",IFERROR(INDEX(CAT_GRUPO,MATCH($C3195,CAT_NOME,0)),"Sem categoria"))</f>
        <v/>
      </c>
      <c r="F3195" s="76" t="n"/>
      <c r="G3195" s="74" t="n"/>
      <c r="H3195" s="74" t="n"/>
      <c r="I3195" s="74" t="n"/>
      <c r="J3195" s="77" t="n"/>
      <c r="K3195" s="77" t="n"/>
      <c r="L3195" s="74" t="n"/>
      <c r="M3195" s="74" t="n"/>
      <c r="O3195" s="78">
        <f>IF($A3195="","",YEAR($A3195)*100+MONTH($A3195))</f>
        <v/>
      </c>
      <c r="P3195" s="79">
        <f>IF(OR($F3195="",$D3195=""),"",IF($D3195="Receita",$F3195,IF($D3195="Transferência",0,-$F3195)))</f>
        <v/>
      </c>
    </row>
    <row r="3196">
      <c r="A3196" s="73" t="n"/>
      <c r="B3196" s="74" t="n"/>
      <c r="C3196" s="74" t="n"/>
      <c r="D3196" s="75">
        <f>IF($C3196="","",IFERROR(INDEX(CAT_TIPO,MATCH($C3196,CAT_NOME,0)),"Sem categoria"))</f>
        <v/>
      </c>
      <c r="E3196" s="75">
        <f>IF($C3196="","",IFERROR(INDEX(CAT_GRUPO,MATCH($C3196,CAT_NOME,0)),"Sem categoria"))</f>
        <v/>
      </c>
      <c r="F3196" s="76" t="n"/>
      <c r="G3196" s="74" t="n"/>
      <c r="H3196" s="74" t="n"/>
      <c r="I3196" s="74" t="n"/>
      <c r="J3196" s="77" t="n"/>
      <c r="K3196" s="77" t="n"/>
      <c r="L3196" s="74" t="n"/>
      <c r="M3196" s="74" t="n"/>
      <c r="O3196" s="78">
        <f>IF($A3196="","",YEAR($A3196)*100+MONTH($A3196))</f>
        <v/>
      </c>
      <c r="P3196" s="79">
        <f>IF(OR($F3196="",$D3196=""),"",IF($D3196="Receita",$F3196,IF($D3196="Transferência",0,-$F3196)))</f>
        <v/>
      </c>
    </row>
    <row r="3197">
      <c r="A3197" s="73" t="n"/>
      <c r="B3197" s="74" t="n"/>
      <c r="C3197" s="74" t="n"/>
      <c r="D3197" s="75">
        <f>IF($C3197="","",IFERROR(INDEX(CAT_TIPO,MATCH($C3197,CAT_NOME,0)),"Sem categoria"))</f>
        <v/>
      </c>
      <c r="E3197" s="75">
        <f>IF($C3197="","",IFERROR(INDEX(CAT_GRUPO,MATCH($C3197,CAT_NOME,0)),"Sem categoria"))</f>
        <v/>
      </c>
      <c r="F3197" s="76" t="n"/>
      <c r="G3197" s="74" t="n"/>
      <c r="H3197" s="74" t="n"/>
      <c r="I3197" s="74" t="n"/>
      <c r="J3197" s="77" t="n"/>
      <c r="K3197" s="77" t="n"/>
      <c r="L3197" s="74" t="n"/>
      <c r="M3197" s="74" t="n"/>
      <c r="O3197" s="78">
        <f>IF($A3197="","",YEAR($A3197)*100+MONTH($A3197))</f>
        <v/>
      </c>
      <c r="P3197" s="79">
        <f>IF(OR($F3197="",$D3197=""),"",IF($D3197="Receita",$F3197,IF($D3197="Transferência",0,-$F3197)))</f>
        <v/>
      </c>
    </row>
    <row r="3198">
      <c r="A3198" s="73" t="n"/>
      <c r="B3198" s="74" t="n"/>
      <c r="C3198" s="74" t="n"/>
      <c r="D3198" s="75">
        <f>IF($C3198="","",IFERROR(INDEX(CAT_TIPO,MATCH($C3198,CAT_NOME,0)),"Sem categoria"))</f>
        <v/>
      </c>
      <c r="E3198" s="75">
        <f>IF($C3198="","",IFERROR(INDEX(CAT_GRUPO,MATCH($C3198,CAT_NOME,0)),"Sem categoria"))</f>
        <v/>
      </c>
      <c r="F3198" s="76" t="n"/>
      <c r="G3198" s="74" t="n"/>
      <c r="H3198" s="74" t="n"/>
      <c r="I3198" s="74" t="n"/>
      <c r="J3198" s="77" t="n"/>
      <c r="K3198" s="77" t="n"/>
      <c r="L3198" s="74" t="n"/>
      <c r="M3198" s="74" t="n"/>
      <c r="O3198" s="78">
        <f>IF($A3198="","",YEAR($A3198)*100+MONTH($A3198))</f>
        <v/>
      </c>
      <c r="P3198" s="79">
        <f>IF(OR($F3198="",$D3198=""),"",IF($D3198="Receita",$F3198,IF($D3198="Transferência",0,-$F3198)))</f>
        <v/>
      </c>
    </row>
    <row r="3199">
      <c r="A3199" s="73" t="n"/>
      <c r="B3199" s="74" t="n"/>
      <c r="C3199" s="74" t="n"/>
      <c r="D3199" s="75">
        <f>IF($C3199="","",IFERROR(INDEX(CAT_TIPO,MATCH($C3199,CAT_NOME,0)),"Sem categoria"))</f>
        <v/>
      </c>
      <c r="E3199" s="75">
        <f>IF($C3199="","",IFERROR(INDEX(CAT_GRUPO,MATCH($C3199,CAT_NOME,0)),"Sem categoria"))</f>
        <v/>
      </c>
      <c r="F3199" s="76" t="n"/>
      <c r="G3199" s="74" t="n"/>
      <c r="H3199" s="74" t="n"/>
      <c r="I3199" s="74" t="n"/>
      <c r="J3199" s="77" t="n"/>
      <c r="K3199" s="77" t="n"/>
      <c r="L3199" s="74" t="n"/>
      <c r="M3199" s="74" t="n"/>
      <c r="O3199" s="78">
        <f>IF($A3199="","",YEAR($A3199)*100+MONTH($A3199))</f>
        <v/>
      </c>
      <c r="P3199" s="79">
        <f>IF(OR($F3199="",$D3199=""),"",IF($D3199="Receita",$F3199,IF($D3199="Transferência",0,-$F3199)))</f>
        <v/>
      </c>
    </row>
    <row r="3200">
      <c r="A3200" s="73" t="n"/>
      <c r="B3200" s="74" t="n"/>
      <c r="C3200" s="74" t="n"/>
      <c r="D3200" s="75">
        <f>IF($C3200="","",IFERROR(INDEX(CAT_TIPO,MATCH($C3200,CAT_NOME,0)),"Sem categoria"))</f>
        <v/>
      </c>
      <c r="E3200" s="75">
        <f>IF($C3200="","",IFERROR(INDEX(CAT_GRUPO,MATCH($C3200,CAT_NOME,0)),"Sem categoria"))</f>
        <v/>
      </c>
      <c r="F3200" s="76" t="n"/>
      <c r="G3200" s="74" t="n"/>
      <c r="H3200" s="74" t="n"/>
      <c r="I3200" s="74" t="n"/>
      <c r="J3200" s="77" t="n"/>
      <c r="K3200" s="77" t="n"/>
      <c r="L3200" s="74" t="n"/>
      <c r="M3200" s="74" t="n"/>
      <c r="O3200" s="78">
        <f>IF($A3200="","",YEAR($A3200)*100+MONTH($A3200))</f>
        <v/>
      </c>
      <c r="P3200" s="79">
        <f>IF(OR($F3200="",$D3200=""),"",IF($D3200="Receita",$F3200,IF($D3200="Transferência",0,-$F3200)))</f>
        <v/>
      </c>
    </row>
    <row r="3201">
      <c r="A3201" s="73" t="n"/>
      <c r="B3201" s="74" t="n"/>
      <c r="C3201" s="74" t="n"/>
      <c r="D3201" s="75">
        <f>IF($C3201="","",IFERROR(INDEX(CAT_TIPO,MATCH($C3201,CAT_NOME,0)),"Sem categoria"))</f>
        <v/>
      </c>
      <c r="E3201" s="75">
        <f>IF($C3201="","",IFERROR(INDEX(CAT_GRUPO,MATCH($C3201,CAT_NOME,0)),"Sem categoria"))</f>
        <v/>
      </c>
      <c r="F3201" s="76" t="n"/>
      <c r="G3201" s="74" t="n"/>
      <c r="H3201" s="74" t="n"/>
      <c r="I3201" s="74" t="n"/>
      <c r="J3201" s="77" t="n"/>
      <c r="K3201" s="77" t="n"/>
      <c r="L3201" s="74" t="n"/>
      <c r="M3201" s="74" t="n"/>
      <c r="O3201" s="78">
        <f>IF($A3201="","",YEAR($A3201)*100+MONTH($A3201))</f>
        <v/>
      </c>
      <c r="P3201" s="79">
        <f>IF(OR($F3201="",$D3201=""),"",IF($D3201="Receita",$F3201,IF($D3201="Transferência",0,-$F3201)))</f>
        <v/>
      </c>
    </row>
    <row r="3202">
      <c r="A3202" s="73" t="n"/>
      <c r="B3202" s="74" t="n"/>
      <c r="C3202" s="74" t="n"/>
      <c r="D3202" s="75">
        <f>IF($C3202="","",IFERROR(INDEX(CAT_TIPO,MATCH($C3202,CAT_NOME,0)),"Sem categoria"))</f>
        <v/>
      </c>
      <c r="E3202" s="75">
        <f>IF($C3202="","",IFERROR(INDEX(CAT_GRUPO,MATCH($C3202,CAT_NOME,0)),"Sem categoria"))</f>
        <v/>
      </c>
      <c r="F3202" s="76" t="n"/>
      <c r="G3202" s="74" t="n"/>
      <c r="H3202" s="74" t="n"/>
      <c r="I3202" s="74" t="n"/>
      <c r="J3202" s="77" t="n"/>
      <c r="K3202" s="77" t="n"/>
      <c r="L3202" s="74" t="n"/>
      <c r="M3202" s="74" t="n"/>
      <c r="O3202" s="78">
        <f>IF($A3202="","",YEAR($A3202)*100+MONTH($A3202))</f>
        <v/>
      </c>
      <c r="P3202" s="79">
        <f>IF(OR($F3202="",$D3202=""),"",IF($D3202="Receita",$F3202,IF($D3202="Transferência",0,-$F3202)))</f>
        <v/>
      </c>
    </row>
    <row r="3203">
      <c r="A3203" s="73" t="n"/>
      <c r="B3203" s="74" t="n"/>
      <c r="C3203" s="74" t="n"/>
      <c r="D3203" s="75">
        <f>IF($C3203="","",IFERROR(INDEX(CAT_TIPO,MATCH($C3203,CAT_NOME,0)),"Sem categoria"))</f>
        <v/>
      </c>
      <c r="E3203" s="75">
        <f>IF($C3203="","",IFERROR(INDEX(CAT_GRUPO,MATCH($C3203,CAT_NOME,0)),"Sem categoria"))</f>
        <v/>
      </c>
      <c r="F3203" s="76" t="n"/>
      <c r="G3203" s="74" t="n"/>
      <c r="H3203" s="74" t="n"/>
      <c r="I3203" s="74" t="n"/>
      <c r="J3203" s="77" t="n"/>
      <c r="K3203" s="77" t="n"/>
      <c r="L3203" s="74" t="n"/>
      <c r="M3203" s="74" t="n"/>
      <c r="O3203" s="78">
        <f>IF($A3203="","",YEAR($A3203)*100+MONTH($A3203))</f>
        <v/>
      </c>
      <c r="P3203" s="79">
        <f>IF(OR($F3203="",$D3203=""),"",IF($D3203="Receita",$F3203,IF($D3203="Transferência",0,-$F3203)))</f>
        <v/>
      </c>
    </row>
    <row r="3204">
      <c r="A3204" s="73" t="n"/>
      <c r="B3204" s="74" t="n"/>
      <c r="C3204" s="74" t="n"/>
      <c r="D3204" s="75">
        <f>IF($C3204="","",IFERROR(INDEX(CAT_TIPO,MATCH($C3204,CAT_NOME,0)),"Sem categoria"))</f>
        <v/>
      </c>
      <c r="E3204" s="75">
        <f>IF($C3204="","",IFERROR(INDEX(CAT_GRUPO,MATCH($C3204,CAT_NOME,0)),"Sem categoria"))</f>
        <v/>
      </c>
      <c r="F3204" s="76" t="n"/>
      <c r="G3204" s="74" t="n"/>
      <c r="H3204" s="74" t="n"/>
      <c r="I3204" s="74" t="n"/>
      <c r="J3204" s="77" t="n"/>
      <c r="K3204" s="77" t="n"/>
      <c r="L3204" s="74" t="n"/>
      <c r="M3204" s="74" t="n"/>
      <c r="O3204" s="78">
        <f>IF($A3204="","",YEAR($A3204)*100+MONTH($A3204))</f>
        <v/>
      </c>
      <c r="P3204" s="79">
        <f>IF(OR($F3204="",$D3204=""),"",IF($D3204="Receita",$F3204,IF($D3204="Transferência",0,-$F3204)))</f>
        <v/>
      </c>
    </row>
    <row r="3205">
      <c r="A3205" s="73" t="n"/>
      <c r="B3205" s="74" t="n"/>
      <c r="C3205" s="74" t="n"/>
      <c r="D3205" s="75">
        <f>IF($C3205="","",IFERROR(INDEX(CAT_TIPO,MATCH($C3205,CAT_NOME,0)),"Sem categoria"))</f>
        <v/>
      </c>
      <c r="E3205" s="75">
        <f>IF($C3205="","",IFERROR(INDEX(CAT_GRUPO,MATCH($C3205,CAT_NOME,0)),"Sem categoria"))</f>
        <v/>
      </c>
      <c r="F3205" s="76" t="n"/>
      <c r="G3205" s="74" t="n"/>
      <c r="H3205" s="74" t="n"/>
      <c r="I3205" s="74" t="n"/>
      <c r="J3205" s="77" t="n"/>
      <c r="K3205" s="77" t="n"/>
      <c r="L3205" s="74" t="n"/>
      <c r="M3205" s="74" t="n"/>
      <c r="O3205" s="78">
        <f>IF($A3205="","",YEAR($A3205)*100+MONTH($A3205))</f>
        <v/>
      </c>
      <c r="P3205" s="79">
        <f>IF(OR($F3205="",$D3205=""),"",IF($D3205="Receita",$F3205,IF($D3205="Transferência",0,-$F3205)))</f>
        <v/>
      </c>
    </row>
    <row r="3206">
      <c r="A3206" s="73" t="n"/>
      <c r="B3206" s="74" t="n"/>
      <c r="C3206" s="74" t="n"/>
      <c r="D3206" s="75">
        <f>IF($C3206="","",IFERROR(INDEX(CAT_TIPO,MATCH($C3206,CAT_NOME,0)),"Sem categoria"))</f>
        <v/>
      </c>
      <c r="E3206" s="75">
        <f>IF($C3206="","",IFERROR(INDEX(CAT_GRUPO,MATCH($C3206,CAT_NOME,0)),"Sem categoria"))</f>
        <v/>
      </c>
      <c r="F3206" s="76" t="n"/>
      <c r="G3206" s="74" t="n"/>
      <c r="H3206" s="74" t="n"/>
      <c r="I3206" s="74" t="n"/>
      <c r="J3206" s="77" t="n"/>
      <c r="K3206" s="77" t="n"/>
      <c r="L3206" s="74" t="n"/>
      <c r="M3206" s="74" t="n"/>
      <c r="O3206" s="78">
        <f>IF($A3206="","",YEAR($A3206)*100+MONTH($A3206))</f>
        <v/>
      </c>
      <c r="P3206" s="79">
        <f>IF(OR($F3206="",$D3206=""),"",IF($D3206="Receita",$F3206,IF($D3206="Transferência",0,-$F3206)))</f>
        <v/>
      </c>
    </row>
    <row r="3207">
      <c r="A3207" s="73" t="n"/>
      <c r="B3207" s="74" t="n"/>
      <c r="C3207" s="74" t="n"/>
      <c r="D3207" s="75">
        <f>IF($C3207="","",IFERROR(INDEX(CAT_TIPO,MATCH($C3207,CAT_NOME,0)),"Sem categoria"))</f>
        <v/>
      </c>
      <c r="E3207" s="75">
        <f>IF($C3207="","",IFERROR(INDEX(CAT_GRUPO,MATCH($C3207,CAT_NOME,0)),"Sem categoria"))</f>
        <v/>
      </c>
      <c r="F3207" s="76" t="n"/>
      <c r="G3207" s="74" t="n"/>
      <c r="H3207" s="74" t="n"/>
      <c r="I3207" s="74" t="n"/>
      <c r="J3207" s="77" t="n"/>
      <c r="K3207" s="77" t="n"/>
      <c r="L3207" s="74" t="n"/>
      <c r="M3207" s="74" t="n"/>
      <c r="O3207" s="78">
        <f>IF($A3207="","",YEAR($A3207)*100+MONTH($A3207))</f>
        <v/>
      </c>
      <c r="P3207" s="79">
        <f>IF(OR($F3207="",$D3207=""),"",IF($D3207="Receita",$F3207,IF($D3207="Transferência",0,-$F3207)))</f>
        <v/>
      </c>
    </row>
    <row r="3208">
      <c r="A3208" s="73" t="n"/>
      <c r="B3208" s="74" t="n"/>
      <c r="C3208" s="74" t="n"/>
      <c r="D3208" s="75">
        <f>IF($C3208="","",IFERROR(INDEX(CAT_TIPO,MATCH($C3208,CAT_NOME,0)),"Sem categoria"))</f>
        <v/>
      </c>
      <c r="E3208" s="75">
        <f>IF($C3208="","",IFERROR(INDEX(CAT_GRUPO,MATCH($C3208,CAT_NOME,0)),"Sem categoria"))</f>
        <v/>
      </c>
      <c r="F3208" s="76" t="n"/>
      <c r="G3208" s="74" t="n"/>
      <c r="H3208" s="74" t="n"/>
      <c r="I3208" s="74" t="n"/>
      <c r="J3208" s="77" t="n"/>
      <c r="K3208" s="77" t="n"/>
      <c r="L3208" s="74" t="n"/>
      <c r="M3208" s="74" t="n"/>
      <c r="O3208" s="78">
        <f>IF($A3208="","",YEAR($A3208)*100+MONTH($A3208))</f>
        <v/>
      </c>
      <c r="P3208" s="79">
        <f>IF(OR($F3208="",$D3208=""),"",IF($D3208="Receita",$F3208,IF($D3208="Transferência",0,-$F3208)))</f>
        <v/>
      </c>
    </row>
    <row r="3209">
      <c r="A3209" s="73" t="n"/>
      <c r="B3209" s="74" t="n"/>
      <c r="C3209" s="74" t="n"/>
      <c r="D3209" s="75">
        <f>IF($C3209="","",IFERROR(INDEX(CAT_TIPO,MATCH($C3209,CAT_NOME,0)),"Sem categoria"))</f>
        <v/>
      </c>
      <c r="E3209" s="75">
        <f>IF($C3209="","",IFERROR(INDEX(CAT_GRUPO,MATCH($C3209,CAT_NOME,0)),"Sem categoria"))</f>
        <v/>
      </c>
      <c r="F3209" s="76" t="n"/>
      <c r="G3209" s="74" t="n"/>
      <c r="H3209" s="74" t="n"/>
      <c r="I3209" s="74" t="n"/>
      <c r="J3209" s="77" t="n"/>
      <c r="K3209" s="77" t="n"/>
      <c r="L3209" s="74" t="n"/>
      <c r="M3209" s="74" t="n"/>
      <c r="O3209" s="78">
        <f>IF($A3209="","",YEAR($A3209)*100+MONTH($A3209))</f>
        <v/>
      </c>
      <c r="P3209" s="79">
        <f>IF(OR($F3209="",$D3209=""),"",IF($D3209="Receita",$F3209,IF($D3209="Transferência",0,-$F3209)))</f>
        <v/>
      </c>
    </row>
    <row r="3210">
      <c r="A3210" s="73" t="n"/>
      <c r="B3210" s="74" t="n"/>
      <c r="C3210" s="74" t="n"/>
      <c r="D3210" s="75">
        <f>IF($C3210="","",IFERROR(INDEX(CAT_TIPO,MATCH($C3210,CAT_NOME,0)),"Sem categoria"))</f>
        <v/>
      </c>
      <c r="E3210" s="75">
        <f>IF($C3210="","",IFERROR(INDEX(CAT_GRUPO,MATCH($C3210,CAT_NOME,0)),"Sem categoria"))</f>
        <v/>
      </c>
      <c r="F3210" s="76" t="n"/>
      <c r="G3210" s="74" t="n"/>
      <c r="H3210" s="74" t="n"/>
      <c r="I3210" s="74" t="n"/>
      <c r="J3210" s="77" t="n"/>
      <c r="K3210" s="77" t="n"/>
      <c r="L3210" s="74" t="n"/>
      <c r="M3210" s="74" t="n"/>
      <c r="O3210" s="78">
        <f>IF($A3210="","",YEAR($A3210)*100+MONTH($A3210))</f>
        <v/>
      </c>
      <c r="P3210" s="79">
        <f>IF(OR($F3210="",$D3210=""),"",IF($D3210="Receita",$F3210,IF($D3210="Transferência",0,-$F3210)))</f>
        <v/>
      </c>
    </row>
    <row r="3211">
      <c r="A3211" s="73" t="n"/>
      <c r="B3211" s="74" t="n"/>
      <c r="C3211" s="74" t="n"/>
      <c r="D3211" s="75">
        <f>IF($C3211="","",IFERROR(INDEX(CAT_TIPO,MATCH($C3211,CAT_NOME,0)),"Sem categoria"))</f>
        <v/>
      </c>
      <c r="E3211" s="75">
        <f>IF($C3211="","",IFERROR(INDEX(CAT_GRUPO,MATCH($C3211,CAT_NOME,0)),"Sem categoria"))</f>
        <v/>
      </c>
      <c r="F3211" s="76" t="n"/>
      <c r="G3211" s="74" t="n"/>
      <c r="H3211" s="74" t="n"/>
      <c r="I3211" s="74" t="n"/>
      <c r="J3211" s="77" t="n"/>
      <c r="K3211" s="77" t="n"/>
      <c r="L3211" s="74" t="n"/>
      <c r="M3211" s="74" t="n"/>
      <c r="O3211" s="78">
        <f>IF($A3211="","",YEAR($A3211)*100+MONTH($A3211))</f>
        <v/>
      </c>
      <c r="P3211" s="79">
        <f>IF(OR($F3211="",$D3211=""),"",IF($D3211="Receita",$F3211,IF($D3211="Transferência",0,-$F3211)))</f>
        <v/>
      </c>
    </row>
    <row r="3212">
      <c r="A3212" s="73" t="n"/>
      <c r="B3212" s="74" t="n"/>
      <c r="C3212" s="74" t="n"/>
      <c r="D3212" s="75">
        <f>IF($C3212="","",IFERROR(INDEX(CAT_TIPO,MATCH($C3212,CAT_NOME,0)),"Sem categoria"))</f>
        <v/>
      </c>
      <c r="E3212" s="75">
        <f>IF($C3212="","",IFERROR(INDEX(CAT_GRUPO,MATCH($C3212,CAT_NOME,0)),"Sem categoria"))</f>
        <v/>
      </c>
      <c r="F3212" s="76" t="n"/>
      <c r="G3212" s="74" t="n"/>
      <c r="H3212" s="74" t="n"/>
      <c r="I3212" s="74" t="n"/>
      <c r="J3212" s="77" t="n"/>
      <c r="K3212" s="77" t="n"/>
      <c r="L3212" s="74" t="n"/>
      <c r="M3212" s="74" t="n"/>
      <c r="O3212" s="78">
        <f>IF($A3212="","",YEAR($A3212)*100+MONTH($A3212))</f>
        <v/>
      </c>
      <c r="P3212" s="79">
        <f>IF(OR($F3212="",$D3212=""),"",IF($D3212="Receita",$F3212,IF($D3212="Transferência",0,-$F3212)))</f>
        <v/>
      </c>
    </row>
    <row r="3213">
      <c r="A3213" s="73" t="n"/>
      <c r="B3213" s="74" t="n"/>
      <c r="C3213" s="74" t="n"/>
      <c r="D3213" s="75">
        <f>IF($C3213="","",IFERROR(INDEX(CAT_TIPO,MATCH($C3213,CAT_NOME,0)),"Sem categoria"))</f>
        <v/>
      </c>
      <c r="E3213" s="75">
        <f>IF($C3213="","",IFERROR(INDEX(CAT_GRUPO,MATCH($C3213,CAT_NOME,0)),"Sem categoria"))</f>
        <v/>
      </c>
      <c r="F3213" s="76" t="n"/>
      <c r="G3213" s="74" t="n"/>
      <c r="H3213" s="74" t="n"/>
      <c r="I3213" s="74" t="n"/>
      <c r="J3213" s="77" t="n"/>
      <c r="K3213" s="77" t="n"/>
      <c r="L3213" s="74" t="n"/>
      <c r="M3213" s="74" t="n"/>
      <c r="O3213" s="78">
        <f>IF($A3213="","",YEAR($A3213)*100+MONTH($A3213))</f>
        <v/>
      </c>
      <c r="P3213" s="79">
        <f>IF(OR($F3213="",$D3213=""),"",IF($D3213="Receita",$F3213,IF($D3213="Transferência",0,-$F3213)))</f>
        <v/>
      </c>
    </row>
    <row r="3214">
      <c r="A3214" s="73" t="n"/>
      <c r="B3214" s="74" t="n"/>
      <c r="C3214" s="74" t="n"/>
      <c r="D3214" s="75">
        <f>IF($C3214="","",IFERROR(INDEX(CAT_TIPO,MATCH($C3214,CAT_NOME,0)),"Sem categoria"))</f>
        <v/>
      </c>
      <c r="E3214" s="75">
        <f>IF($C3214="","",IFERROR(INDEX(CAT_GRUPO,MATCH($C3214,CAT_NOME,0)),"Sem categoria"))</f>
        <v/>
      </c>
      <c r="F3214" s="76" t="n"/>
      <c r="G3214" s="74" t="n"/>
      <c r="H3214" s="74" t="n"/>
      <c r="I3214" s="74" t="n"/>
      <c r="J3214" s="77" t="n"/>
      <c r="K3214" s="77" t="n"/>
      <c r="L3214" s="74" t="n"/>
      <c r="M3214" s="74" t="n"/>
      <c r="O3214" s="78">
        <f>IF($A3214="","",YEAR($A3214)*100+MONTH($A3214))</f>
        <v/>
      </c>
      <c r="P3214" s="79">
        <f>IF(OR($F3214="",$D3214=""),"",IF($D3214="Receita",$F3214,IF($D3214="Transferência",0,-$F3214)))</f>
        <v/>
      </c>
    </row>
    <row r="3215">
      <c r="A3215" s="73" t="n"/>
      <c r="B3215" s="74" t="n"/>
      <c r="C3215" s="74" t="n"/>
      <c r="D3215" s="75">
        <f>IF($C3215="","",IFERROR(INDEX(CAT_TIPO,MATCH($C3215,CAT_NOME,0)),"Sem categoria"))</f>
        <v/>
      </c>
      <c r="E3215" s="75">
        <f>IF($C3215="","",IFERROR(INDEX(CAT_GRUPO,MATCH($C3215,CAT_NOME,0)),"Sem categoria"))</f>
        <v/>
      </c>
      <c r="F3215" s="76" t="n"/>
      <c r="G3215" s="74" t="n"/>
      <c r="H3215" s="74" t="n"/>
      <c r="I3215" s="74" t="n"/>
      <c r="J3215" s="77" t="n"/>
      <c r="K3215" s="77" t="n"/>
      <c r="L3215" s="74" t="n"/>
      <c r="M3215" s="74" t="n"/>
      <c r="O3215" s="78">
        <f>IF($A3215="","",YEAR($A3215)*100+MONTH($A3215))</f>
        <v/>
      </c>
      <c r="P3215" s="79">
        <f>IF(OR($F3215="",$D3215=""),"",IF($D3215="Receita",$F3215,IF($D3215="Transferência",0,-$F3215)))</f>
        <v/>
      </c>
    </row>
    <row r="3216">
      <c r="A3216" s="73" t="n"/>
      <c r="B3216" s="74" t="n"/>
      <c r="C3216" s="74" t="n"/>
      <c r="D3216" s="75">
        <f>IF($C3216="","",IFERROR(INDEX(CAT_TIPO,MATCH($C3216,CAT_NOME,0)),"Sem categoria"))</f>
        <v/>
      </c>
      <c r="E3216" s="75">
        <f>IF($C3216="","",IFERROR(INDEX(CAT_GRUPO,MATCH($C3216,CAT_NOME,0)),"Sem categoria"))</f>
        <v/>
      </c>
      <c r="F3216" s="76" t="n"/>
      <c r="G3216" s="74" t="n"/>
      <c r="H3216" s="74" t="n"/>
      <c r="I3216" s="74" t="n"/>
      <c r="J3216" s="77" t="n"/>
      <c r="K3216" s="77" t="n"/>
      <c r="L3216" s="74" t="n"/>
      <c r="M3216" s="74" t="n"/>
      <c r="O3216" s="78">
        <f>IF($A3216="","",YEAR($A3216)*100+MONTH($A3216))</f>
        <v/>
      </c>
      <c r="P3216" s="79">
        <f>IF(OR($F3216="",$D3216=""),"",IF($D3216="Receita",$F3216,IF($D3216="Transferência",0,-$F3216)))</f>
        <v/>
      </c>
    </row>
    <row r="3217">
      <c r="A3217" s="73" t="n"/>
      <c r="B3217" s="74" t="n"/>
      <c r="C3217" s="74" t="n"/>
      <c r="D3217" s="75">
        <f>IF($C3217="","",IFERROR(INDEX(CAT_TIPO,MATCH($C3217,CAT_NOME,0)),"Sem categoria"))</f>
        <v/>
      </c>
      <c r="E3217" s="75">
        <f>IF($C3217="","",IFERROR(INDEX(CAT_GRUPO,MATCH($C3217,CAT_NOME,0)),"Sem categoria"))</f>
        <v/>
      </c>
      <c r="F3217" s="76" t="n"/>
      <c r="G3217" s="74" t="n"/>
      <c r="H3217" s="74" t="n"/>
      <c r="I3217" s="74" t="n"/>
      <c r="J3217" s="77" t="n"/>
      <c r="K3217" s="77" t="n"/>
      <c r="L3217" s="74" t="n"/>
      <c r="M3217" s="74" t="n"/>
      <c r="O3217" s="78">
        <f>IF($A3217="","",YEAR($A3217)*100+MONTH($A3217))</f>
        <v/>
      </c>
      <c r="P3217" s="79">
        <f>IF(OR($F3217="",$D3217=""),"",IF($D3217="Receita",$F3217,IF($D3217="Transferência",0,-$F3217)))</f>
        <v/>
      </c>
    </row>
    <row r="3218">
      <c r="A3218" s="73" t="n"/>
      <c r="B3218" s="74" t="n"/>
      <c r="C3218" s="74" t="n"/>
      <c r="D3218" s="75">
        <f>IF($C3218="","",IFERROR(INDEX(CAT_TIPO,MATCH($C3218,CAT_NOME,0)),"Sem categoria"))</f>
        <v/>
      </c>
      <c r="E3218" s="75">
        <f>IF($C3218="","",IFERROR(INDEX(CAT_GRUPO,MATCH($C3218,CAT_NOME,0)),"Sem categoria"))</f>
        <v/>
      </c>
      <c r="F3218" s="76" t="n"/>
      <c r="G3218" s="74" t="n"/>
      <c r="H3218" s="74" t="n"/>
      <c r="I3218" s="74" t="n"/>
      <c r="J3218" s="77" t="n"/>
      <c r="K3218" s="77" t="n"/>
      <c r="L3218" s="74" t="n"/>
      <c r="M3218" s="74" t="n"/>
      <c r="O3218" s="78">
        <f>IF($A3218="","",YEAR($A3218)*100+MONTH($A3218))</f>
        <v/>
      </c>
      <c r="P3218" s="79">
        <f>IF(OR($F3218="",$D3218=""),"",IF($D3218="Receita",$F3218,IF($D3218="Transferência",0,-$F3218)))</f>
        <v/>
      </c>
    </row>
    <row r="3219">
      <c r="A3219" s="73" t="n"/>
      <c r="B3219" s="74" t="n"/>
      <c r="C3219" s="74" t="n"/>
      <c r="D3219" s="75">
        <f>IF($C3219="","",IFERROR(INDEX(CAT_TIPO,MATCH($C3219,CAT_NOME,0)),"Sem categoria"))</f>
        <v/>
      </c>
      <c r="E3219" s="75">
        <f>IF($C3219="","",IFERROR(INDEX(CAT_GRUPO,MATCH($C3219,CAT_NOME,0)),"Sem categoria"))</f>
        <v/>
      </c>
      <c r="F3219" s="76" t="n"/>
      <c r="G3219" s="74" t="n"/>
      <c r="H3219" s="74" t="n"/>
      <c r="I3219" s="74" t="n"/>
      <c r="J3219" s="77" t="n"/>
      <c r="K3219" s="77" t="n"/>
      <c r="L3219" s="74" t="n"/>
      <c r="M3219" s="74" t="n"/>
      <c r="O3219" s="78">
        <f>IF($A3219="","",YEAR($A3219)*100+MONTH($A3219))</f>
        <v/>
      </c>
      <c r="P3219" s="79">
        <f>IF(OR($F3219="",$D3219=""),"",IF($D3219="Receita",$F3219,IF($D3219="Transferência",0,-$F3219)))</f>
        <v/>
      </c>
    </row>
    <row r="3220">
      <c r="A3220" s="73" t="n"/>
      <c r="B3220" s="74" t="n"/>
      <c r="C3220" s="74" t="n"/>
      <c r="D3220" s="75">
        <f>IF($C3220="","",IFERROR(INDEX(CAT_TIPO,MATCH($C3220,CAT_NOME,0)),"Sem categoria"))</f>
        <v/>
      </c>
      <c r="E3220" s="75">
        <f>IF($C3220="","",IFERROR(INDEX(CAT_GRUPO,MATCH($C3220,CAT_NOME,0)),"Sem categoria"))</f>
        <v/>
      </c>
      <c r="F3220" s="76" t="n"/>
      <c r="G3220" s="74" t="n"/>
      <c r="H3220" s="74" t="n"/>
      <c r="I3220" s="74" t="n"/>
      <c r="J3220" s="77" t="n"/>
      <c r="K3220" s="77" t="n"/>
      <c r="L3220" s="74" t="n"/>
      <c r="M3220" s="74" t="n"/>
      <c r="O3220" s="78">
        <f>IF($A3220="","",YEAR($A3220)*100+MONTH($A3220))</f>
        <v/>
      </c>
      <c r="P3220" s="79">
        <f>IF(OR($F3220="",$D3220=""),"",IF($D3220="Receita",$F3220,IF($D3220="Transferência",0,-$F3220)))</f>
        <v/>
      </c>
    </row>
    <row r="3221">
      <c r="A3221" s="73" t="n"/>
      <c r="B3221" s="74" t="n"/>
      <c r="C3221" s="74" t="n"/>
      <c r="D3221" s="75">
        <f>IF($C3221="","",IFERROR(INDEX(CAT_TIPO,MATCH($C3221,CAT_NOME,0)),"Sem categoria"))</f>
        <v/>
      </c>
      <c r="E3221" s="75">
        <f>IF($C3221="","",IFERROR(INDEX(CAT_GRUPO,MATCH($C3221,CAT_NOME,0)),"Sem categoria"))</f>
        <v/>
      </c>
      <c r="F3221" s="76" t="n"/>
      <c r="G3221" s="74" t="n"/>
      <c r="H3221" s="74" t="n"/>
      <c r="I3221" s="74" t="n"/>
      <c r="J3221" s="77" t="n"/>
      <c r="K3221" s="77" t="n"/>
      <c r="L3221" s="74" t="n"/>
      <c r="M3221" s="74" t="n"/>
      <c r="O3221" s="78">
        <f>IF($A3221="","",YEAR($A3221)*100+MONTH($A3221))</f>
        <v/>
      </c>
      <c r="P3221" s="79">
        <f>IF(OR($F3221="",$D3221=""),"",IF($D3221="Receita",$F3221,IF($D3221="Transferência",0,-$F3221)))</f>
        <v/>
      </c>
    </row>
    <row r="3222">
      <c r="A3222" s="73" t="n"/>
      <c r="B3222" s="74" t="n"/>
      <c r="C3222" s="74" t="n"/>
      <c r="D3222" s="75">
        <f>IF($C3222="","",IFERROR(INDEX(CAT_TIPO,MATCH($C3222,CAT_NOME,0)),"Sem categoria"))</f>
        <v/>
      </c>
      <c r="E3222" s="75">
        <f>IF($C3222="","",IFERROR(INDEX(CAT_GRUPO,MATCH($C3222,CAT_NOME,0)),"Sem categoria"))</f>
        <v/>
      </c>
      <c r="F3222" s="76" t="n"/>
      <c r="G3222" s="74" t="n"/>
      <c r="H3222" s="74" t="n"/>
      <c r="I3222" s="74" t="n"/>
      <c r="J3222" s="77" t="n"/>
      <c r="K3222" s="77" t="n"/>
      <c r="L3222" s="74" t="n"/>
      <c r="M3222" s="74" t="n"/>
      <c r="O3222" s="78">
        <f>IF($A3222="","",YEAR($A3222)*100+MONTH($A3222))</f>
        <v/>
      </c>
      <c r="P3222" s="79">
        <f>IF(OR($F3222="",$D3222=""),"",IF($D3222="Receita",$F3222,IF($D3222="Transferência",0,-$F3222)))</f>
        <v/>
      </c>
    </row>
    <row r="3223">
      <c r="A3223" s="73" t="n"/>
      <c r="B3223" s="74" t="n"/>
      <c r="C3223" s="74" t="n"/>
      <c r="D3223" s="75">
        <f>IF($C3223="","",IFERROR(INDEX(CAT_TIPO,MATCH($C3223,CAT_NOME,0)),"Sem categoria"))</f>
        <v/>
      </c>
      <c r="E3223" s="75">
        <f>IF($C3223="","",IFERROR(INDEX(CAT_GRUPO,MATCH($C3223,CAT_NOME,0)),"Sem categoria"))</f>
        <v/>
      </c>
      <c r="F3223" s="76" t="n"/>
      <c r="G3223" s="74" t="n"/>
      <c r="H3223" s="74" t="n"/>
      <c r="I3223" s="74" t="n"/>
      <c r="J3223" s="77" t="n"/>
      <c r="K3223" s="77" t="n"/>
      <c r="L3223" s="74" t="n"/>
      <c r="M3223" s="74" t="n"/>
      <c r="O3223" s="78">
        <f>IF($A3223="","",YEAR($A3223)*100+MONTH($A3223))</f>
        <v/>
      </c>
      <c r="P3223" s="79">
        <f>IF(OR($F3223="",$D3223=""),"",IF($D3223="Receita",$F3223,IF($D3223="Transferência",0,-$F3223)))</f>
        <v/>
      </c>
    </row>
    <row r="3224">
      <c r="A3224" s="73" t="n"/>
      <c r="B3224" s="74" t="n"/>
      <c r="C3224" s="74" t="n"/>
      <c r="D3224" s="75">
        <f>IF($C3224="","",IFERROR(INDEX(CAT_TIPO,MATCH($C3224,CAT_NOME,0)),"Sem categoria"))</f>
        <v/>
      </c>
      <c r="E3224" s="75">
        <f>IF($C3224="","",IFERROR(INDEX(CAT_GRUPO,MATCH($C3224,CAT_NOME,0)),"Sem categoria"))</f>
        <v/>
      </c>
      <c r="F3224" s="76" t="n"/>
      <c r="G3224" s="74" t="n"/>
      <c r="H3224" s="74" t="n"/>
      <c r="I3224" s="74" t="n"/>
      <c r="J3224" s="77" t="n"/>
      <c r="K3224" s="77" t="n"/>
      <c r="L3224" s="74" t="n"/>
      <c r="M3224" s="74" t="n"/>
      <c r="O3224" s="78">
        <f>IF($A3224="","",YEAR($A3224)*100+MONTH($A3224))</f>
        <v/>
      </c>
      <c r="P3224" s="79">
        <f>IF(OR($F3224="",$D3224=""),"",IF($D3224="Receita",$F3224,IF($D3224="Transferência",0,-$F3224)))</f>
        <v/>
      </c>
    </row>
    <row r="3225">
      <c r="A3225" s="73" t="n"/>
      <c r="B3225" s="74" t="n"/>
      <c r="C3225" s="74" t="n"/>
      <c r="D3225" s="75">
        <f>IF($C3225="","",IFERROR(INDEX(CAT_TIPO,MATCH($C3225,CAT_NOME,0)),"Sem categoria"))</f>
        <v/>
      </c>
      <c r="E3225" s="75">
        <f>IF($C3225="","",IFERROR(INDEX(CAT_GRUPO,MATCH($C3225,CAT_NOME,0)),"Sem categoria"))</f>
        <v/>
      </c>
      <c r="F3225" s="76" t="n"/>
      <c r="G3225" s="74" t="n"/>
      <c r="H3225" s="74" t="n"/>
      <c r="I3225" s="74" t="n"/>
      <c r="J3225" s="77" t="n"/>
      <c r="K3225" s="77" t="n"/>
      <c r="L3225" s="74" t="n"/>
      <c r="M3225" s="74" t="n"/>
      <c r="O3225" s="78">
        <f>IF($A3225="","",YEAR($A3225)*100+MONTH($A3225))</f>
        <v/>
      </c>
      <c r="P3225" s="79">
        <f>IF(OR($F3225="",$D3225=""),"",IF($D3225="Receita",$F3225,IF($D3225="Transferência",0,-$F3225)))</f>
        <v/>
      </c>
    </row>
    <row r="3226">
      <c r="A3226" s="73" t="n"/>
      <c r="B3226" s="74" t="n"/>
      <c r="C3226" s="74" t="n"/>
      <c r="D3226" s="75">
        <f>IF($C3226="","",IFERROR(INDEX(CAT_TIPO,MATCH($C3226,CAT_NOME,0)),"Sem categoria"))</f>
        <v/>
      </c>
      <c r="E3226" s="75">
        <f>IF($C3226="","",IFERROR(INDEX(CAT_GRUPO,MATCH($C3226,CAT_NOME,0)),"Sem categoria"))</f>
        <v/>
      </c>
      <c r="F3226" s="76" t="n"/>
      <c r="G3226" s="74" t="n"/>
      <c r="H3226" s="74" t="n"/>
      <c r="I3226" s="74" t="n"/>
      <c r="J3226" s="77" t="n"/>
      <c r="K3226" s="77" t="n"/>
      <c r="L3226" s="74" t="n"/>
      <c r="M3226" s="74" t="n"/>
      <c r="O3226" s="78">
        <f>IF($A3226="","",YEAR($A3226)*100+MONTH($A3226))</f>
        <v/>
      </c>
      <c r="P3226" s="79">
        <f>IF(OR($F3226="",$D3226=""),"",IF($D3226="Receita",$F3226,IF($D3226="Transferência",0,-$F3226)))</f>
        <v/>
      </c>
    </row>
    <row r="3227">
      <c r="A3227" s="73" t="n"/>
      <c r="B3227" s="74" t="n"/>
      <c r="C3227" s="74" t="n"/>
      <c r="D3227" s="75">
        <f>IF($C3227="","",IFERROR(INDEX(CAT_TIPO,MATCH($C3227,CAT_NOME,0)),"Sem categoria"))</f>
        <v/>
      </c>
      <c r="E3227" s="75">
        <f>IF($C3227="","",IFERROR(INDEX(CAT_GRUPO,MATCH($C3227,CAT_NOME,0)),"Sem categoria"))</f>
        <v/>
      </c>
      <c r="F3227" s="76" t="n"/>
      <c r="G3227" s="74" t="n"/>
      <c r="H3227" s="74" t="n"/>
      <c r="I3227" s="74" t="n"/>
      <c r="J3227" s="77" t="n"/>
      <c r="K3227" s="77" t="n"/>
      <c r="L3227" s="74" t="n"/>
      <c r="M3227" s="74" t="n"/>
      <c r="O3227" s="78">
        <f>IF($A3227="","",YEAR($A3227)*100+MONTH($A3227))</f>
        <v/>
      </c>
      <c r="P3227" s="79">
        <f>IF(OR($F3227="",$D3227=""),"",IF($D3227="Receita",$F3227,IF($D3227="Transferência",0,-$F3227)))</f>
        <v/>
      </c>
    </row>
    <row r="3228">
      <c r="A3228" s="73" t="n"/>
      <c r="B3228" s="74" t="n"/>
      <c r="C3228" s="74" t="n"/>
      <c r="D3228" s="75">
        <f>IF($C3228="","",IFERROR(INDEX(CAT_TIPO,MATCH($C3228,CAT_NOME,0)),"Sem categoria"))</f>
        <v/>
      </c>
      <c r="E3228" s="75">
        <f>IF($C3228="","",IFERROR(INDEX(CAT_GRUPO,MATCH($C3228,CAT_NOME,0)),"Sem categoria"))</f>
        <v/>
      </c>
      <c r="F3228" s="76" t="n"/>
      <c r="G3228" s="74" t="n"/>
      <c r="H3228" s="74" t="n"/>
      <c r="I3228" s="74" t="n"/>
      <c r="J3228" s="77" t="n"/>
      <c r="K3228" s="77" t="n"/>
      <c r="L3228" s="74" t="n"/>
      <c r="M3228" s="74" t="n"/>
      <c r="O3228" s="78">
        <f>IF($A3228="","",YEAR($A3228)*100+MONTH($A3228))</f>
        <v/>
      </c>
      <c r="P3228" s="79">
        <f>IF(OR($F3228="",$D3228=""),"",IF($D3228="Receita",$F3228,IF($D3228="Transferência",0,-$F3228)))</f>
        <v/>
      </c>
    </row>
    <row r="3229">
      <c r="A3229" s="73" t="n"/>
      <c r="B3229" s="74" t="n"/>
      <c r="C3229" s="74" t="n"/>
      <c r="D3229" s="75">
        <f>IF($C3229="","",IFERROR(INDEX(CAT_TIPO,MATCH($C3229,CAT_NOME,0)),"Sem categoria"))</f>
        <v/>
      </c>
      <c r="E3229" s="75">
        <f>IF($C3229="","",IFERROR(INDEX(CAT_GRUPO,MATCH($C3229,CAT_NOME,0)),"Sem categoria"))</f>
        <v/>
      </c>
      <c r="F3229" s="76" t="n"/>
      <c r="G3229" s="74" t="n"/>
      <c r="H3229" s="74" t="n"/>
      <c r="I3229" s="74" t="n"/>
      <c r="J3229" s="77" t="n"/>
      <c r="K3229" s="77" t="n"/>
      <c r="L3229" s="74" t="n"/>
      <c r="M3229" s="74" t="n"/>
      <c r="O3229" s="78">
        <f>IF($A3229="","",YEAR($A3229)*100+MONTH($A3229))</f>
        <v/>
      </c>
      <c r="P3229" s="79">
        <f>IF(OR($F3229="",$D3229=""),"",IF($D3229="Receita",$F3229,IF($D3229="Transferência",0,-$F3229)))</f>
        <v/>
      </c>
    </row>
    <row r="3230">
      <c r="A3230" s="73" t="n"/>
      <c r="B3230" s="74" t="n"/>
      <c r="C3230" s="74" t="n"/>
      <c r="D3230" s="75">
        <f>IF($C3230="","",IFERROR(INDEX(CAT_TIPO,MATCH($C3230,CAT_NOME,0)),"Sem categoria"))</f>
        <v/>
      </c>
      <c r="E3230" s="75">
        <f>IF($C3230="","",IFERROR(INDEX(CAT_GRUPO,MATCH($C3230,CAT_NOME,0)),"Sem categoria"))</f>
        <v/>
      </c>
      <c r="F3230" s="76" t="n"/>
      <c r="G3230" s="74" t="n"/>
      <c r="H3230" s="74" t="n"/>
      <c r="I3230" s="74" t="n"/>
      <c r="J3230" s="77" t="n"/>
      <c r="K3230" s="77" t="n"/>
      <c r="L3230" s="74" t="n"/>
      <c r="M3230" s="74" t="n"/>
      <c r="O3230" s="78">
        <f>IF($A3230="","",YEAR($A3230)*100+MONTH($A3230))</f>
        <v/>
      </c>
      <c r="P3230" s="79">
        <f>IF(OR($F3230="",$D3230=""),"",IF($D3230="Receita",$F3230,IF($D3230="Transferência",0,-$F3230)))</f>
        <v/>
      </c>
    </row>
    <row r="3231">
      <c r="A3231" s="73" t="n"/>
      <c r="B3231" s="74" t="n"/>
      <c r="C3231" s="74" t="n"/>
      <c r="D3231" s="75">
        <f>IF($C3231="","",IFERROR(INDEX(CAT_TIPO,MATCH($C3231,CAT_NOME,0)),"Sem categoria"))</f>
        <v/>
      </c>
      <c r="E3231" s="75">
        <f>IF($C3231="","",IFERROR(INDEX(CAT_GRUPO,MATCH($C3231,CAT_NOME,0)),"Sem categoria"))</f>
        <v/>
      </c>
      <c r="F3231" s="76" t="n"/>
      <c r="G3231" s="74" t="n"/>
      <c r="H3231" s="74" t="n"/>
      <c r="I3231" s="74" t="n"/>
      <c r="J3231" s="77" t="n"/>
      <c r="K3231" s="77" t="n"/>
      <c r="L3231" s="74" t="n"/>
      <c r="M3231" s="74" t="n"/>
      <c r="O3231" s="78">
        <f>IF($A3231="","",YEAR($A3231)*100+MONTH($A3231))</f>
        <v/>
      </c>
      <c r="P3231" s="79">
        <f>IF(OR($F3231="",$D3231=""),"",IF($D3231="Receita",$F3231,IF($D3231="Transferência",0,-$F3231)))</f>
        <v/>
      </c>
    </row>
    <row r="3232">
      <c r="A3232" s="73" t="n"/>
      <c r="B3232" s="74" t="n"/>
      <c r="C3232" s="74" t="n"/>
      <c r="D3232" s="75">
        <f>IF($C3232="","",IFERROR(INDEX(CAT_TIPO,MATCH($C3232,CAT_NOME,0)),"Sem categoria"))</f>
        <v/>
      </c>
      <c r="E3232" s="75">
        <f>IF($C3232="","",IFERROR(INDEX(CAT_GRUPO,MATCH($C3232,CAT_NOME,0)),"Sem categoria"))</f>
        <v/>
      </c>
      <c r="F3232" s="76" t="n"/>
      <c r="G3232" s="74" t="n"/>
      <c r="H3232" s="74" t="n"/>
      <c r="I3232" s="74" t="n"/>
      <c r="J3232" s="77" t="n"/>
      <c r="K3232" s="77" t="n"/>
      <c r="L3232" s="74" t="n"/>
      <c r="M3232" s="74" t="n"/>
      <c r="O3232" s="78">
        <f>IF($A3232="","",YEAR($A3232)*100+MONTH($A3232))</f>
        <v/>
      </c>
      <c r="P3232" s="79">
        <f>IF(OR($F3232="",$D3232=""),"",IF($D3232="Receita",$F3232,IF($D3232="Transferência",0,-$F3232)))</f>
        <v/>
      </c>
    </row>
    <row r="3233">
      <c r="A3233" s="73" t="n"/>
      <c r="B3233" s="74" t="n"/>
      <c r="C3233" s="74" t="n"/>
      <c r="D3233" s="75">
        <f>IF($C3233="","",IFERROR(INDEX(CAT_TIPO,MATCH($C3233,CAT_NOME,0)),"Sem categoria"))</f>
        <v/>
      </c>
      <c r="E3233" s="75">
        <f>IF($C3233="","",IFERROR(INDEX(CAT_GRUPO,MATCH($C3233,CAT_NOME,0)),"Sem categoria"))</f>
        <v/>
      </c>
      <c r="F3233" s="76" t="n"/>
      <c r="G3233" s="74" t="n"/>
      <c r="H3233" s="74" t="n"/>
      <c r="I3233" s="74" t="n"/>
      <c r="J3233" s="77" t="n"/>
      <c r="K3233" s="77" t="n"/>
      <c r="L3233" s="74" t="n"/>
      <c r="M3233" s="74" t="n"/>
      <c r="O3233" s="78">
        <f>IF($A3233="","",YEAR($A3233)*100+MONTH($A3233))</f>
        <v/>
      </c>
      <c r="P3233" s="79">
        <f>IF(OR($F3233="",$D3233=""),"",IF($D3233="Receita",$F3233,IF($D3233="Transferência",0,-$F3233)))</f>
        <v/>
      </c>
    </row>
    <row r="3234">
      <c r="A3234" s="73" t="n"/>
      <c r="B3234" s="74" t="n"/>
      <c r="C3234" s="74" t="n"/>
      <c r="D3234" s="75">
        <f>IF($C3234="","",IFERROR(INDEX(CAT_TIPO,MATCH($C3234,CAT_NOME,0)),"Sem categoria"))</f>
        <v/>
      </c>
      <c r="E3234" s="75">
        <f>IF($C3234="","",IFERROR(INDEX(CAT_GRUPO,MATCH($C3234,CAT_NOME,0)),"Sem categoria"))</f>
        <v/>
      </c>
      <c r="F3234" s="76" t="n"/>
      <c r="G3234" s="74" t="n"/>
      <c r="H3234" s="74" t="n"/>
      <c r="I3234" s="74" t="n"/>
      <c r="J3234" s="77" t="n"/>
      <c r="K3234" s="77" t="n"/>
      <c r="L3234" s="74" t="n"/>
      <c r="M3234" s="74" t="n"/>
      <c r="O3234" s="78">
        <f>IF($A3234="","",YEAR($A3234)*100+MONTH($A3234))</f>
        <v/>
      </c>
      <c r="P3234" s="79">
        <f>IF(OR($F3234="",$D3234=""),"",IF($D3234="Receita",$F3234,IF($D3234="Transferência",0,-$F3234)))</f>
        <v/>
      </c>
    </row>
    <row r="3235">
      <c r="A3235" s="73" t="n"/>
      <c r="B3235" s="74" t="n"/>
      <c r="C3235" s="74" t="n"/>
      <c r="D3235" s="75">
        <f>IF($C3235="","",IFERROR(INDEX(CAT_TIPO,MATCH($C3235,CAT_NOME,0)),"Sem categoria"))</f>
        <v/>
      </c>
      <c r="E3235" s="75">
        <f>IF($C3235="","",IFERROR(INDEX(CAT_GRUPO,MATCH($C3235,CAT_NOME,0)),"Sem categoria"))</f>
        <v/>
      </c>
      <c r="F3235" s="76" t="n"/>
      <c r="G3235" s="74" t="n"/>
      <c r="H3235" s="74" t="n"/>
      <c r="I3235" s="74" t="n"/>
      <c r="J3235" s="77" t="n"/>
      <c r="K3235" s="77" t="n"/>
      <c r="L3235" s="74" t="n"/>
      <c r="M3235" s="74" t="n"/>
      <c r="O3235" s="78">
        <f>IF($A3235="","",YEAR($A3235)*100+MONTH($A3235))</f>
        <v/>
      </c>
      <c r="P3235" s="79">
        <f>IF(OR($F3235="",$D3235=""),"",IF($D3235="Receita",$F3235,IF($D3235="Transferência",0,-$F3235)))</f>
        <v/>
      </c>
    </row>
    <row r="3236">
      <c r="A3236" s="73" t="n"/>
      <c r="B3236" s="74" t="n"/>
      <c r="C3236" s="74" t="n"/>
      <c r="D3236" s="75">
        <f>IF($C3236="","",IFERROR(INDEX(CAT_TIPO,MATCH($C3236,CAT_NOME,0)),"Sem categoria"))</f>
        <v/>
      </c>
      <c r="E3236" s="75">
        <f>IF($C3236="","",IFERROR(INDEX(CAT_GRUPO,MATCH($C3236,CAT_NOME,0)),"Sem categoria"))</f>
        <v/>
      </c>
      <c r="F3236" s="76" t="n"/>
      <c r="G3236" s="74" t="n"/>
      <c r="H3236" s="74" t="n"/>
      <c r="I3236" s="74" t="n"/>
      <c r="J3236" s="77" t="n"/>
      <c r="K3236" s="77" t="n"/>
      <c r="L3236" s="74" t="n"/>
      <c r="M3236" s="74" t="n"/>
      <c r="O3236" s="78">
        <f>IF($A3236="","",YEAR($A3236)*100+MONTH($A3236))</f>
        <v/>
      </c>
      <c r="P3236" s="79">
        <f>IF(OR($F3236="",$D3236=""),"",IF($D3236="Receita",$F3236,IF($D3236="Transferência",0,-$F3236)))</f>
        <v/>
      </c>
    </row>
    <row r="3237">
      <c r="A3237" s="73" t="n"/>
      <c r="B3237" s="74" t="n"/>
      <c r="C3237" s="74" t="n"/>
      <c r="D3237" s="75">
        <f>IF($C3237="","",IFERROR(INDEX(CAT_TIPO,MATCH($C3237,CAT_NOME,0)),"Sem categoria"))</f>
        <v/>
      </c>
      <c r="E3237" s="75">
        <f>IF($C3237="","",IFERROR(INDEX(CAT_GRUPO,MATCH($C3237,CAT_NOME,0)),"Sem categoria"))</f>
        <v/>
      </c>
      <c r="F3237" s="76" t="n"/>
      <c r="G3237" s="74" t="n"/>
      <c r="H3237" s="74" t="n"/>
      <c r="I3237" s="74" t="n"/>
      <c r="J3237" s="77" t="n"/>
      <c r="K3237" s="77" t="n"/>
      <c r="L3237" s="74" t="n"/>
      <c r="M3237" s="74" t="n"/>
      <c r="O3237" s="78">
        <f>IF($A3237="","",YEAR($A3237)*100+MONTH($A3237))</f>
        <v/>
      </c>
      <c r="P3237" s="79">
        <f>IF(OR($F3237="",$D3237=""),"",IF($D3237="Receita",$F3237,IF($D3237="Transferência",0,-$F3237)))</f>
        <v/>
      </c>
    </row>
    <row r="3238">
      <c r="A3238" s="73" t="n"/>
      <c r="B3238" s="74" t="n"/>
      <c r="C3238" s="74" t="n"/>
      <c r="D3238" s="75">
        <f>IF($C3238="","",IFERROR(INDEX(CAT_TIPO,MATCH($C3238,CAT_NOME,0)),"Sem categoria"))</f>
        <v/>
      </c>
      <c r="E3238" s="75">
        <f>IF($C3238="","",IFERROR(INDEX(CAT_GRUPO,MATCH($C3238,CAT_NOME,0)),"Sem categoria"))</f>
        <v/>
      </c>
      <c r="F3238" s="76" t="n"/>
      <c r="G3238" s="74" t="n"/>
      <c r="H3238" s="74" t="n"/>
      <c r="I3238" s="74" t="n"/>
      <c r="J3238" s="77" t="n"/>
      <c r="K3238" s="77" t="n"/>
      <c r="L3238" s="74" t="n"/>
      <c r="M3238" s="74" t="n"/>
      <c r="O3238" s="78">
        <f>IF($A3238="","",YEAR($A3238)*100+MONTH($A3238))</f>
        <v/>
      </c>
      <c r="P3238" s="79">
        <f>IF(OR($F3238="",$D3238=""),"",IF($D3238="Receita",$F3238,IF($D3238="Transferência",0,-$F3238)))</f>
        <v/>
      </c>
    </row>
    <row r="3239">
      <c r="A3239" s="73" t="n"/>
      <c r="B3239" s="74" t="n"/>
      <c r="C3239" s="74" t="n"/>
      <c r="D3239" s="75">
        <f>IF($C3239="","",IFERROR(INDEX(CAT_TIPO,MATCH($C3239,CAT_NOME,0)),"Sem categoria"))</f>
        <v/>
      </c>
      <c r="E3239" s="75">
        <f>IF($C3239="","",IFERROR(INDEX(CAT_GRUPO,MATCH($C3239,CAT_NOME,0)),"Sem categoria"))</f>
        <v/>
      </c>
      <c r="F3239" s="76" t="n"/>
      <c r="G3239" s="74" t="n"/>
      <c r="H3239" s="74" t="n"/>
      <c r="I3239" s="74" t="n"/>
      <c r="J3239" s="77" t="n"/>
      <c r="K3239" s="77" t="n"/>
      <c r="L3239" s="74" t="n"/>
      <c r="M3239" s="74" t="n"/>
      <c r="O3239" s="78">
        <f>IF($A3239="","",YEAR($A3239)*100+MONTH($A3239))</f>
        <v/>
      </c>
      <c r="P3239" s="79">
        <f>IF(OR($F3239="",$D3239=""),"",IF($D3239="Receita",$F3239,IF($D3239="Transferência",0,-$F3239)))</f>
        <v/>
      </c>
    </row>
    <row r="3240">
      <c r="A3240" s="73" t="n"/>
      <c r="B3240" s="74" t="n"/>
      <c r="C3240" s="74" t="n"/>
      <c r="D3240" s="75">
        <f>IF($C3240="","",IFERROR(INDEX(CAT_TIPO,MATCH($C3240,CAT_NOME,0)),"Sem categoria"))</f>
        <v/>
      </c>
      <c r="E3240" s="75">
        <f>IF($C3240="","",IFERROR(INDEX(CAT_GRUPO,MATCH($C3240,CAT_NOME,0)),"Sem categoria"))</f>
        <v/>
      </c>
      <c r="F3240" s="76" t="n"/>
      <c r="G3240" s="74" t="n"/>
      <c r="H3240" s="74" t="n"/>
      <c r="I3240" s="74" t="n"/>
      <c r="J3240" s="77" t="n"/>
      <c r="K3240" s="77" t="n"/>
      <c r="L3240" s="74" t="n"/>
      <c r="M3240" s="74" t="n"/>
      <c r="O3240" s="78">
        <f>IF($A3240="","",YEAR($A3240)*100+MONTH($A3240))</f>
        <v/>
      </c>
      <c r="P3240" s="79">
        <f>IF(OR($F3240="",$D3240=""),"",IF($D3240="Receita",$F3240,IF($D3240="Transferência",0,-$F3240)))</f>
        <v/>
      </c>
    </row>
    <row r="3241">
      <c r="A3241" s="73" t="n"/>
      <c r="B3241" s="74" t="n"/>
      <c r="C3241" s="74" t="n"/>
      <c r="D3241" s="75">
        <f>IF($C3241="","",IFERROR(INDEX(CAT_TIPO,MATCH($C3241,CAT_NOME,0)),"Sem categoria"))</f>
        <v/>
      </c>
      <c r="E3241" s="75">
        <f>IF($C3241="","",IFERROR(INDEX(CAT_GRUPO,MATCH($C3241,CAT_NOME,0)),"Sem categoria"))</f>
        <v/>
      </c>
      <c r="F3241" s="76" t="n"/>
      <c r="G3241" s="74" t="n"/>
      <c r="H3241" s="74" t="n"/>
      <c r="I3241" s="74" t="n"/>
      <c r="J3241" s="77" t="n"/>
      <c r="K3241" s="77" t="n"/>
      <c r="L3241" s="74" t="n"/>
      <c r="M3241" s="74" t="n"/>
      <c r="O3241" s="78">
        <f>IF($A3241="","",YEAR($A3241)*100+MONTH($A3241))</f>
        <v/>
      </c>
      <c r="P3241" s="79">
        <f>IF(OR($F3241="",$D3241=""),"",IF($D3241="Receita",$F3241,IF($D3241="Transferência",0,-$F3241)))</f>
        <v/>
      </c>
    </row>
    <row r="3242">
      <c r="A3242" s="73" t="n"/>
      <c r="B3242" s="74" t="n"/>
      <c r="C3242" s="74" t="n"/>
      <c r="D3242" s="75">
        <f>IF($C3242="","",IFERROR(INDEX(CAT_TIPO,MATCH($C3242,CAT_NOME,0)),"Sem categoria"))</f>
        <v/>
      </c>
      <c r="E3242" s="75">
        <f>IF($C3242="","",IFERROR(INDEX(CAT_GRUPO,MATCH($C3242,CAT_NOME,0)),"Sem categoria"))</f>
        <v/>
      </c>
      <c r="F3242" s="76" t="n"/>
      <c r="G3242" s="74" t="n"/>
      <c r="H3242" s="74" t="n"/>
      <c r="I3242" s="74" t="n"/>
      <c r="J3242" s="77" t="n"/>
      <c r="K3242" s="77" t="n"/>
      <c r="L3242" s="74" t="n"/>
      <c r="M3242" s="74" t="n"/>
      <c r="O3242" s="78">
        <f>IF($A3242="","",YEAR($A3242)*100+MONTH($A3242))</f>
        <v/>
      </c>
      <c r="P3242" s="79">
        <f>IF(OR($F3242="",$D3242=""),"",IF($D3242="Receita",$F3242,IF($D3242="Transferência",0,-$F3242)))</f>
        <v/>
      </c>
    </row>
    <row r="3243">
      <c r="A3243" s="73" t="n"/>
      <c r="B3243" s="74" t="n"/>
      <c r="C3243" s="74" t="n"/>
      <c r="D3243" s="75">
        <f>IF($C3243="","",IFERROR(INDEX(CAT_TIPO,MATCH($C3243,CAT_NOME,0)),"Sem categoria"))</f>
        <v/>
      </c>
      <c r="E3243" s="75">
        <f>IF($C3243="","",IFERROR(INDEX(CAT_GRUPO,MATCH($C3243,CAT_NOME,0)),"Sem categoria"))</f>
        <v/>
      </c>
      <c r="F3243" s="76" t="n"/>
      <c r="G3243" s="74" t="n"/>
      <c r="H3243" s="74" t="n"/>
      <c r="I3243" s="74" t="n"/>
      <c r="J3243" s="77" t="n"/>
      <c r="K3243" s="77" t="n"/>
      <c r="L3243" s="74" t="n"/>
      <c r="M3243" s="74" t="n"/>
      <c r="O3243" s="78">
        <f>IF($A3243="","",YEAR($A3243)*100+MONTH($A3243))</f>
        <v/>
      </c>
      <c r="P3243" s="79">
        <f>IF(OR($F3243="",$D3243=""),"",IF($D3243="Receita",$F3243,IF($D3243="Transferência",0,-$F3243)))</f>
        <v/>
      </c>
    </row>
    <row r="3244">
      <c r="A3244" s="73" t="n"/>
      <c r="B3244" s="74" t="n"/>
      <c r="C3244" s="74" t="n"/>
      <c r="D3244" s="75">
        <f>IF($C3244="","",IFERROR(INDEX(CAT_TIPO,MATCH($C3244,CAT_NOME,0)),"Sem categoria"))</f>
        <v/>
      </c>
      <c r="E3244" s="75">
        <f>IF($C3244="","",IFERROR(INDEX(CAT_GRUPO,MATCH($C3244,CAT_NOME,0)),"Sem categoria"))</f>
        <v/>
      </c>
      <c r="F3244" s="76" t="n"/>
      <c r="G3244" s="74" t="n"/>
      <c r="H3244" s="74" t="n"/>
      <c r="I3244" s="74" t="n"/>
      <c r="J3244" s="77" t="n"/>
      <c r="K3244" s="77" t="n"/>
      <c r="L3244" s="74" t="n"/>
      <c r="M3244" s="74" t="n"/>
      <c r="O3244" s="78">
        <f>IF($A3244="","",YEAR($A3244)*100+MONTH($A3244))</f>
        <v/>
      </c>
      <c r="P3244" s="79">
        <f>IF(OR($F3244="",$D3244=""),"",IF($D3244="Receita",$F3244,IF($D3244="Transferência",0,-$F3244)))</f>
        <v/>
      </c>
    </row>
    <row r="3245">
      <c r="A3245" s="73" t="n"/>
      <c r="B3245" s="74" t="n"/>
      <c r="C3245" s="74" t="n"/>
      <c r="D3245" s="75">
        <f>IF($C3245="","",IFERROR(INDEX(CAT_TIPO,MATCH($C3245,CAT_NOME,0)),"Sem categoria"))</f>
        <v/>
      </c>
      <c r="E3245" s="75">
        <f>IF($C3245="","",IFERROR(INDEX(CAT_GRUPO,MATCH($C3245,CAT_NOME,0)),"Sem categoria"))</f>
        <v/>
      </c>
      <c r="F3245" s="76" t="n"/>
      <c r="G3245" s="74" t="n"/>
      <c r="H3245" s="74" t="n"/>
      <c r="I3245" s="74" t="n"/>
      <c r="J3245" s="77" t="n"/>
      <c r="K3245" s="77" t="n"/>
      <c r="L3245" s="74" t="n"/>
      <c r="M3245" s="74" t="n"/>
      <c r="O3245" s="78">
        <f>IF($A3245="","",YEAR($A3245)*100+MONTH($A3245))</f>
        <v/>
      </c>
      <c r="P3245" s="79">
        <f>IF(OR($F3245="",$D3245=""),"",IF($D3245="Receita",$F3245,IF($D3245="Transferência",0,-$F3245)))</f>
        <v/>
      </c>
    </row>
    <row r="3246">
      <c r="A3246" s="73" t="n"/>
      <c r="B3246" s="74" t="n"/>
      <c r="C3246" s="74" t="n"/>
      <c r="D3246" s="75">
        <f>IF($C3246="","",IFERROR(INDEX(CAT_TIPO,MATCH($C3246,CAT_NOME,0)),"Sem categoria"))</f>
        <v/>
      </c>
      <c r="E3246" s="75">
        <f>IF($C3246="","",IFERROR(INDEX(CAT_GRUPO,MATCH($C3246,CAT_NOME,0)),"Sem categoria"))</f>
        <v/>
      </c>
      <c r="F3246" s="76" t="n"/>
      <c r="G3246" s="74" t="n"/>
      <c r="H3246" s="74" t="n"/>
      <c r="I3246" s="74" t="n"/>
      <c r="J3246" s="77" t="n"/>
      <c r="K3246" s="77" t="n"/>
      <c r="L3246" s="74" t="n"/>
      <c r="M3246" s="74" t="n"/>
      <c r="O3246" s="78">
        <f>IF($A3246="","",YEAR($A3246)*100+MONTH($A3246))</f>
        <v/>
      </c>
      <c r="P3246" s="79">
        <f>IF(OR($F3246="",$D3246=""),"",IF($D3246="Receita",$F3246,IF($D3246="Transferência",0,-$F3246)))</f>
        <v/>
      </c>
    </row>
    <row r="3247">
      <c r="A3247" s="73" t="n"/>
      <c r="B3247" s="74" t="n"/>
      <c r="C3247" s="74" t="n"/>
      <c r="D3247" s="75">
        <f>IF($C3247="","",IFERROR(INDEX(CAT_TIPO,MATCH($C3247,CAT_NOME,0)),"Sem categoria"))</f>
        <v/>
      </c>
      <c r="E3247" s="75">
        <f>IF($C3247="","",IFERROR(INDEX(CAT_GRUPO,MATCH($C3247,CAT_NOME,0)),"Sem categoria"))</f>
        <v/>
      </c>
      <c r="F3247" s="76" t="n"/>
      <c r="G3247" s="74" t="n"/>
      <c r="H3247" s="74" t="n"/>
      <c r="I3247" s="74" t="n"/>
      <c r="J3247" s="77" t="n"/>
      <c r="K3247" s="77" t="n"/>
      <c r="L3247" s="74" t="n"/>
      <c r="M3247" s="74" t="n"/>
      <c r="O3247" s="78">
        <f>IF($A3247="","",YEAR($A3247)*100+MONTH($A3247))</f>
        <v/>
      </c>
      <c r="P3247" s="79">
        <f>IF(OR($F3247="",$D3247=""),"",IF($D3247="Receita",$F3247,IF($D3247="Transferência",0,-$F3247)))</f>
        <v/>
      </c>
    </row>
    <row r="3248">
      <c r="A3248" s="73" t="n"/>
      <c r="B3248" s="74" t="n"/>
      <c r="C3248" s="74" t="n"/>
      <c r="D3248" s="75">
        <f>IF($C3248="","",IFERROR(INDEX(CAT_TIPO,MATCH($C3248,CAT_NOME,0)),"Sem categoria"))</f>
        <v/>
      </c>
      <c r="E3248" s="75">
        <f>IF($C3248="","",IFERROR(INDEX(CAT_GRUPO,MATCH($C3248,CAT_NOME,0)),"Sem categoria"))</f>
        <v/>
      </c>
      <c r="F3248" s="76" t="n"/>
      <c r="G3248" s="74" t="n"/>
      <c r="H3248" s="74" t="n"/>
      <c r="I3248" s="74" t="n"/>
      <c r="J3248" s="77" t="n"/>
      <c r="K3248" s="77" t="n"/>
      <c r="L3248" s="74" t="n"/>
      <c r="M3248" s="74" t="n"/>
      <c r="O3248" s="78">
        <f>IF($A3248="","",YEAR($A3248)*100+MONTH($A3248))</f>
        <v/>
      </c>
      <c r="P3248" s="79">
        <f>IF(OR($F3248="",$D3248=""),"",IF($D3248="Receita",$F3248,IF($D3248="Transferência",0,-$F3248)))</f>
        <v/>
      </c>
    </row>
    <row r="3249">
      <c r="A3249" s="73" t="n"/>
      <c r="B3249" s="74" t="n"/>
      <c r="C3249" s="74" t="n"/>
      <c r="D3249" s="75">
        <f>IF($C3249="","",IFERROR(INDEX(CAT_TIPO,MATCH($C3249,CAT_NOME,0)),"Sem categoria"))</f>
        <v/>
      </c>
      <c r="E3249" s="75">
        <f>IF($C3249="","",IFERROR(INDEX(CAT_GRUPO,MATCH($C3249,CAT_NOME,0)),"Sem categoria"))</f>
        <v/>
      </c>
      <c r="F3249" s="76" t="n"/>
      <c r="G3249" s="74" t="n"/>
      <c r="H3249" s="74" t="n"/>
      <c r="I3249" s="74" t="n"/>
      <c r="J3249" s="77" t="n"/>
      <c r="K3249" s="77" t="n"/>
      <c r="L3249" s="74" t="n"/>
      <c r="M3249" s="74" t="n"/>
      <c r="O3249" s="78">
        <f>IF($A3249="","",YEAR($A3249)*100+MONTH($A3249))</f>
        <v/>
      </c>
      <c r="P3249" s="79">
        <f>IF(OR($F3249="",$D3249=""),"",IF($D3249="Receita",$F3249,IF($D3249="Transferência",0,-$F3249)))</f>
        <v/>
      </c>
    </row>
    <row r="3250">
      <c r="A3250" s="73" t="n"/>
      <c r="B3250" s="74" t="n"/>
      <c r="C3250" s="74" t="n"/>
      <c r="D3250" s="75">
        <f>IF($C3250="","",IFERROR(INDEX(CAT_TIPO,MATCH($C3250,CAT_NOME,0)),"Sem categoria"))</f>
        <v/>
      </c>
      <c r="E3250" s="75">
        <f>IF($C3250="","",IFERROR(INDEX(CAT_GRUPO,MATCH($C3250,CAT_NOME,0)),"Sem categoria"))</f>
        <v/>
      </c>
      <c r="F3250" s="76" t="n"/>
      <c r="G3250" s="74" t="n"/>
      <c r="H3250" s="74" t="n"/>
      <c r="I3250" s="74" t="n"/>
      <c r="J3250" s="77" t="n"/>
      <c r="K3250" s="77" t="n"/>
      <c r="L3250" s="74" t="n"/>
      <c r="M3250" s="74" t="n"/>
      <c r="O3250" s="78">
        <f>IF($A3250="","",YEAR($A3250)*100+MONTH($A3250))</f>
        <v/>
      </c>
      <c r="P3250" s="79">
        <f>IF(OR($F3250="",$D3250=""),"",IF($D3250="Receita",$F3250,IF($D3250="Transferência",0,-$F3250)))</f>
        <v/>
      </c>
    </row>
    <row r="3251">
      <c r="A3251" s="73" t="n"/>
      <c r="B3251" s="74" t="n"/>
      <c r="C3251" s="74" t="n"/>
      <c r="D3251" s="75">
        <f>IF($C3251="","",IFERROR(INDEX(CAT_TIPO,MATCH($C3251,CAT_NOME,0)),"Sem categoria"))</f>
        <v/>
      </c>
      <c r="E3251" s="75">
        <f>IF($C3251="","",IFERROR(INDEX(CAT_GRUPO,MATCH($C3251,CAT_NOME,0)),"Sem categoria"))</f>
        <v/>
      </c>
      <c r="F3251" s="76" t="n"/>
      <c r="G3251" s="74" t="n"/>
      <c r="H3251" s="74" t="n"/>
      <c r="I3251" s="74" t="n"/>
      <c r="J3251" s="77" t="n"/>
      <c r="K3251" s="77" t="n"/>
      <c r="L3251" s="74" t="n"/>
      <c r="M3251" s="74" t="n"/>
      <c r="O3251" s="78">
        <f>IF($A3251="","",YEAR($A3251)*100+MONTH($A3251))</f>
        <v/>
      </c>
      <c r="P3251" s="79">
        <f>IF(OR($F3251="",$D3251=""),"",IF($D3251="Receita",$F3251,IF($D3251="Transferência",0,-$F3251)))</f>
        <v/>
      </c>
    </row>
    <row r="3252">
      <c r="A3252" s="73" t="n"/>
      <c r="B3252" s="74" t="n"/>
      <c r="C3252" s="74" t="n"/>
      <c r="D3252" s="75">
        <f>IF($C3252="","",IFERROR(INDEX(CAT_TIPO,MATCH($C3252,CAT_NOME,0)),"Sem categoria"))</f>
        <v/>
      </c>
      <c r="E3252" s="75">
        <f>IF($C3252="","",IFERROR(INDEX(CAT_GRUPO,MATCH($C3252,CAT_NOME,0)),"Sem categoria"))</f>
        <v/>
      </c>
      <c r="F3252" s="76" t="n"/>
      <c r="G3252" s="74" t="n"/>
      <c r="H3252" s="74" t="n"/>
      <c r="I3252" s="74" t="n"/>
      <c r="J3252" s="77" t="n"/>
      <c r="K3252" s="77" t="n"/>
      <c r="L3252" s="74" t="n"/>
      <c r="M3252" s="74" t="n"/>
      <c r="O3252" s="78">
        <f>IF($A3252="","",YEAR($A3252)*100+MONTH($A3252))</f>
        <v/>
      </c>
      <c r="P3252" s="79">
        <f>IF(OR($F3252="",$D3252=""),"",IF($D3252="Receita",$F3252,IF($D3252="Transferência",0,-$F3252)))</f>
        <v/>
      </c>
    </row>
    <row r="3253">
      <c r="A3253" s="73" t="n"/>
      <c r="B3253" s="74" t="n"/>
      <c r="C3253" s="74" t="n"/>
      <c r="D3253" s="75">
        <f>IF($C3253="","",IFERROR(INDEX(CAT_TIPO,MATCH($C3253,CAT_NOME,0)),"Sem categoria"))</f>
        <v/>
      </c>
      <c r="E3253" s="75">
        <f>IF($C3253="","",IFERROR(INDEX(CAT_GRUPO,MATCH($C3253,CAT_NOME,0)),"Sem categoria"))</f>
        <v/>
      </c>
      <c r="F3253" s="76" t="n"/>
      <c r="G3253" s="74" t="n"/>
      <c r="H3253" s="74" t="n"/>
      <c r="I3253" s="74" t="n"/>
      <c r="J3253" s="77" t="n"/>
      <c r="K3253" s="77" t="n"/>
      <c r="L3253" s="74" t="n"/>
      <c r="M3253" s="74" t="n"/>
      <c r="O3253" s="78">
        <f>IF($A3253="","",YEAR($A3253)*100+MONTH($A3253))</f>
        <v/>
      </c>
      <c r="P3253" s="79">
        <f>IF(OR($F3253="",$D3253=""),"",IF($D3253="Receita",$F3253,IF($D3253="Transferência",0,-$F3253)))</f>
        <v/>
      </c>
    </row>
    <row r="3254">
      <c r="A3254" s="73" t="n"/>
      <c r="B3254" s="74" t="n"/>
      <c r="C3254" s="74" t="n"/>
      <c r="D3254" s="75">
        <f>IF($C3254="","",IFERROR(INDEX(CAT_TIPO,MATCH($C3254,CAT_NOME,0)),"Sem categoria"))</f>
        <v/>
      </c>
      <c r="E3254" s="75">
        <f>IF($C3254="","",IFERROR(INDEX(CAT_GRUPO,MATCH($C3254,CAT_NOME,0)),"Sem categoria"))</f>
        <v/>
      </c>
      <c r="F3254" s="76" t="n"/>
      <c r="G3254" s="74" t="n"/>
      <c r="H3254" s="74" t="n"/>
      <c r="I3254" s="74" t="n"/>
      <c r="J3254" s="77" t="n"/>
      <c r="K3254" s="77" t="n"/>
      <c r="L3254" s="74" t="n"/>
      <c r="M3254" s="74" t="n"/>
      <c r="O3254" s="78">
        <f>IF($A3254="","",YEAR($A3254)*100+MONTH($A3254))</f>
        <v/>
      </c>
      <c r="P3254" s="79">
        <f>IF(OR($F3254="",$D3254=""),"",IF($D3254="Receita",$F3254,IF($D3254="Transferência",0,-$F3254)))</f>
        <v/>
      </c>
    </row>
    <row r="3255">
      <c r="A3255" s="73" t="n"/>
      <c r="B3255" s="74" t="n"/>
      <c r="C3255" s="74" t="n"/>
      <c r="D3255" s="75">
        <f>IF($C3255="","",IFERROR(INDEX(CAT_TIPO,MATCH($C3255,CAT_NOME,0)),"Sem categoria"))</f>
        <v/>
      </c>
      <c r="E3255" s="75">
        <f>IF($C3255="","",IFERROR(INDEX(CAT_GRUPO,MATCH($C3255,CAT_NOME,0)),"Sem categoria"))</f>
        <v/>
      </c>
      <c r="F3255" s="76" t="n"/>
      <c r="G3255" s="74" t="n"/>
      <c r="H3255" s="74" t="n"/>
      <c r="I3255" s="74" t="n"/>
      <c r="J3255" s="77" t="n"/>
      <c r="K3255" s="77" t="n"/>
      <c r="L3255" s="74" t="n"/>
      <c r="M3255" s="74" t="n"/>
      <c r="O3255" s="78">
        <f>IF($A3255="","",YEAR($A3255)*100+MONTH($A3255))</f>
        <v/>
      </c>
      <c r="P3255" s="79">
        <f>IF(OR($F3255="",$D3255=""),"",IF($D3255="Receita",$F3255,IF($D3255="Transferência",0,-$F3255)))</f>
        <v/>
      </c>
    </row>
    <row r="3256">
      <c r="A3256" s="73" t="n"/>
      <c r="B3256" s="74" t="n"/>
      <c r="C3256" s="74" t="n"/>
      <c r="D3256" s="75">
        <f>IF($C3256="","",IFERROR(INDEX(CAT_TIPO,MATCH($C3256,CAT_NOME,0)),"Sem categoria"))</f>
        <v/>
      </c>
      <c r="E3256" s="75">
        <f>IF($C3256="","",IFERROR(INDEX(CAT_GRUPO,MATCH($C3256,CAT_NOME,0)),"Sem categoria"))</f>
        <v/>
      </c>
      <c r="F3256" s="76" t="n"/>
      <c r="G3256" s="74" t="n"/>
      <c r="H3256" s="74" t="n"/>
      <c r="I3256" s="74" t="n"/>
      <c r="J3256" s="77" t="n"/>
      <c r="K3256" s="77" t="n"/>
      <c r="L3256" s="74" t="n"/>
      <c r="M3256" s="74" t="n"/>
      <c r="O3256" s="78">
        <f>IF($A3256="","",YEAR($A3256)*100+MONTH($A3256))</f>
        <v/>
      </c>
      <c r="P3256" s="79">
        <f>IF(OR($F3256="",$D3256=""),"",IF($D3256="Receita",$F3256,IF($D3256="Transferência",0,-$F3256)))</f>
        <v/>
      </c>
    </row>
    <row r="3257">
      <c r="A3257" s="73" t="n"/>
      <c r="B3257" s="74" t="n"/>
      <c r="C3257" s="74" t="n"/>
      <c r="D3257" s="75">
        <f>IF($C3257="","",IFERROR(INDEX(CAT_TIPO,MATCH($C3257,CAT_NOME,0)),"Sem categoria"))</f>
        <v/>
      </c>
      <c r="E3257" s="75">
        <f>IF($C3257="","",IFERROR(INDEX(CAT_GRUPO,MATCH($C3257,CAT_NOME,0)),"Sem categoria"))</f>
        <v/>
      </c>
      <c r="F3257" s="76" t="n"/>
      <c r="G3257" s="74" t="n"/>
      <c r="H3257" s="74" t="n"/>
      <c r="I3257" s="74" t="n"/>
      <c r="J3257" s="77" t="n"/>
      <c r="K3257" s="77" t="n"/>
      <c r="L3257" s="74" t="n"/>
      <c r="M3257" s="74" t="n"/>
      <c r="O3257" s="78">
        <f>IF($A3257="","",YEAR($A3257)*100+MONTH($A3257))</f>
        <v/>
      </c>
      <c r="P3257" s="79">
        <f>IF(OR($F3257="",$D3257=""),"",IF($D3257="Receita",$F3257,IF($D3257="Transferência",0,-$F3257)))</f>
        <v/>
      </c>
    </row>
    <row r="3258">
      <c r="A3258" s="73" t="n"/>
      <c r="B3258" s="74" t="n"/>
      <c r="C3258" s="74" t="n"/>
      <c r="D3258" s="75">
        <f>IF($C3258="","",IFERROR(INDEX(CAT_TIPO,MATCH($C3258,CAT_NOME,0)),"Sem categoria"))</f>
        <v/>
      </c>
      <c r="E3258" s="75">
        <f>IF($C3258="","",IFERROR(INDEX(CAT_GRUPO,MATCH($C3258,CAT_NOME,0)),"Sem categoria"))</f>
        <v/>
      </c>
      <c r="F3258" s="76" t="n"/>
      <c r="G3258" s="74" t="n"/>
      <c r="H3258" s="74" t="n"/>
      <c r="I3258" s="74" t="n"/>
      <c r="J3258" s="77" t="n"/>
      <c r="K3258" s="77" t="n"/>
      <c r="L3258" s="74" t="n"/>
      <c r="M3258" s="74" t="n"/>
      <c r="O3258" s="78">
        <f>IF($A3258="","",YEAR($A3258)*100+MONTH($A3258))</f>
        <v/>
      </c>
      <c r="P3258" s="79">
        <f>IF(OR($F3258="",$D3258=""),"",IF($D3258="Receita",$F3258,IF($D3258="Transferência",0,-$F3258)))</f>
        <v/>
      </c>
    </row>
    <row r="3259">
      <c r="A3259" s="73" t="n"/>
      <c r="B3259" s="74" t="n"/>
      <c r="C3259" s="74" t="n"/>
      <c r="D3259" s="75">
        <f>IF($C3259="","",IFERROR(INDEX(CAT_TIPO,MATCH($C3259,CAT_NOME,0)),"Sem categoria"))</f>
        <v/>
      </c>
      <c r="E3259" s="75">
        <f>IF($C3259="","",IFERROR(INDEX(CAT_GRUPO,MATCH($C3259,CAT_NOME,0)),"Sem categoria"))</f>
        <v/>
      </c>
      <c r="F3259" s="76" t="n"/>
      <c r="G3259" s="74" t="n"/>
      <c r="H3259" s="74" t="n"/>
      <c r="I3259" s="74" t="n"/>
      <c r="J3259" s="77" t="n"/>
      <c r="K3259" s="77" t="n"/>
      <c r="L3259" s="74" t="n"/>
      <c r="M3259" s="74" t="n"/>
      <c r="O3259" s="78">
        <f>IF($A3259="","",YEAR($A3259)*100+MONTH($A3259))</f>
        <v/>
      </c>
      <c r="P3259" s="79">
        <f>IF(OR($F3259="",$D3259=""),"",IF($D3259="Receita",$F3259,IF($D3259="Transferência",0,-$F3259)))</f>
        <v/>
      </c>
    </row>
    <row r="3260">
      <c r="A3260" s="73" t="n"/>
      <c r="B3260" s="74" t="n"/>
      <c r="C3260" s="74" t="n"/>
      <c r="D3260" s="75">
        <f>IF($C3260="","",IFERROR(INDEX(CAT_TIPO,MATCH($C3260,CAT_NOME,0)),"Sem categoria"))</f>
        <v/>
      </c>
      <c r="E3260" s="75">
        <f>IF($C3260="","",IFERROR(INDEX(CAT_GRUPO,MATCH($C3260,CAT_NOME,0)),"Sem categoria"))</f>
        <v/>
      </c>
      <c r="F3260" s="76" t="n"/>
      <c r="G3260" s="74" t="n"/>
      <c r="H3260" s="74" t="n"/>
      <c r="I3260" s="74" t="n"/>
      <c r="J3260" s="77" t="n"/>
      <c r="K3260" s="77" t="n"/>
      <c r="L3260" s="74" t="n"/>
      <c r="M3260" s="74" t="n"/>
      <c r="O3260" s="78">
        <f>IF($A3260="","",YEAR($A3260)*100+MONTH($A3260))</f>
        <v/>
      </c>
      <c r="P3260" s="79">
        <f>IF(OR($F3260="",$D3260=""),"",IF($D3260="Receita",$F3260,IF($D3260="Transferência",0,-$F3260)))</f>
        <v/>
      </c>
    </row>
    <row r="3261">
      <c r="A3261" s="73" t="n"/>
      <c r="B3261" s="74" t="n"/>
      <c r="C3261" s="74" t="n"/>
      <c r="D3261" s="75">
        <f>IF($C3261="","",IFERROR(INDEX(CAT_TIPO,MATCH($C3261,CAT_NOME,0)),"Sem categoria"))</f>
        <v/>
      </c>
      <c r="E3261" s="75">
        <f>IF($C3261="","",IFERROR(INDEX(CAT_GRUPO,MATCH($C3261,CAT_NOME,0)),"Sem categoria"))</f>
        <v/>
      </c>
      <c r="F3261" s="76" t="n"/>
      <c r="G3261" s="74" t="n"/>
      <c r="H3261" s="74" t="n"/>
      <c r="I3261" s="74" t="n"/>
      <c r="J3261" s="77" t="n"/>
      <c r="K3261" s="77" t="n"/>
      <c r="L3261" s="74" t="n"/>
      <c r="M3261" s="74" t="n"/>
      <c r="O3261" s="78">
        <f>IF($A3261="","",YEAR($A3261)*100+MONTH($A3261))</f>
        <v/>
      </c>
      <c r="P3261" s="79">
        <f>IF(OR($F3261="",$D3261=""),"",IF($D3261="Receita",$F3261,IF($D3261="Transferência",0,-$F3261)))</f>
        <v/>
      </c>
    </row>
    <row r="3262">
      <c r="A3262" s="73" t="n"/>
      <c r="B3262" s="74" t="n"/>
      <c r="C3262" s="74" t="n"/>
      <c r="D3262" s="75">
        <f>IF($C3262="","",IFERROR(INDEX(CAT_TIPO,MATCH($C3262,CAT_NOME,0)),"Sem categoria"))</f>
        <v/>
      </c>
      <c r="E3262" s="75">
        <f>IF($C3262="","",IFERROR(INDEX(CAT_GRUPO,MATCH($C3262,CAT_NOME,0)),"Sem categoria"))</f>
        <v/>
      </c>
      <c r="F3262" s="76" t="n"/>
      <c r="G3262" s="74" t="n"/>
      <c r="H3262" s="74" t="n"/>
      <c r="I3262" s="74" t="n"/>
      <c r="J3262" s="77" t="n"/>
      <c r="K3262" s="77" t="n"/>
      <c r="L3262" s="74" t="n"/>
      <c r="M3262" s="74" t="n"/>
      <c r="O3262" s="78">
        <f>IF($A3262="","",YEAR($A3262)*100+MONTH($A3262))</f>
        <v/>
      </c>
      <c r="P3262" s="79">
        <f>IF(OR($F3262="",$D3262=""),"",IF($D3262="Receita",$F3262,IF($D3262="Transferência",0,-$F3262)))</f>
        <v/>
      </c>
    </row>
    <row r="3263">
      <c r="A3263" s="73" t="n"/>
      <c r="B3263" s="74" t="n"/>
      <c r="C3263" s="74" t="n"/>
      <c r="D3263" s="75">
        <f>IF($C3263="","",IFERROR(INDEX(CAT_TIPO,MATCH($C3263,CAT_NOME,0)),"Sem categoria"))</f>
        <v/>
      </c>
      <c r="E3263" s="75">
        <f>IF($C3263="","",IFERROR(INDEX(CAT_GRUPO,MATCH($C3263,CAT_NOME,0)),"Sem categoria"))</f>
        <v/>
      </c>
      <c r="F3263" s="76" t="n"/>
      <c r="G3263" s="74" t="n"/>
      <c r="H3263" s="74" t="n"/>
      <c r="I3263" s="74" t="n"/>
      <c r="J3263" s="77" t="n"/>
      <c r="K3263" s="77" t="n"/>
      <c r="L3263" s="74" t="n"/>
      <c r="M3263" s="74" t="n"/>
      <c r="O3263" s="78">
        <f>IF($A3263="","",YEAR($A3263)*100+MONTH($A3263))</f>
        <v/>
      </c>
      <c r="P3263" s="79">
        <f>IF(OR($F3263="",$D3263=""),"",IF($D3263="Receita",$F3263,IF($D3263="Transferência",0,-$F3263)))</f>
        <v/>
      </c>
    </row>
    <row r="3264">
      <c r="A3264" s="73" t="n"/>
      <c r="B3264" s="74" t="n"/>
      <c r="C3264" s="74" t="n"/>
      <c r="D3264" s="75">
        <f>IF($C3264="","",IFERROR(INDEX(CAT_TIPO,MATCH($C3264,CAT_NOME,0)),"Sem categoria"))</f>
        <v/>
      </c>
      <c r="E3264" s="75">
        <f>IF($C3264="","",IFERROR(INDEX(CAT_GRUPO,MATCH($C3264,CAT_NOME,0)),"Sem categoria"))</f>
        <v/>
      </c>
      <c r="F3264" s="76" t="n"/>
      <c r="G3264" s="74" t="n"/>
      <c r="H3264" s="74" t="n"/>
      <c r="I3264" s="74" t="n"/>
      <c r="J3264" s="77" t="n"/>
      <c r="K3264" s="77" t="n"/>
      <c r="L3264" s="74" t="n"/>
      <c r="M3264" s="74" t="n"/>
      <c r="O3264" s="78">
        <f>IF($A3264="","",YEAR($A3264)*100+MONTH($A3264))</f>
        <v/>
      </c>
      <c r="P3264" s="79">
        <f>IF(OR($F3264="",$D3264=""),"",IF($D3264="Receita",$F3264,IF($D3264="Transferência",0,-$F3264)))</f>
        <v/>
      </c>
    </row>
    <row r="3265">
      <c r="A3265" s="73" t="n"/>
      <c r="B3265" s="74" t="n"/>
      <c r="C3265" s="74" t="n"/>
      <c r="D3265" s="75">
        <f>IF($C3265="","",IFERROR(INDEX(CAT_TIPO,MATCH($C3265,CAT_NOME,0)),"Sem categoria"))</f>
        <v/>
      </c>
      <c r="E3265" s="75">
        <f>IF($C3265="","",IFERROR(INDEX(CAT_GRUPO,MATCH($C3265,CAT_NOME,0)),"Sem categoria"))</f>
        <v/>
      </c>
      <c r="F3265" s="76" t="n"/>
      <c r="G3265" s="74" t="n"/>
      <c r="H3265" s="74" t="n"/>
      <c r="I3265" s="74" t="n"/>
      <c r="J3265" s="77" t="n"/>
      <c r="K3265" s="77" t="n"/>
      <c r="L3265" s="74" t="n"/>
      <c r="M3265" s="74" t="n"/>
      <c r="O3265" s="78">
        <f>IF($A3265="","",YEAR($A3265)*100+MONTH($A3265))</f>
        <v/>
      </c>
      <c r="P3265" s="79">
        <f>IF(OR($F3265="",$D3265=""),"",IF($D3265="Receita",$F3265,IF($D3265="Transferência",0,-$F3265)))</f>
        <v/>
      </c>
    </row>
    <row r="3266">
      <c r="A3266" s="73" t="n"/>
      <c r="B3266" s="74" t="n"/>
      <c r="C3266" s="74" t="n"/>
      <c r="D3266" s="75">
        <f>IF($C3266="","",IFERROR(INDEX(CAT_TIPO,MATCH($C3266,CAT_NOME,0)),"Sem categoria"))</f>
        <v/>
      </c>
      <c r="E3266" s="75">
        <f>IF($C3266="","",IFERROR(INDEX(CAT_GRUPO,MATCH($C3266,CAT_NOME,0)),"Sem categoria"))</f>
        <v/>
      </c>
      <c r="F3266" s="76" t="n"/>
      <c r="G3266" s="74" t="n"/>
      <c r="H3266" s="74" t="n"/>
      <c r="I3266" s="74" t="n"/>
      <c r="J3266" s="77" t="n"/>
      <c r="K3266" s="77" t="n"/>
      <c r="L3266" s="74" t="n"/>
      <c r="M3266" s="74" t="n"/>
      <c r="O3266" s="78">
        <f>IF($A3266="","",YEAR($A3266)*100+MONTH($A3266))</f>
        <v/>
      </c>
      <c r="P3266" s="79">
        <f>IF(OR($F3266="",$D3266=""),"",IF($D3266="Receita",$F3266,IF($D3266="Transferência",0,-$F3266)))</f>
        <v/>
      </c>
    </row>
    <row r="3267">
      <c r="A3267" s="73" t="n"/>
      <c r="B3267" s="74" t="n"/>
      <c r="C3267" s="74" t="n"/>
      <c r="D3267" s="75">
        <f>IF($C3267="","",IFERROR(INDEX(CAT_TIPO,MATCH($C3267,CAT_NOME,0)),"Sem categoria"))</f>
        <v/>
      </c>
      <c r="E3267" s="75">
        <f>IF($C3267="","",IFERROR(INDEX(CAT_GRUPO,MATCH($C3267,CAT_NOME,0)),"Sem categoria"))</f>
        <v/>
      </c>
      <c r="F3267" s="76" t="n"/>
      <c r="G3267" s="74" t="n"/>
      <c r="H3267" s="74" t="n"/>
      <c r="I3267" s="74" t="n"/>
      <c r="J3267" s="77" t="n"/>
      <c r="K3267" s="77" t="n"/>
      <c r="L3267" s="74" t="n"/>
      <c r="M3267" s="74" t="n"/>
      <c r="O3267" s="78">
        <f>IF($A3267="","",YEAR($A3267)*100+MONTH($A3267))</f>
        <v/>
      </c>
      <c r="P3267" s="79">
        <f>IF(OR($F3267="",$D3267=""),"",IF($D3267="Receita",$F3267,IF($D3267="Transferência",0,-$F3267)))</f>
        <v/>
      </c>
    </row>
    <row r="3268">
      <c r="A3268" s="73" t="n"/>
      <c r="B3268" s="74" t="n"/>
      <c r="C3268" s="74" t="n"/>
      <c r="D3268" s="75">
        <f>IF($C3268="","",IFERROR(INDEX(CAT_TIPO,MATCH($C3268,CAT_NOME,0)),"Sem categoria"))</f>
        <v/>
      </c>
      <c r="E3268" s="75">
        <f>IF($C3268="","",IFERROR(INDEX(CAT_GRUPO,MATCH($C3268,CAT_NOME,0)),"Sem categoria"))</f>
        <v/>
      </c>
      <c r="F3268" s="76" t="n"/>
      <c r="G3268" s="74" t="n"/>
      <c r="H3268" s="74" t="n"/>
      <c r="I3268" s="74" t="n"/>
      <c r="J3268" s="77" t="n"/>
      <c r="K3268" s="77" t="n"/>
      <c r="L3268" s="74" t="n"/>
      <c r="M3268" s="74" t="n"/>
      <c r="O3268" s="78">
        <f>IF($A3268="","",YEAR($A3268)*100+MONTH($A3268))</f>
        <v/>
      </c>
      <c r="P3268" s="79">
        <f>IF(OR($F3268="",$D3268=""),"",IF($D3268="Receita",$F3268,IF($D3268="Transferência",0,-$F3268)))</f>
        <v/>
      </c>
    </row>
    <row r="3269">
      <c r="A3269" s="73" t="n"/>
      <c r="B3269" s="74" t="n"/>
      <c r="C3269" s="74" t="n"/>
      <c r="D3269" s="75">
        <f>IF($C3269="","",IFERROR(INDEX(CAT_TIPO,MATCH($C3269,CAT_NOME,0)),"Sem categoria"))</f>
        <v/>
      </c>
      <c r="E3269" s="75">
        <f>IF($C3269="","",IFERROR(INDEX(CAT_GRUPO,MATCH($C3269,CAT_NOME,0)),"Sem categoria"))</f>
        <v/>
      </c>
      <c r="F3269" s="76" t="n"/>
      <c r="G3269" s="74" t="n"/>
      <c r="H3269" s="74" t="n"/>
      <c r="I3269" s="74" t="n"/>
      <c r="J3269" s="77" t="n"/>
      <c r="K3269" s="77" t="n"/>
      <c r="L3269" s="74" t="n"/>
      <c r="M3269" s="74" t="n"/>
      <c r="O3269" s="78">
        <f>IF($A3269="","",YEAR($A3269)*100+MONTH($A3269))</f>
        <v/>
      </c>
      <c r="P3269" s="79">
        <f>IF(OR($F3269="",$D3269=""),"",IF($D3269="Receita",$F3269,IF($D3269="Transferência",0,-$F3269)))</f>
        <v/>
      </c>
    </row>
    <row r="3270">
      <c r="A3270" s="73" t="n"/>
      <c r="B3270" s="74" t="n"/>
      <c r="C3270" s="74" t="n"/>
      <c r="D3270" s="75">
        <f>IF($C3270="","",IFERROR(INDEX(CAT_TIPO,MATCH($C3270,CAT_NOME,0)),"Sem categoria"))</f>
        <v/>
      </c>
      <c r="E3270" s="75">
        <f>IF($C3270="","",IFERROR(INDEX(CAT_GRUPO,MATCH($C3270,CAT_NOME,0)),"Sem categoria"))</f>
        <v/>
      </c>
      <c r="F3270" s="76" t="n"/>
      <c r="G3270" s="74" t="n"/>
      <c r="H3270" s="74" t="n"/>
      <c r="I3270" s="74" t="n"/>
      <c r="J3270" s="77" t="n"/>
      <c r="K3270" s="77" t="n"/>
      <c r="L3270" s="74" t="n"/>
      <c r="M3270" s="74" t="n"/>
      <c r="O3270" s="78">
        <f>IF($A3270="","",YEAR($A3270)*100+MONTH($A3270))</f>
        <v/>
      </c>
      <c r="P3270" s="79">
        <f>IF(OR($F3270="",$D3270=""),"",IF($D3270="Receita",$F3270,IF($D3270="Transferência",0,-$F3270)))</f>
        <v/>
      </c>
    </row>
    <row r="3271">
      <c r="A3271" s="73" t="n"/>
      <c r="B3271" s="74" t="n"/>
      <c r="C3271" s="74" t="n"/>
      <c r="D3271" s="75">
        <f>IF($C3271="","",IFERROR(INDEX(CAT_TIPO,MATCH($C3271,CAT_NOME,0)),"Sem categoria"))</f>
        <v/>
      </c>
      <c r="E3271" s="75">
        <f>IF($C3271="","",IFERROR(INDEX(CAT_GRUPO,MATCH($C3271,CAT_NOME,0)),"Sem categoria"))</f>
        <v/>
      </c>
      <c r="F3271" s="76" t="n"/>
      <c r="G3271" s="74" t="n"/>
      <c r="H3271" s="74" t="n"/>
      <c r="I3271" s="74" t="n"/>
      <c r="J3271" s="77" t="n"/>
      <c r="K3271" s="77" t="n"/>
      <c r="L3271" s="74" t="n"/>
      <c r="M3271" s="74" t="n"/>
      <c r="O3271" s="78">
        <f>IF($A3271="","",YEAR($A3271)*100+MONTH($A3271))</f>
        <v/>
      </c>
      <c r="P3271" s="79">
        <f>IF(OR($F3271="",$D3271=""),"",IF($D3271="Receita",$F3271,IF($D3271="Transferência",0,-$F3271)))</f>
        <v/>
      </c>
    </row>
    <row r="3272">
      <c r="A3272" s="73" t="n"/>
      <c r="B3272" s="74" t="n"/>
      <c r="C3272" s="74" t="n"/>
      <c r="D3272" s="75">
        <f>IF($C3272="","",IFERROR(INDEX(CAT_TIPO,MATCH($C3272,CAT_NOME,0)),"Sem categoria"))</f>
        <v/>
      </c>
      <c r="E3272" s="75">
        <f>IF($C3272="","",IFERROR(INDEX(CAT_GRUPO,MATCH($C3272,CAT_NOME,0)),"Sem categoria"))</f>
        <v/>
      </c>
      <c r="F3272" s="76" t="n"/>
      <c r="G3272" s="74" t="n"/>
      <c r="H3272" s="74" t="n"/>
      <c r="I3272" s="74" t="n"/>
      <c r="J3272" s="77" t="n"/>
      <c r="K3272" s="77" t="n"/>
      <c r="L3272" s="74" t="n"/>
      <c r="M3272" s="74" t="n"/>
      <c r="O3272" s="78">
        <f>IF($A3272="","",YEAR($A3272)*100+MONTH($A3272))</f>
        <v/>
      </c>
      <c r="P3272" s="79">
        <f>IF(OR($F3272="",$D3272=""),"",IF($D3272="Receita",$F3272,IF($D3272="Transferência",0,-$F3272)))</f>
        <v/>
      </c>
    </row>
    <row r="3273">
      <c r="A3273" s="73" t="n"/>
      <c r="B3273" s="74" t="n"/>
      <c r="C3273" s="74" t="n"/>
      <c r="D3273" s="75">
        <f>IF($C3273="","",IFERROR(INDEX(CAT_TIPO,MATCH($C3273,CAT_NOME,0)),"Sem categoria"))</f>
        <v/>
      </c>
      <c r="E3273" s="75">
        <f>IF($C3273="","",IFERROR(INDEX(CAT_GRUPO,MATCH($C3273,CAT_NOME,0)),"Sem categoria"))</f>
        <v/>
      </c>
      <c r="F3273" s="76" t="n"/>
      <c r="G3273" s="74" t="n"/>
      <c r="H3273" s="74" t="n"/>
      <c r="I3273" s="74" t="n"/>
      <c r="J3273" s="77" t="n"/>
      <c r="K3273" s="77" t="n"/>
      <c r="L3273" s="74" t="n"/>
      <c r="M3273" s="74" t="n"/>
      <c r="O3273" s="78">
        <f>IF($A3273="","",YEAR($A3273)*100+MONTH($A3273))</f>
        <v/>
      </c>
      <c r="P3273" s="79">
        <f>IF(OR($F3273="",$D3273=""),"",IF($D3273="Receita",$F3273,IF($D3273="Transferência",0,-$F3273)))</f>
        <v/>
      </c>
    </row>
    <row r="3274">
      <c r="A3274" s="73" t="n"/>
      <c r="B3274" s="74" t="n"/>
      <c r="C3274" s="74" t="n"/>
      <c r="D3274" s="75">
        <f>IF($C3274="","",IFERROR(INDEX(CAT_TIPO,MATCH($C3274,CAT_NOME,0)),"Sem categoria"))</f>
        <v/>
      </c>
      <c r="E3274" s="75">
        <f>IF($C3274="","",IFERROR(INDEX(CAT_GRUPO,MATCH($C3274,CAT_NOME,0)),"Sem categoria"))</f>
        <v/>
      </c>
      <c r="F3274" s="76" t="n"/>
      <c r="G3274" s="74" t="n"/>
      <c r="H3274" s="74" t="n"/>
      <c r="I3274" s="74" t="n"/>
      <c r="J3274" s="77" t="n"/>
      <c r="K3274" s="77" t="n"/>
      <c r="L3274" s="74" t="n"/>
      <c r="M3274" s="74" t="n"/>
      <c r="O3274" s="78">
        <f>IF($A3274="","",YEAR($A3274)*100+MONTH($A3274))</f>
        <v/>
      </c>
      <c r="P3274" s="79">
        <f>IF(OR($F3274="",$D3274=""),"",IF($D3274="Receita",$F3274,IF($D3274="Transferência",0,-$F3274)))</f>
        <v/>
      </c>
    </row>
    <row r="3275">
      <c r="A3275" s="73" t="n"/>
      <c r="B3275" s="74" t="n"/>
      <c r="C3275" s="74" t="n"/>
      <c r="D3275" s="75">
        <f>IF($C3275="","",IFERROR(INDEX(CAT_TIPO,MATCH($C3275,CAT_NOME,0)),"Sem categoria"))</f>
        <v/>
      </c>
      <c r="E3275" s="75">
        <f>IF($C3275="","",IFERROR(INDEX(CAT_GRUPO,MATCH($C3275,CAT_NOME,0)),"Sem categoria"))</f>
        <v/>
      </c>
      <c r="F3275" s="76" t="n"/>
      <c r="G3275" s="74" t="n"/>
      <c r="H3275" s="74" t="n"/>
      <c r="I3275" s="74" t="n"/>
      <c r="J3275" s="77" t="n"/>
      <c r="K3275" s="77" t="n"/>
      <c r="L3275" s="74" t="n"/>
      <c r="M3275" s="74" t="n"/>
      <c r="O3275" s="78">
        <f>IF($A3275="","",YEAR($A3275)*100+MONTH($A3275))</f>
        <v/>
      </c>
      <c r="P3275" s="79">
        <f>IF(OR($F3275="",$D3275=""),"",IF($D3275="Receita",$F3275,IF($D3275="Transferência",0,-$F3275)))</f>
        <v/>
      </c>
    </row>
    <row r="3276">
      <c r="A3276" s="73" t="n"/>
      <c r="B3276" s="74" t="n"/>
      <c r="C3276" s="74" t="n"/>
      <c r="D3276" s="75">
        <f>IF($C3276="","",IFERROR(INDEX(CAT_TIPO,MATCH($C3276,CAT_NOME,0)),"Sem categoria"))</f>
        <v/>
      </c>
      <c r="E3276" s="75">
        <f>IF($C3276="","",IFERROR(INDEX(CAT_GRUPO,MATCH($C3276,CAT_NOME,0)),"Sem categoria"))</f>
        <v/>
      </c>
      <c r="F3276" s="76" t="n"/>
      <c r="G3276" s="74" t="n"/>
      <c r="H3276" s="74" t="n"/>
      <c r="I3276" s="74" t="n"/>
      <c r="J3276" s="77" t="n"/>
      <c r="K3276" s="77" t="n"/>
      <c r="L3276" s="74" t="n"/>
      <c r="M3276" s="74" t="n"/>
      <c r="O3276" s="78">
        <f>IF($A3276="","",YEAR($A3276)*100+MONTH($A3276))</f>
        <v/>
      </c>
      <c r="P3276" s="79">
        <f>IF(OR($F3276="",$D3276=""),"",IF($D3276="Receita",$F3276,IF($D3276="Transferência",0,-$F3276)))</f>
        <v/>
      </c>
    </row>
    <row r="3277">
      <c r="A3277" s="73" t="n"/>
      <c r="B3277" s="74" t="n"/>
      <c r="C3277" s="74" t="n"/>
      <c r="D3277" s="75">
        <f>IF($C3277="","",IFERROR(INDEX(CAT_TIPO,MATCH($C3277,CAT_NOME,0)),"Sem categoria"))</f>
        <v/>
      </c>
      <c r="E3277" s="75">
        <f>IF($C3277="","",IFERROR(INDEX(CAT_GRUPO,MATCH($C3277,CAT_NOME,0)),"Sem categoria"))</f>
        <v/>
      </c>
      <c r="F3277" s="76" t="n"/>
      <c r="G3277" s="74" t="n"/>
      <c r="H3277" s="74" t="n"/>
      <c r="I3277" s="74" t="n"/>
      <c r="J3277" s="77" t="n"/>
      <c r="K3277" s="77" t="n"/>
      <c r="L3277" s="74" t="n"/>
      <c r="M3277" s="74" t="n"/>
      <c r="O3277" s="78">
        <f>IF($A3277="","",YEAR($A3277)*100+MONTH($A3277))</f>
        <v/>
      </c>
      <c r="P3277" s="79">
        <f>IF(OR($F3277="",$D3277=""),"",IF($D3277="Receita",$F3277,IF($D3277="Transferência",0,-$F3277)))</f>
        <v/>
      </c>
    </row>
    <row r="3278">
      <c r="A3278" s="73" t="n"/>
      <c r="B3278" s="74" t="n"/>
      <c r="C3278" s="74" t="n"/>
      <c r="D3278" s="75">
        <f>IF($C3278="","",IFERROR(INDEX(CAT_TIPO,MATCH($C3278,CAT_NOME,0)),"Sem categoria"))</f>
        <v/>
      </c>
      <c r="E3278" s="75">
        <f>IF($C3278="","",IFERROR(INDEX(CAT_GRUPO,MATCH($C3278,CAT_NOME,0)),"Sem categoria"))</f>
        <v/>
      </c>
      <c r="F3278" s="76" t="n"/>
      <c r="G3278" s="74" t="n"/>
      <c r="H3278" s="74" t="n"/>
      <c r="I3278" s="74" t="n"/>
      <c r="J3278" s="77" t="n"/>
      <c r="K3278" s="77" t="n"/>
      <c r="L3278" s="74" t="n"/>
      <c r="M3278" s="74" t="n"/>
      <c r="O3278" s="78">
        <f>IF($A3278="","",YEAR($A3278)*100+MONTH($A3278))</f>
        <v/>
      </c>
      <c r="P3278" s="79">
        <f>IF(OR($F3278="",$D3278=""),"",IF($D3278="Receita",$F3278,IF($D3278="Transferência",0,-$F3278)))</f>
        <v/>
      </c>
    </row>
    <row r="3279">
      <c r="A3279" s="73" t="n"/>
      <c r="B3279" s="74" t="n"/>
      <c r="C3279" s="74" t="n"/>
      <c r="D3279" s="75">
        <f>IF($C3279="","",IFERROR(INDEX(CAT_TIPO,MATCH($C3279,CAT_NOME,0)),"Sem categoria"))</f>
        <v/>
      </c>
      <c r="E3279" s="75">
        <f>IF($C3279="","",IFERROR(INDEX(CAT_GRUPO,MATCH($C3279,CAT_NOME,0)),"Sem categoria"))</f>
        <v/>
      </c>
      <c r="F3279" s="76" t="n"/>
      <c r="G3279" s="74" t="n"/>
      <c r="H3279" s="74" t="n"/>
      <c r="I3279" s="74" t="n"/>
      <c r="J3279" s="77" t="n"/>
      <c r="K3279" s="77" t="n"/>
      <c r="L3279" s="74" t="n"/>
      <c r="M3279" s="74" t="n"/>
      <c r="O3279" s="78">
        <f>IF($A3279="","",YEAR($A3279)*100+MONTH($A3279))</f>
        <v/>
      </c>
      <c r="P3279" s="79">
        <f>IF(OR($F3279="",$D3279=""),"",IF($D3279="Receita",$F3279,IF($D3279="Transferência",0,-$F3279)))</f>
        <v/>
      </c>
    </row>
    <row r="3280">
      <c r="A3280" s="73" t="n"/>
      <c r="B3280" s="74" t="n"/>
      <c r="C3280" s="74" t="n"/>
      <c r="D3280" s="75">
        <f>IF($C3280="","",IFERROR(INDEX(CAT_TIPO,MATCH($C3280,CAT_NOME,0)),"Sem categoria"))</f>
        <v/>
      </c>
      <c r="E3280" s="75">
        <f>IF($C3280="","",IFERROR(INDEX(CAT_GRUPO,MATCH($C3280,CAT_NOME,0)),"Sem categoria"))</f>
        <v/>
      </c>
      <c r="F3280" s="76" t="n"/>
      <c r="G3280" s="74" t="n"/>
      <c r="H3280" s="74" t="n"/>
      <c r="I3280" s="74" t="n"/>
      <c r="J3280" s="77" t="n"/>
      <c r="K3280" s="77" t="n"/>
      <c r="L3280" s="74" t="n"/>
      <c r="M3280" s="74" t="n"/>
      <c r="O3280" s="78">
        <f>IF($A3280="","",YEAR($A3280)*100+MONTH($A3280))</f>
        <v/>
      </c>
      <c r="P3280" s="79">
        <f>IF(OR($F3280="",$D3280=""),"",IF($D3280="Receita",$F3280,IF($D3280="Transferência",0,-$F3280)))</f>
        <v/>
      </c>
    </row>
    <row r="3281">
      <c r="A3281" s="73" t="n"/>
      <c r="B3281" s="74" t="n"/>
      <c r="C3281" s="74" t="n"/>
      <c r="D3281" s="75">
        <f>IF($C3281="","",IFERROR(INDEX(CAT_TIPO,MATCH($C3281,CAT_NOME,0)),"Sem categoria"))</f>
        <v/>
      </c>
      <c r="E3281" s="75">
        <f>IF($C3281="","",IFERROR(INDEX(CAT_GRUPO,MATCH($C3281,CAT_NOME,0)),"Sem categoria"))</f>
        <v/>
      </c>
      <c r="F3281" s="76" t="n"/>
      <c r="G3281" s="74" t="n"/>
      <c r="H3281" s="74" t="n"/>
      <c r="I3281" s="74" t="n"/>
      <c r="J3281" s="77" t="n"/>
      <c r="K3281" s="77" t="n"/>
      <c r="L3281" s="74" t="n"/>
      <c r="M3281" s="74" t="n"/>
      <c r="O3281" s="78">
        <f>IF($A3281="","",YEAR($A3281)*100+MONTH($A3281))</f>
        <v/>
      </c>
      <c r="P3281" s="79">
        <f>IF(OR($F3281="",$D3281=""),"",IF($D3281="Receita",$F3281,IF($D3281="Transferência",0,-$F3281)))</f>
        <v/>
      </c>
    </row>
    <row r="3282">
      <c r="A3282" s="73" t="n"/>
      <c r="B3282" s="74" t="n"/>
      <c r="C3282" s="74" t="n"/>
      <c r="D3282" s="75">
        <f>IF($C3282="","",IFERROR(INDEX(CAT_TIPO,MATCH($C3282,CAT_NOME,0)),"Sem categoria"))</f>
        <v/>
      </c>
      <c r="E3282" s="75">
        <f>IF($C3282="","",IFERROR(INDEX(CAT_GRUPO,MATCH($C3282,CAT_NOME,0)),"Sem categoria"))</f>
        <v/>
      </c>
      <c r="F3282" s="76" t="n"/>
      <c r="G3282" s="74" t="n"/>
      <c r="H3282" s="74" t="n"/>
      <c r="I3282" s="74" t="n"/>
      <c r="J3282" s="77" t="n"/>
      <c r="K3282" s="77" t="n"/>
      <c r="L3282" s="74" t="n"/>
      <c r="M3282" s="74" t="n"/>
      <c r="O3282" s="78">
        <f>IF($A3282="","",YEAR($A3282)*100+MONTH($A3282))</f>
        <v/>
      </c>
      <c r="P3282" s="79">
        <f>IF(OR($F3282="",$D3282=""),"",IF($D3282="Receita",$F3282,IF($D3282="Transferência",0,-$F3282)))</f>
        <v/>
      </c>
    </row>
    <row r="3283">
      <c r="A3283" s="73" t="n"/>
      <c r="B3283" s="74" t="n"/>
      <c r="C3283" s="74" t="n"/>
      <c r="D3283" s="75">
        <f>IF($C3283="","",IFERROR(INDEX(CAT_TIPO,MATCH($C3283,CAT_NOME,0)),"Sem categoria"))</f>
        <v/>
      </c>
      <c r="E3283" s="75">
        <f>IF($C3283="","",IFERROR(INDEX(CAT_GRUPO,MATCH($C3283,CAT_NOME,0)),"Sem categoria"))</f>
        <v/>
      </c>
      <c r="F3283" s="76" t="n"/>
      <c r="G3283" s="74" t="n"/>
      <c r="H3283" s="74" t="n"/>
      <c r="I3283" s="74" t="n"/>
      <c r="J3283" s="77" t="n"/>
      <c r="K3283" s="77" t="n"/>
      <c r="L3283" s="74" t="n"/>
      <c r="M3283" s="74" t="n"/>
      <c r="O3283" s="78">
        <f>IF($A3283="","",YEAR($A3283)*100+MONTH($A3283))</f>
        <v/>
      </c>
      <c r="P3283" s="79">
        <f>IF(OR($F3283="",$D3283=""),"",IF($D3283="Receita",$F3283,IF($D3283="Transferência",0,-$F3283)))</f>
        <v/>
      </c>
    </row>
    <row r="3284">
      <c r="A3284" s="73" t="n"/>
      <c r="B3284" s="74" t="n"/>
      <c r="C3284" s="74" t="n"/>
      <c r="D3284" s="75">
        <f>IF($C3284="","",IFERROR(INDEX(CAT_TIPO,MATCH($C3284,CAT_NOME,0)),"Sem categoria"))</f>
        <v/>
      </c>
      <c r="E3284" s="75">
        <f>IF($C3284="","",IFERROR(INDEX(CAT_GRUPO,MATCH($C3284,CAT_NOME,0)),"Sem categoria"))</f>
        <v/>
      </c>
      <c r="F3284" s="76" t="n"/>
      <c r="G3284" s="74" t="n"/>
      <c r="H3284" s="74" t="n"/>
      <c r="I3284" s="74" t="n"/>
      <c r="J3284" s="77" t="n"/>
      <c r="K3284" s="77" t="n"/>
      <c r="L3284" s="74" t="n"/>
      <c r="M3284" s="74" t="n"/>
      <c r="O3284" s="78">
        <f>IF($A3284="","",YEAR($A3284)*100+MONTH($A3284))</f>
        <v/>
      </c>
      <c r="P3284" s="79">
        <f>IF(OR($F3284="",$D3284=""),"",IF($D3284="Receita",$F3284,IF($D3284="Transferência",0,-$F3284)))</f>
        <v/>
      </c>
    </row>
    <row r="3285">
      <c r="A3285" s="73" t="n"/>
      <c r="B3285" s="74" t="n"/>
      <c r="C3285" s="74" t="n"/>
      <c r="D3285" s="75">
        <f>IF($C3285="","",IFERROR(INDEX(CAT_TIPO,MATCH($C3285,CAT_NOME,0)),"Sem categoria"))</f>
        <v/>
      </c>
      <c r="E3285" s="75">
        <f>IF($C3285="","",IFERROR(INDEX(CAT_GRUPO,MATCH($C3285,CAT_NOME,0)),"Sem categoria"))</f>
        <v/>
      </c>
      <c r="F3285" s="76" t="n"/>
      <c r="G3285" s="74" t="n"/>
      <c r="H3285" s="74" t="n"/>
      <c r="I3285" s="74" t="n"/>
      <c r="J3285" s="77" t="n"/>
      <c r="K3285" s="77" t="n"/>
      <c r="L3285" s="74" t="n"/>
      <c r="M3285" s="74" t="n"/>
      <c r="O3285" s="78">
        <f>IF($A3285="","",YEAR($A3285)*100+MONTH($A3285))</f>
        <v/>
      </c>
      <c r="P3285" s="79">
        <f>IF(OR($F3285="",$D3285=""),"",IF($D3285="Receita",$F3285,IF($D3285="Transferência",0,-$F3285)))</f>
        <v/>
      </c>
    </row>
    <row r="3286">
      <c r="A3286" s="73" t="n"/>
      <c r="B3286" s="74" t="n"/>
      <c r="C3286" s="74" t="n"/>
      <c r="D3286" s="75">
        <f>IF($C3286="","",IFERROR(INDEX(CAT_TIPO,MATCH($C3286,CAT_NOME,0)),"Sem categoria"))</f>
        <v/>
      </c>
      <c r="E3286" s="75">
        <f>IF($C3286="","",IFERROR(INDEX(CAT_GRUPO,MATCH($C3286,CAT_NOME,0)),"Sem categoria"))</f>
        <v/>
      </c>
      <c r="F3286" s="76" t="n"/>
      <c r="G3286" s="74" t="n"/>
      <c r="H3286" s="74" t="n"/>
      <c r="I3286" s="74" t="n"/>
      <c r="J3286" s="77" t="n"/>
      <c r="K3286" s="77" t="n"/>
      <c r="L3286" s="74" t="n"/>
      <c r="M3286" s="74" t="n"/>
      <c r="O3286" s="78">
        <f>IF($A3286="","",YEAR($A3286)*100+MONTH($A3286))</f>
        <v/>
      </c>
      <c r="P3286" s="79">
        <f>IF(OR($F3286="",$D3286=""),"",IF($D3286="Receita",$F3286,IF($D3286="Transferência",0,-$F3286)))</f>
        <v/>
      </c>
    </row>
    <row r="3287">
      <c r="A3287" s="73" t="n"/>
      <c r="B3287" s="74" t="n"/>
      <c r="C3287" s="74" t="n"/>
      <c r="D3287" s="75">
        <f>IF($C3287="","",IFERROR(INDEX(CAT_TIPO,MATCH($C3287,CAT_NOME,0)),"Sem categoria"))</f>
        <v/>
      </c>
      <c r="E3287" s="75">
        <f>IF($C3287="","",IFERROR(INDEX(CAT_GRUPO,MATCH($C3287,CAT_NOME,0)),"Sem categoria"))</f>
        <v/>
      </c>
      <c r="F3287" s="76" t="n"/>
      <c r="G3287" s="74" t="n"/>
      <c r="H3287" s="74" t="n"/>
      <c r="I3287" s="74" t="n"/>
      <c r="J3287" s="77" t="n"/>
      <c r="K3287" s="77" t="n"/>
      <c r="L3287" s="74" t="n"/>
      <c r="M3287" s="74" t="n"/>
      <c r="O3287" s="78">
        <f>IF($A3287="","",YEAR($A3287)*100+MONTH($A3287))</f>
        <v/>
      </c>
      <c r="P3287" s="79">
        <f>IF(OR($F3287="",$D3287=""),"",IF($D3287="Receita",$F3287,IF($D3287="Transferência",0,-$F3287)))</f>
        <v/>
      </c>
    </row>
    <row r="3288">
      <c r="A3288" s="73" t="n"/>
      <c r="B3288" s="74" t="n"/>
      <c r="C3288" s="74" t="n"/>
      <c r="D3288" s="75">
        <f>IF($C3288="","",IFERROR(INDEX(CAT_TIPO,MATCH($C3288,CAT_NOME,0)),"Sem categoria"))</f>
        <v/>
      </c>
      <c r="E3288" s="75">
        <f>IF($C3288="","",IFERROR(INDEX(CAT_GRUPO,MATCH($C3288,CAT_NOME,0)),"Sem categoria"))</f>
        <v/>
      </c>
      <c r="F3288" s="76" t="n"/>
      <c r="G3288" s="74" t="n"/>
      <c r="H3288" s="74" t="n"/>
      <c r="I3288" s="74" t="n"/>
      <c r="J3288" s="77" t="n"/>
      <c r="K3288" s="77" t="n"/>
      <c r="L3288" s="74" t="n"/>
      <c r="M3288" s="74" t="n"/>
      <c r="O3288" s="78">
        <f>IF($A3288="","",YEAR($A3288)*100+MONTH($A3288))</f>
        <v/>
      </c>
      <c r="P3288" s="79">
        <f>IF(OR($F3288="",$D3288=""),"",IF($D3288="Receita",$F3288,IF($D3288="Transferência",0,-$F3288)))</f>
        <v/>
      </c>
    </row>
    <row r="3289">
      <c r="A3289" s="73" t="n"/>
      <c r="B3289" s="74" t="n"/>
      <c r="C3289" s="74" t="n"/>
      <c r="D3289" s="75">
        <f>IF($C3289="","",IFERROR(INDEX(CAT_TIPO,MATCH($C3289,CAT_NOME,0)),"Sem categoria"))</f>
        <v/>
      </c>
      <c r="E3289" s="75">
        <f>IF($C3289="","",IFERROR(INDEX(CAT_GRUPO,MATCH($C3289,CAT_NOME,0)),"Sem categoria"))</f>
        <v/>
      </c>
      <c r="F3289" s="76" t="n"/>
      <c r="G3289" s="74" t="n"/>
      <c r="H3289" s="74" t="n"/>
      <c r="I3289" s="74" t="n"/>
      <c r="J3289" s="77" t="n"/>
      <c r="K3289" s="77" t="n"/>
      <c r="L3289" s="74" t="n"/>
      <c r="M3289" s="74" t="n"/>
      <c r="O3289" s="78">
        <f>IF($A3289="","",YEAR($A3289)*100+MONTH($A3289))</f>
        <v/>
      </c>
      <c r="P3289" s="79">
        <f>IF(OR($F3289="",$D3289=""),"",IF($D3289="Receita",$F3289,IF($D3289="Transferência",0,-$F3289)))</f>
        <v/>
      </c>
    </row>
    <row r="3290">
      <c r="A3290" s="73" t="n"/>
      <c r="B3290" s="74" t="n"/>
      <c r="C3290" s="74" t="n"/>
      <c r="D3290" s="75">
        <f>IF($C3290="","",IFERROR(INDEX(CAT_TIPO,MATCH($C3290,CAT_NOME,0)),"Sem categoria"))</f>
        <v/>
      </c>
      <c r="E3290" s="75">
        <f>IF($C3290="","",IFERROR(INDEX(CAT_GRUPO,MATCH($C3290,CAT_NOME,0)),"Sem categoria"))</f>
        <v/>
      </c>
      <c r="F3290" s="76" t="n"/>
      <c r="G3290" s="74" t="n"/>
      <c r="H3290" s="74" t="n"/>
      <c r="I3290" s="74" t="n"/>
      <c r="J3290" s="77" t="n"/>
      <c r="K3290" s="77" t="n"/>
      <c r="L3290" s="74" t="n"/>
      <c r="M3290" s="74" t="n"/>
      <c r="O3290" s="78">
        <f>IF($A3290="","",YEAR($A3290)*100+MONTH($A3290))</f>
        <v/>
      </c>
      <c r="P3290" s="79">
        <f>IF(OR($F3290="",$D3290=""),"",IF($D3290="Receita",$F3290,IF($D3290="Transferência",0,-$F3290)))</f>
        <v/>
      </c>
    </row>
    <row r="3291">
      <c r="A3291" s="73" t="n"/>
      <c r="B3291" s="74" t="n"/>
      <c r="C3291" s="74" t="n"/>
      <c r="D3291" s="75">
        <f>IF($C3291="","",IFERROR(INDEX(CAT_TIPO,MATCH($C3291,CAT_NOME,0)),"Sem categoria"))</f>
        <v/>
      </c>
      <c r="E3291" s="75">
        <f>IF($C3291="","",IFERROR(INDEX(CAT_GRUPO,MATCH($C3291,CAT_NOME,0)),"Sem categoria"))</f>
        <v/>
      </c>
      <c r="F3291" s="76" t="n"/>
      <c r="G3291" s="74" t="n"/>
      <c r="H3291" s="74" t="n"/>
      <c r="I3291" s="74" t="n"/>
      <c r="J3291" s="77" t="n"/>
      <c r="K3291" s="77" t="n"/>
      <c r="L3291" s="74" t="n"/>
      <c r="M3291" s="74" t="n"/>
      <c r="O3291" s="78">
        <f>IF($A3291="","",YEAR($A3291)*100+MONTH($A3291))</f>
        <v/>
      </c>
      <c r="P3291" s="79">
        <f>IF(OR($F3291="",$D3291=""),"",IF($D3291="Receita",$F3291,IF($D3291="Transferência",0,-$F3291)))</f>
        <v/>
      </c>
    </row>
    <row r="3292">
      <c r="A3292" s="73" t="n"/>
      <c r="B3292" s="74" t="n"/>
      <c r="C3292" s="74" t="n"/>
      <c r="D3292" s="75">
        <f>IF($C3292="","",IFERROR(INDEX(CAT_TIPO,MATCH($C3292,CAT_NOME,0)),"Sem categoria"))</f>
        <v/>
      </c>
      <c r="E3292" s="75">
        <f>IF($C3292="","",IFERROR(INDEX(CAT_GRUPO,MATCH($C3292,CAT_NOME,0)),"Sem categoria"))</f>
        <v/>
      </c>
      <c r="F3292" s="76" t="n"/>
      <c r="G3292" s="74" t="n"/>
      <c r="H3292" s="74" t="n"/>
      <c r="I3292" s="74" t="n"/>
      <c r="J3292" s="77" t="n"/>
      <c r="K3292" s="77" t="n"/>
      <c r="L3292" s="74" t="n"/>
      <c r="M3292" s="74" t="n"/>
      <c r="O3292" s="78">
        <f>IF($A3292="","",YEAR($A3292)*100+MONTH($A3292))</f>
        <v/>
      </c>
      <c r="P3292" s="79">
        <f>IF(OR($F3292="",$D3292=""),"",IF($D3292="Receita",$F3292,IF($D3292="Transferência",0,-$F3292)))</f>
        <v/>
      </c>
    </row>
    <row r="3293">
      <c r="A3293" s="73" t="n"/>
      <c r="B3293" s="74" t="n"/>
      <c r="C3293" s="74" t="n"/>
      <c r="D3293" s="75">
        <f>IF($C3293="","",IFERROR(INDEX(CAT_TIPO,MATCH($C3293,CAT_NOME,0)),"Sem categoria"))</f>
        <v/>
      </c>
      <c r="E3293" s="75">
        <f>IF($C3293="","",IFERROR(INDEX(CAT_GRUPO,MATCH($C3293,CAT_NOME,0)),"Sem categoria"))</f>
        <v/>
      </c>
      <c r="F3293" s="76" t="n"/>
      <c r="G3293" s="74" t="n"/>
      <c r="H3293" s="74" t="n"/>
      <c r="I3293" s="74" t="n"/>
      <c r="J3293" s="77" t="n"/>
      <c r="K3293" s="77" t="n"/>
      <c r="L3293" s="74" t="n"/>
      <c r="M3293" s="74" t="n"/>
      <c r="O3293" s="78">
        <f>IF($A3293="","",YEAR($A3293)*100+MONTH($A3293))</f>
        <v/>
      </c>
      <c r="P3293" s="79">
        <f>IF(OR($F3293="",$D3293=""),"",IF($D3293="Receita",$F3293,IF($D3293="Transferência",0,-$F3293)))</f>
        <v/>
      </c>
    </row>
    <row r="3294">
      <c r="A3294" s="73" t="n"/>
      <c r="B3294" s="74" t="n"/>
      <c r="C3294" s="74" t="n"/>
      <c r="D3294" s="75">
        <f>IF($C3294="","",IFERROR(INDEX(CAT_TIPO,MATCH($C3294,CAT_NOME,0)),"Sem categoria"))</f>
        <v/>
      </c>
      <c r="E3294" s="75">
        <f>IF($C3294="","",IFERROR(INDEX(CAT_GRUPO,MATCH($C3294,CAT_NOME,0)),"Sem categoria"))</f>
        <v/>
      </c>
      <c r="F3294" s="76" t="n"/>
      <c r="G3294" s="74" t="n"/>
      <c r="H3294" s="74" t="n"/>
      <c r="I3294" s="74" t="n"/>
      <c r="J3294" s="77" t="n"/>
      <c r="K3294" s="77" t="n"/>
      <c r="L3294" s="74" t="n"/>
      <c r="M3294" s="74" t="n"/>
      <c r="O3294" s="78">
        <f>IF($A3294="","",YEAR($A3294)*100+MONTH($A3294))</f>
        <v/>
      </c>
      <c r="P3294" s="79">
        <f>IF(OR($F3294="",$D3294=""),"",IF($D3294="Receita",$F3294,IF($D3294="Transferência",0,-$F3294)))</f>
        <v/>
      </c>
    </row>
    <row r="3295">
      <c r="A3295" s="73" t="n"/>
      <c r="B3295" s="74" t="n"/>
      <c r="C3295" s="74" t="n"/>
      <c r="D3295" s="75">
        <f>IF($C3295="","",IFERROR(INDEX(CAT_TIPO,MATCH($C3295,CAT_NOME,0)),"Sem categoria"))</f>
        <v/>
      </c>
      <c r="E3295" s="75">
        <f>IF($C3295="","",IFERROR(INDEX(CAT_GRUPO,MATCH($C3295,CAT_NOME,0)),"Sem categoria"))</f>
        <v/>
      </c>
      <c r="F3295" s="76" t="n"/>
      <c r="G3295" s="74" t="n"/>
      <c r="H3295" s="74" t="n"/>
      <c r="I3295" s="74" t="n"/>
      <c r="J3295" s="77" t="n"/>
      <c r="K3295" s="77" t="n"/>
      <c r="L3295" s="74" t="n"/>
      <c r="M3295" s="74" t="n"/>
      <c r="O3295" s="78">
        <f>IF($A3295="","",YEAR($A3295)*100+MONTH($A3295))</f>
        <v/>
      </c>
      <c r="P3295" s="79">
        <f>IF(OR($F3295="",$D3295=""),"",IF($D3295="Receita",$F3295,IF($D3295="Transferência",0,-$F3295)))</f>
        <v/>
      </c>
    </row>
    <row r="3296">
      <c r="A3296" s="73" t="n"/>
      <c r="B3296" s="74" t="n"/>
      <c r="C3296" s="74" t="n"/>
      <c r="D3296" s="75">
        <f>IF($C3296="","",IFERROR(INDEX(CAT_TIPO,MATCH($C3296,CAT_NOME,0)),"Sem categoria"))</f>
        <v/>
      </c>
      <c r="E3296" s="75">
        <f>IF($C3296="","",IFERROR(INDEX(CAT_GRUPO,MATCH($C3296,CAT_NOME,0)),"Sem categoria"))</f>
        <v/>
      </c>
      <c r="F3296" s="76" t="n"/>
      <c r="G3296" s="74" t="n"/>
      <c r="H3296" s="74" t="n"/>
      <c r="I3296" s="74" t="n"/>
      <c r="J3296" s="77" t="n"/>
      <c r="K3296" s="77" t="n"/>
      <c r="L3296" s="74" t="n"/>
      <c r="M3296" s="74" t="n"/>
      <c r="O3296" s="78">
        <f>IF($A3296="","",YEAR($A3296)*100+MONTH($A3296))</f>
        <v/>
      </c>
      <c r="P3296" s="79">
        <f>IF(OR($F3296="",$D3296=""),"",IF($D3296="Receita",$F3296,IF($D3296="Transferência",0,-$F3296)))</f>
        <v/>
      </c>
    </row>
    <row r="3297">
      <c r="A3297" s="73" t="n"/>
      <c r="B3297" s="74" t="n"/>
      <c r="C3297" s="74" t="n"/>
      <c r="D3297" s="75">
        <f>IF($C3297="","",IFERROR(INDEX(CAT_TIPO,MATCH($C3297,CAT_NOME,0)),"Sem categoria"))</f>
        <v/>
      </c>
      <c r="E3297" s="75">
        <f>IF($C3297="","",IFERROR(INDEX(CAT_GRUPO,MATCH($C3297,CAT_NOME,0)),"Sem categoria"))</f>
        <v/>
      </c>
      <c r="F3297" s="76" t="n"/>
      <c r="G3297" s="74" t="n"/>
      <c r="H3297" s="74" t="n"/>
      <c r="I3297" s="74" t="n"/>
      <c r="J3297" s="77" t="n"/>
      <c r="K3297" s="77" t="n"/>
      <c r="L3297" s="74" t="n"/>
      <c r="M3297" s="74" t="n"/>
      <c r="O3297" s="78">
        <f>IF($A3297="","",YEAR($A3297)*100+MONTH($A3297))</f>
        <v/>
      </c>
      <c r="P3297" s="79">
        <f>IF(OR($F3297="",$D3297=""),"",IF($D3297="Receita",$F3297,IF($D3297="Transferência",0,-$F3297)))</f>
        <v/>
      </c>
    </row>
    <row r="3298">
      <c r="A3298" s="73" t="n"/>
      <c r="B3298" s="74" t="n"/>
      <c r="C3298" s="74" t="n"/>
      <c r="D3298" s="75">
        <f>IF($C3298="","",IFERROR(INDEX(CAT_TIPO,MATCH($C3298,CAT_NOME,0)),"Sem categoria"))</f>
        <v/>
      </c>
      <c r="E3298" s="75">
        <f>IF($C3298="","",IFERROR(INDEX(CAT_GRUPO,MATCH($C3298,CAT_NOME,0)),"Sem categoria"))</f>
        <v/>
      </c>
      <c r="F3298" s="76" t="n"/>
      <c r="G3298" s="74" t="n"/>
      <c r="H3298" s="74" t="n"/>
      <c r="I3298" s="74" t="n"/>
      <c r="J3298" s="77" t="n"/>
      <c r="K3298" s="77" t="n"/>
      <c r="L3298" s="74" t="n"/>
      <c r="M3298" s="74" t="n"/>
      <c r="O3298" s="78">
        <f>IF($A3298="","",YEAR($A3298)*100+MONTH($A3298))</f>
        <v/>
      </c>
      <c r="P3298" s="79">
        <f>IF(OR($F3298="",$D3298=""),"",IF($D3298="Receita",$F3298,IF($D3298="Transferência",0,-$F3298)))</f>
        <v/>
      </c>
    </row>
    <row r="3299">
      <c r="A3299" s="73" t="n"/>
      <c r="B3299" s="74" t="n"/>
      <c r="C3299" s="74" t="n"/>
      <c r="D3299" s="75">
        <f>IF($C3299="","",IFERROR(INDEX(CAT_TIPO,MATCH($C3299,CAT_NOME,0)),"Sem categoria"))</f>
        <v/>
      </c>
      <c r="E3299" s="75">
        <f>IF($C3299="","",IFERROR(INDEX(CAT_GRUPO,MATCH($C3299,CAT_NOME,0)),"Sem categoria"))</f>
        <v/>
      </c>
      <c r="F3299" s="76" t="n"/>
      <c r="G3299" s="74" t="n"/>
      <c r="H3299" s="74" t="n"/>
      <c r="I3299" s="74" t="n"/>
      <c r="J3299" s="77" t="n"/>
      <c r="K3299" s="77" t="n"/>
      <c r="L3299" s="74" t="n"/>
      <c r="M3299" s="74" t="n"/>
      <c r="O3299" s="78">
        <f>IF($A3299="","",YEAR($A3299)*100+MONTH($A3299))</f>
        <v/>
      </c>
      <c r="P3299" s="79">
        <f>IF(OR($F3299="",$D3299=""),"",IF($D3299="Receita",$F3299,IF($D3299="Transferência",0,-$F3299)))</f>
        <v/>
      </c>
    </row>
    <row r="3300">
      <c r="A3300" s="73" t="n"/>
      <c r="B3300" s="74" t="n"/>
      <c r="C3300" s="74" t="n"/>
      <c r="D3300" s="75">
        <f>IF($C3300="","",IFERROR(INDEX(CAT_TIPO,MATCH($C3300,CAT_NOME,0)),"Sem categoria"))</f>
        <v/>
      </c>
      <c r="E3300" s="75">
        <f>IF($C3300="","",IFERROR(INDEX(CAT_GRUPO,MATCH($C3300,CAT_NOME,0)),"Sem categoria"))</f>
        <v/>
      </c>
      <c r="F3300" s="76" t="n"/>
      <c r="G3300" s="74" t="n"/>
      <c r="H3300" s="74" t="n"/>
      <c r="I3300" s="74" t="n"/>
      <c r="J3300" s="77" t="n"/>
      <c r="K3300" s="77" t="n"/>
      <c r="L3300" s="74" t="n"/>
      <c r="M3300" s="74" t="n"/>
      <c r="O3300" s="78">
        <f>IF($A3300="","",YEAR($A3300)*100+MONTH($A3300))</f>
        <v/>
      </c>
      <c r="P3300" s="79">
        <f>IF(OR($F3300="",$D3300=""),"",IF($D3300="Receita",$F3300,IF($D3300="Transferência",0,-$F3300)))</f>
        <v/>
      </c>
    </row>
    <row r="3301">
      <c r="A3301" s="73" t="n"/>
      <c r="B3301" s="74" t="n"/>
      <c r="C3301" s="74" t="n"/>
      <c r="D3301" s="75">
        <f>IF($C3301="","",IFERROR(INDEX(CAT_TIPO,MATCH($C3301,CAT_NOME,0)),"Sem categoria"))</f>
        <v/>
      </c>
      <c r="E3301" s="75">
        <f>IF($C3301="","",IFERROR(INDEX(CAT_GRUPO,MATCH($C3301,CAT_NOME,0)),"Sem categoria"))</f>
        <v/>
      </c>
      <c r="F3301" s="76" t="n"/>
      <c r="G3301" s="74" t="n"/>
      <c r="H3301" s="74" t="n"/>
      <c r="I3301" s="74" t="n"/>
      <c r="J3301" s="77" t="n"/>
      <c r="K3301" s="77" t="n"/>
      <c r="L3301" s="74" t="n"/>
      <c r="M3301" s="74" t="n"/>
      <c r="O3301" s="78">
        <f>IF($A3301="","",YEAR($A3301)*100+MONTH($A3301))</f>
        <v/>
      </c>
      <c r="P3301" s="79">
        <f>IF(OR($F3301="",$D3301=""),"",IF($D3301="Receita",$F3301,IF($D3301="Transferência",0,-$F3301)))</f>
        <v/>
      </c>
    </row>
    <row r="3302">
      <c r="A3302" s="73" t="n"/>
      <c r="B3302" s="74" t="n"/>
      <c r="C3302" s="74" t="n"/>
      <c r="D3302" s="75">
        <f>IF($C3302="","",IFERROR(INDEX(CAT_TIPO,MATCH($C3302,CAT_NOME,0)),"Sem categoria"))</f>
        <v/>
      </c>
      <c r="E3302" s="75">
        <f>IF($C3302="","",IFERROR(INDEX(CAT_GRUPO,MATCH($C3302,CAT_NOME,0)),"Sem categoria"))</f>
        <v/>
      </c>
      <c r="F3302" s="76" t="n"/>
      <c r="G3302" s="74" t="n"/>
      <c r="H3302" s="74" t="n"/>
      <c r="I3302" s="74" t="n"/>
      <c r="J3302" s="77" t="n"/>
      <c r="K3302" s="77" t="n"/>
      <c r="L3302" s="74" t="n"/>
      <c r="M3302" s="74" t="n"/>
      <c r="O3302" s="78">
        <f>IF($A3302="","",YEAR($A3302)*100+MONTH($A3302))</f>
        <v/>
      </c>
      <c r="P3302" s="79">
        <f>IF(OR($F3302="",$D3302=""),"",IF($D3302="Receita",$F3302,IF($D3302="Transferência",0,-$F3302)))</f>
        <v/>
      </c>
    </row>
    <row r="3303">
      <c r="A3303" s="73" t="n"/>
      <c r="B3303" s="74" t="n"/>
      <c r="C3303" s="74" t="n"/>
      <c r="D3303" s="75">
        <f>IF($C3303="","",IFERROR(INDEX(CAT_TIPO,MATCH($C3303,CAT_NOME,0)),"Sem categoria"))</f>
        <v/>
      </c>
      <c r="E3303" s="75">
        <f>IF($C3303="","",IFERROR(INDEX(CAT_GRUPO,MATCH($C3303,CAT_NOME,0)),"Sem categoria"))</f>
        <v/>
      </c>
      <c r="F3303" s="76" t="n"/>
      <c r="G3303" s="74" t="n"/>
      <c r="H3303" s="74" t="n"/>
      <c r="I3303" s="74" t="n"/>
      <c r="J3303" s="77" t="n"/>
      <c r="K3303" s="77" t="n"/>
      <c r="L3303" s="74" t="n"/>
      <c r="M3303" s="74" t="n"/>
      <c r="O3303" s="78">
        <f>IF($A3303="","",YEAR($A3303)*100+MONTH($A3303))</f>
        <v/>
      </c>
      <c r="P3303" s="79">
        <f>IF(OR($F3303="",$D3303=""),"",IF($D3303="Receita",$F3303,IF($D3303="Transferência",0,-$F3303)))</f>
        <v/>
      </c>
    </row>
    <row r="3304">
      <c r="A3304" s="73" t="n"/>
      <c r="B3304" s="74" t="n"/>
      <c r="C3304" s="74" t="n"/>
      <c r="D3304" s="75">
        <f>IF($C3304="","",IFERROR(INDEX(CAT_TIPO,MATCH($C3304,CAT_NOME,0)),"Sem categoria"))</f>
        <v/>
      </c>
      <c r="E3304" s="75">
        <f>IF($C3304="","",IFERROR(INDEX(CAT_GRUPO,MATCH($C3304,CAT_NOME,0)),"Sem categoria"))</f>
        <v/>
      </c>
      <c r="F3304" s="76" t="n"/>
      <c r="G3304" s="74" t="n"/>
      <c r="H3304" s="74" t="n"/>
      <c r="I3304" s="74" t="n"/>
      <c r="J3304" s="77" t="n"/>
      <c r="K3304" s="77" t="n"/>
      <c r="L3304" s="74" t="n"/>
      <c r="M3304" s="74" t="n"/>
      <c r="O3304" s="78">
        <f>IF($A3304="","",YEAR($A3304)*100+MONTH($A3304))</f>
        <v/>
      </c>
      <c r="P3304" s="79">
        <f>IF(OR($F3304="",$D3304=""),"",IF($D3304="Receita",$F3304,IF($D3304="Transferência",0,-$F3304)))</f>
        <v/>
      </c>
    </row>
    <row r="3305">
      <c r="A3305" s="73" t="n"/>
      <c r="B3305" s="74" t="n"/>
      <c r="C3305" s="74" t="n"/>
      <c r="D3305" s="75">
        <f>IF($C3305="","",IFERROR(INDEX(CAT_TIPO,MATCH($C3305,CAT_NOME,0)),"Sem categoria"))</f>
        <v/>
      </c>
      <c r="E3305" s="75">
        <f>IF($C3305="","",IFERROR(INDEX(CAT_GRUPO,MATCH($C3305,CAT_NOME,0)),"Sem categoria"))</f>
        <v/>
      </c>
      <c r="F3305" s="76" t="n"/>
      <c r="G3305" s="74" t="n"/>
      <c r="H3305" s="74" t="n"/>
      <c r="I3305" s="74" t="n"/>
      <c r="J3305" s="77" t="n"/>
      <c r="K3305" s="77" t="n"/>
      <c r="L3305" s="74" t="n"/>
      <c r="M3305" s="74" t="n"/>
      <c r="O3305" s="78">
        <f>IF($A3305="","",YEAR($A3305)*100+MONTH($A3305))</f>
        <v/>
      </c>
      <c r="P3305" s="79">
        <f>IF(OR($F3305="",$D3305=""),"",IF($D3305="Receita",$F3305,IF($D3305="Transferência",0,-$F3305)))</f>
        <v/>
      </c>
    </row>
    <row r="3306">
      <c r="A3306" s="73" t="n"/>
      <c r="B3306" s="74" t="n"/>
      <c r="C3306" s="74" t="n"/>
      <c r="D3306" s="75">
        <f>IF($C3306="","",IFERROR(INDEX(CAT_TIPO,MATCH($C3306,CAT_NOME,0)),"Sem categoria"))</f>
        <v/>
      </c>
      <c r="E3306" s="75">
        <f>IF($C3306="","",IFERROR(INDEX(CAT_GRUPO,MATCH($C3306,CAT_NOME,0)),"Sem categoria"))</f>
        <v/>
      </c>
      <c r="F3306" s="76" t="n"/>
      <c r="G3306" s="74" t="n"/>
      <c r="H3306" s="74" t="n"/>
      <c r="I3306" s="74" t="n"/>
      <c r="J3306" s="77" t="n"/>
      <c r="K3306" s="77" t="n"/>
      <c r="L3306" s="74" t="n"/>
      <c r="M3306" s="74" t="n"/>
      <c r="O3306" s="78">
        <f>IF($A3306="","",YEAR($A3306)*100+MONTH($A3306))</f>
        <v/>
      </c>
      <c r="P3306" s="79">
        <f>IF(OR($F3306="",$D3306=""),"",IF($D3306="Receita",$F3306,IF($D3306="Transferência",0,-$F3306)))</f>
        <v/>
      </c>
    </row>
    <row r="3307">
      <c r="A3307" s="73" t="n"/>
      <c r="B3307" s="74" t="n"/>
      <c r="C3307" s="74" t="n"/>
      <c r="D3307" s="75">
        <f>IF($C3307="","",IFERROR(INDEX(CAT_TIPO,MATCH($C3307,CAT_NOME,0)),"Sem categoria"))</f>
        <v/>
      </c>
      <c r="E3307" s="75">
        <f>IF($C3307="","",IFERROR(INDEX(CAT_GRUPO,MATCH($C3307,CAT_NOME,0)),"Sem categoria"))</f>
        <v/>
      </c>
      <c r="F3307" s="76" t="n"/>
      <c r="G3307" s="74" t="n"/>
      <c r="H3307" s="74" t="n"/>
      <c r="I3307" s="74" t="n"/>
      <c r="J3307" s="77" t="n"/>
      <c r="K3307" s="77" t="n"/>
      <c r="L3307" s="74" t="n"/>
      <c r="M3307" s="74" t="n"/>
      <c r="O3307" s="78">
        <f>IF($A3307="","",YEAR($A3307)*100+MONTH($A3307))</f>
        <v/>
      </c>
      <c r="P3307" s="79">
        <f>IF(OR($F3307="",$D3307=""),"",IF($D3307="Receita",$F3307,IF($D3307="Transferência",0,-$F3307)))</f>
        <v/>
      </c>
    </row>
    <row r="3308">
      <c r="A3308" s="73" t="n"/>
      <c r="B3308" s="74" t="n"/>
      <c r="C3308" s="74" t="n"/>
      <c r="D3308" s="75">
        <f>IF($C3308="","",IFERROR(INDEX(CAT_TIPO,MATCH($C3308,CAT_NOME,0)),"Sem categoria"))</f>
        <v/>
      </c>
      <c r="E3308" s="75">
        <f>IF($C3308="","",IFERROR(INDEX(CAT_GRUPO,MATCH($C3308,CAT_NOME,0)),"Sem categoria"))</f>
        <v/>
      </c>
      <c r="F3308" s="76" t="n"/>
      <c r="G3308" s="74" t="n"/>
      <c r="H3308" s="74" t="n"/>
      <c r="I3308" s="74" t="n"/>
      <c r="J3308" s="77" t="n"/>
      <c r="K3308" s="77" t="n"/>
      <c r="L3308" s="74" t="n"/>
      <c r="M3308" s="74" t="n"/>
      <c r="O3308" s="78">
        <f>IF($A3308="","",YEAR($A3308)*100+MONTH($A3308))</f>
        <v/>
      </c>
      <c r="P3308" s="79">
        <f>IF(OR($F3308="",$D3308=""),"",IF($D3308="Receita",$F3308,IF($D3308="Transferência",0,-$F3308)))</f>
        <v/>
      </c>
    </row>
    <row r="3309">
      <c r="A3309" s="73" t="n"/>
      <c r="B3309" s="74" t="n"/>
      <c r="C3309" s="74" t="n"/>
      <c r="D3309" s="75">
        <f>IF($C3309="","",IFERROR(INDEX(CAT_TIPO,MATCH($C3309,CAT_NOME,0)),"Sem categoria"))</f>
        <v/>
      </c>
      <c r="E3309" s="75">
        <f>IF($C3309="","",IFERROR(INDEX(CAT_GRUPO,MATCH($C3309,CAT_NOME,0)),"Sem categoria"))</f>
        <v/>
      </c>
      <c r="F3309" s="76" t="n"/>
      <c r="G3309" s="74" t="n"/>
      <c r="H3309" s="74" t="n"/>
      <c r="I3309" s="74" t="n"/>
      <c r="J3309" s="77" t="n"/>
      <c r="K3309" s="77" t="n"/>
      <c r="L3309" s="74" t="n"/>
      <c r="M3309" s="74" t="n"/>
      <c r="O3309" s="78">
        <f>IF($A3309="","",YEAR($A3309)*100+MONTH($A3309))</f>
        <v/>
      </c>
      <c r="P3309" s="79">
        <f>IF(OR($F3309="",$D3309=""),"",IF($D3309="Receita",$F3309,IF($D3309="Transferência",0,-$F3309)))</f>
        <v/>
      </c>
    </row>
    <row r="3310">
      <c r="A3310" s="73" t="n"/>
      <c r="B3310" s="74" t="n"/>
      <c r="C3310" s="74" t="n"/>
      <c r="D3310" s="75">
        <f>IF($C3310="","",IFERROR(INDEX(CAT_TIPO,MATCH($C3310,CAT_NOME,0)),"Sem categoria"))</f>
        <v/>
      </c>
      <c r="E3310" s="75">
        <f>IF($C3310="","",IFERROR(INDEX(CAT_GRUPO,MATCH($C3310,CAT_NOME,0)),"Sem categoria"))</f>
        <v/>
      </c>
      <c r="F3310" s="76" t="n"/>
      <c r="G3310" s="74" t="n"/>
      <c r="H3310" s="74" t="n"/>
      <c r="I3310" s="74" t="n"/>
      <c r="J3310" s="77" t="n"/>
      <c r="K3310" s="77" t="n"/>
      <c r="L3310" s="74" t="n"/>
      <c r="M3310" s="74" t="n"/>
      <c r="O3310" s="78">
        <f>IF($A3310="","",YEAR($A3310)*100+MONTH($A3310))</f>
        <v/>
      </c>
      <c r="P3310" s="79">
        <f>IF(OR($F3310="",$D3310=""),"",IF($D3310="Receita",$F3310,IF($D3310="Transferência",0,-$F3310)))</f>
        <v/>
      </c>
    </row>
    <row r="3311">
      <c r="A3311" s="73" t="n"/>
      <c r="B3311" s="74" t="n"/>
      <c r="C3311" s="74" t="n"/>
      <c r="D3311" s="75">
        <f>IF($C3311="","",IFERROR(INDEX(CAT_TIPO,MATCH($C3311,CAT_NOME,0)),"Sem categoria"))</f>
        <v/>
      </c>
      <c r="E3311" s="75">
        <f>IF($C3311="","",IFERROR(INDEX(CAT_GRUPO,MATCH($C3311,CAT_NOME,0)),"Sem categoria"))</f>
        <v/>
      </c>
      <c r="F3311" s="76" t="n"/>
      <c r="G3311" s="74" t="n"/>
      <c r="H3311" s="74" t="n"/>
      <c r="I3311" s="74" t="n"/>
      <c r="J3311" s="77" t="n"/>
      <c r="K3311" s="77" t="n"/>
      <c r="L3311" s="74" t="n"/>
      <c r="M3311" s="74" t="n"/>
      <c r="O3311" s="78">
        <f>IF($A3311="","",YEAR($A3311)*100+MONTH($A3311))</f>
        <v/>
      </c>
      <c r="P3311" s="79">
        <f>IF(OR($F3311="",$D3311=""),"",IF($D3311="Receita",$F3311,IF($D3311="Transferência",0,-$F3311)))</f>
        <v/>
      </c>
    </row>
    <row r="3312">
      <c r="A3312" s="73" t="n"/>
      <c r="B3312" s="74" t="n"/>
      <c r="C3312" s="74" t="n"/>
      <c r="D3312" s="75">
        <f>IF($C3312="","",IFERROR(INDEX(CAT_TIPO,MATCH($C3312,CAT_NOME,0)),"Sem categoria"))</f>
        <v/>
      </c>
      <c r="E3312" s="75">
        <f>IF($C3312="","",IFERROR(INDEX(CAT_GRUPO,MATCH($C3312,CAT_NOME,0)),"Sem categoria"))</f>
        <v/>
      </c>
      <c r="F3312" s="76" t="n"/>
      <c r="G3312" s="74" t="n"/>
      <c r="H3312" s="74" t="n"/>
      <c r="I3312" s="74" t="n"/>
      <c r="J3312" s="77" t="n"/>
      <c r="K3312" s="77" t="n"/>
      <c r="L3312" s="74" t="n"/>
      <c r="M3312" s="74" t="n"/>
      <c r="O3312" s="78">
        <f>IF($A3312="","",YEAR($A3312)*100+MONTH($A3312))</f>
        <v/>
      </c>
      <c r="P3312" s="79">
        <f>IF(OR($F3312="",$D3312=""),"",IF($D3312="Receita",$F3312,IF($D3312="Transferência",0,-$F3312)))</f>
        <v/>
      </c>
    </row>
    <row r="3313">
      <c r="A3313" s="73" t="n"/>
      <c r="B3313" s="74" t="n"/>
      <c r="C3313" s="74" t="n"/>
      <c r="D3313" s="75">
        <f>IF($C3313="","",IFERROR(INDEX(CAT_TIPO,MATCH($C3313,CAT_NOME,0)),"Sem categoria"))</f>
        <v/>
      </c>
      <c r="E3313" s="75">
        <f>IF($C3313="","",IFERROR(INDEX(CAT_GRUPO,MATCH($C3313,CAT_NOME,0)),"Sem categoria"))</f>
        <v/>
      </c>
      <c r="F3313" s="76" t="n"/>
      <c r="G3313" s="74" t="n"/>
      <c r="H3313" s="74" t="n"/>
      <c r="I3313" s="74" t="n"/>
      <c r="J3313" s="77" t="n"/>
      <c r="K3313" s="77" t="n"/>
      <c r="L3313" s="74" t="n"/>
      <c r="M3313" s="74" t="n"/>
      <c r="O3313" s="78">
        <f>IF($A3313="","",YEAR($A3313)*100+MONTH($A3313))</f>
        <v/>
      </c>
      <c r="P3313" s="79">
        <f>IF(OR($F3313="",$D3313=""),"",IF($D3313="Receita",$F3313,IF($D3313="Transferência",0,-$F3313)))</f>
        <v/>
      </c>
    </row>
    <row r="3314">
      <c r="A3314" s="73" t="n"/>
      <c r="B3314" s="74" t="n"/>
      <c r="C3314" s="74" t="n"/>
      <c r="D3314" s="75">
        <f>IF($C3314="","",IFERROR(INDEX(CAT_TIPO,MATCH($C3314,CAT_NOME,0)),"Sem categoria"))</f>
        <v/>
      </c>
      <c r="E3314" s="75">
        <f>IF($C3314="","",IFERROR(INDEX(CAT_GRUPO,MATCH($C3314,CAT_NOME,0)),"Sem categoria"))</f>
        <v/>
      </c>
      <c r="F3314" s="76" t="n"/>
      <c r="G3314" s="74" t="n"/>
      <c r="H3314" s="74" t="n"/>
      <c r="I3314" s="74" t="n"/>
      <c r="J3314" s="77" t="n"/>
      <c r="K3314" s="77" t="n"/>
      <c r="L3314" s="74" t="n"/>
      <c r="M3314" s="74" t="n"/>
      <c r="O3314" s="78">
        <f>IF($A3314="","",YEAR($A3314)*100+MONTH($A3314))</f>
        <v/>
      </c>
      <c r="P3314" s="79">
        <f>IF(OR($F3314="",$D3314=""),"",IF($D3314="Receita",$F3314,IF($D3314="Transferência",0,-$F3314)))</f>
        <v/>
      </c>
    </row>
    <row r="3315">
      <c r="A3315" s="73" t="n"/>
      <c r="B3315" s="74" t="n"/>
      <c r="C3315" s="74" t="n"/>
      <c r="D3315" s="75">
        <f>IF($C3315="","",IFERROR(INDEX(CAT_TIPO,MATCH($C3315,CAT_NOME,0)),"Sem categoria"))</f>
        <v/>
      </c>
      <c r="E3315" s="75">
        <f>IF($C3315="","",IFERROR(INDEX(CAT_GRUPO,MATCH($C3315,CAT_NOME,0)),"Sem categoria"))</f>
        <v/>
      </c>
      <c r="F3315" s="76" t="n"/>
      <c r="G3315" s="74" t="n"/>
      <c r="H3315" s="74" t="n"/>
      <c r="I3315" s="74" t="n"/>
      <c r="J3315" s="77" t="n"/>
      <c r="K3315" s="77" t="n"/>
      <c r="L3315" s="74" t="n"/>
      <c r="M3315" s="74" t="n"/>
      <c r="O3315" s="78">
        <f>IF($A3315="","",YEAR($A3315)*100+MONTH($A3315))</f>
        <v/>
      </c>
      <c r="P3315" s="79">
        <f>IF(OR($F3315="",$D3315=""),"",IF($D3315="Receita",$F3315,IF($D3315="Transferência",0,-$F3315)))</f>
        <v/>
      </c>
    </row>
    <row r="3316">
      <c r="A3316" s="73" t="n"/>
      <c r="B3316" s="74" t="n"/>
      <c r="C3316" s="74" t="n"/>
      <c r="D3316" s="75">
        <f>IF($C3316="","",IFERROR(INDEX(CAT_TIPO,MATCH($C3316,CAT_NOME,0)),"Sem categoria"))</f>
        <v/>
      </c>
      <c r="E3316" s="75">
        <f>IF($C3316="","",IFERROR(INDEX(CAT_GRUPO,MATCH($C3316,CAT_NOME,0)),"Sem categoria"))</f>
        <v/>
      </c>
      <c r="F3316" s="76" t="n"/>
      <c r="G3316" s="74" t="n"/>
      <c r="H3316" s="74" t="n"/>
      <c r="I3316" s="74" t="n"/>
      <c r="J3316" s="77" t="n"/>
      <c r="K3316" s="77" t="n"/>
      <c r="L3316" s="74" t="n"/>
      <c r="M3316" s="74" t="n"/>
      <c r="O3316" s="78">
        <f>IF($A3316="","",YEAR($A3316)*100+MONTH($A3316))</f>
        <v/>
      </c>
      <c r="P3316" s="79">
        <f>IF(OR($F3316="",$D3316=""),"",IF($D3316="Receita",$F3316,IF($D3316="Transferência",0,-$F3316)))</f>
        <v/>
      </c>
    </row>
    <row r="3317">
      <c r="A3317" s="73" t="n"/>
      <c r="B3317" s="74" t="n"/>
      <c r="C3317" s="74" t="n"/>
      <c r="D3317" s="75">
        <f>IF($C3317="","",IFERROR(INDEX(CAT_TIPO,MATCH($C3317,CAT_NOME,0)),"Sem categoria"))</f>
        <v/>
      </c>
      <c r="E3317" s="75">
        <f>IF($C3317="","",IFERROR(INDEX(CAT_GRUPO,MATCH($C3317,CAT_NOME,0)),"Sem categoria"))</f>
        <v/>
      </c>
      <c r="F3317" s="76" t="n"/>
      <c r="G3317" s="74" t="n"/>
      <c r="H3317" s="74" t="n"/>
      <c r="I3317" s="74" t="n"/>
      <c r="J3317" s="77" t="n"/>
      <c r="K3317" s="77" t="n"/>
      <c r="L3317" s="74" t="n"/>
      <c r="M3317" s="74" t="n"/>
      <c r="O3317" s="78">
        <f>IF($A3317="","",YEAR($A3317)*100+MONTH($A3317))</f>
        <v/>
      </c>
      <c r="P3317" s="79">
        <f>IF(OR($F3317="",$D3317=""),"",IF($D3317="Receita",$F3317,IF($D3317="Transferência",0,-$F3317)))</f>
        <v/>
      </c>
    </row>
    <row r="3318">
      <c r="A3318" s="73" t="n"/>
      <c r="B3318" s="74" t="n"/>
      <c r="C3318" s="74" t="n"/>
      <c r="D3318" s="75">
        <f>IF($C3318="","",IFERROR(INDEX(CAT_TIPO,MATCH($C3318,CAT_NOME,0)),"Sem categoria"))</f>
        <v/>
      </c>
      <c r="E3318" s="75">
        <f>IF($C3318="","",IFERROR(INDEX(CAT_GRUPO,MATCH($C3318,CAT_NOME,0)),"Sem categoria"))</f>
        <v/>
      </c>
      <c r="F3318" s="76" t="n"/>
      <c r="G3318" s="74" t="n"/>
      <c r="H3318" s="74" t="n"/>
      <c r="I3318" s="74" t="n"/>
      <c r="J3318" s="77" t="n"/>
      <c r="K3318" s="77" t="n"/>
      <c r="L3318" s="74" t="n"/>
      <c r="M3318" s="74" t="n"/>
      <c r="O3318" s="78">
        <f>IF($A3318="","",YEAR($A3318)*100+MONTH($A3318))</f>
        <v/>
      </c>
      <c r="P3318" s="79">
        <f>IF(OR($F3318="",$D3318=""),"",IF($D3318="Receita",$F3318,IF($D3318="Transferência",0,-$F3318)))</f>
        <v/>
      </c>
    </row>
    <row r="3319">
      <c r="A3319" s="73" t="n"/>
      <c r="B3319" s="74" t="n"/>
      <c r="C3319" s="74" t="n"/>
      <c r="D3319" s="75">
        <f>IF($C3319="","",IFERROR(INDEX(CAT_TIPO,MATCH($C3319,CAT_NOME,0)),"Sem categoria"))</f>
        <v/>
      </c>
      <c r="E3319" s="75">
        <f>IF($C3319="","",IFERROR(INDEX(CAT_GRUPO,MATCH($C3319,CAT_NOME,0)),"Sem categoria"))</f>
        <v/>
      </c>
      <c r="F3319" s="76" t="n"/>
      <c r="G3319" s="74" t="n"/>
      <c r="H3319" s="74" t="n"/>
      <c r="I3319" s="74" t="n"/>
      <c r="J3319" s="77" t="n"/>
      <c r="K3319" s="77" t="n"/>
      <c r="L3319" s="74" t="n"/>
      <c r="M3319" s="74" t="n"/>
      <c r="O3319" s="78">
        <f>IF($A3319="","",YEAR($A3319)*100+MONTH($A3319))</f>
        <v/>
      </c>
      <c r="P3319" s="79">
        <f>IF(OR($F3319="",$D3319=""),"",IF($D3319="Receita",$F3319,IF($D3319="Transferência",0,-$F3319)))</f>
        <v/>
      </c>
    </row>
    <row r="3320">
      <c r="A3320" s="73" t="n"/>
      <c r="B3320" s="74" t="n"/>
      <c r="C3320" s="74" t="n"/>
      <c r="D3320" s="75">
        <f>IF($C3320="","",IFERROR(INDEX(CAT_TIPO,MATCH($C3320,CAT_NOME,0)),"Sem categoria"))</f>
        <v/>
      </c>
      <c r="E3320" s="75">
        <f>IF($C3320="","",IFERROR(INDEX(CAT_GRUPO,MATCH($C3320,CAT_NOME,0)),"Sem categoria"))</f>
        <v/>
      </c>
      <c r="F3320" s="76" t="n"/>
      <c r="G3320" s="74" t="n"/>
      <c r="H3320" s="74" t="n"/>
      <c r="I3320" s="74" t="n"/>
      <c r="J3320" s="77" t="n"/>
      <c r="K3320" s="77" t="n"/>
      <c r="L3320" s="74" t="n"/>
      <c r="M3320" s="74" t="n"/>
      <c r="O3320" s="78">
        <f>IF($A3320="","",YEAR($A3320)*100+MONTH($A3320))</f>
        <v/>
      </c>
      <c r="P3320" s="79">
        <f>IF(OR($F3320="",$D3320=""),"",IF($D3320="Receita",$F3320,IF($D3320="Transferência",0,-$F3320)))</f>
        <v/>
      </c>
    </row>
    <row r="3321">
      <c r="A3321" s="73" t="n"/>
      <c r="B3321" s="74" t="n"/>
      <c r="C3321" s="74" t="n"/>
      <c r="D3321" s="75">
        <f>IF($C3321="","",IFERROR(INDEX(CAT_TIPO,MATCH($C3321,CAT_NOME,0)),"Sem categoria"))</f>
        <v/>
      </c>
      <c r="E3321" s="75">
        <f>IF($C3321="","",IFERROR(INDEX(CAT_GRUPO,MATCH($C3321,CAT_NOME,0)),"Sem categoria"))</f>
        <v/>
      </c>
      <c r="F3321" s="76" t="n"/>
      <c r="G3321" s="74" t="n"/>
      <c r="H3321" s="74" t="n"/>
      <c r="I3321" s="74" t="n"/>
      <c r="J3321" s="77" t="n"/>
      <c r="K3321" s="77" t="n"/>
      <c r="L3321" s="74" t="n"/>
      <c r="M3321" s="74" t="n"/>
      <c r="O3321" s="78">
        <f>IF($A3321="","",YEAR($A3321)*100+MONTH($A3321))</f>
        <v/>
      </c>
      <c r="P3321" s="79">
        <f>IF(OR($F3321="",$D3321=""),"",IF($D3321="Receita",$F3321,IF($D3321="Transferência",0,-$F3321)))</f>
        <v/>
      </c>
    </row>
    <row r="3322">
      <c r="A3322" s="73" t="n"/>
      <c r="B3322" s="74" t="n"/>
      <c r="C3322" s="74" t="n"/>
      <c r="D3322" s="75">
        <f>IF($C3322="","",IFERROR(INDEX(CAT_TIPO,MATCH($C3322,CAT_NOME,0)),"Sem categoria"))</f>
        <v/>
      </c>
      <c r="E3322" s="75">
        <f>IF($C3322="","",IFERROR(INDEX(CAT_GRUPO,MATCH($C3322,CAT_NOME,0)),"Sem categoria"))</f>
        <v/>
      </c>
      <c r="F3322" s="76" t="n"/>
      <c r="G3322" s="74" t="n"/>
      <c r="H3322" s="74" t="n"/>
      <c r="I3322" s="74" t="n"/>
      <c r="J3322" s="77" t="n"/>
      <c r="K3322" s="77" t="n"/>
      <c r="L3322" s="74" t="n"/>
      <c r="M3322" s="74" t="n"/>
      <c r="O3322" s="78">
        <f>IF($A3322="","",YEAR($A3322)*100+MONTH($A3322))</f>
        <v/>
      </c>
      <c r="P3322" s="79">
        <f>IF(OR($F3322="",$D3322=""),"",IF($D3322="Receita",$F3322,IF($D3322="Transferência",0,-$F3322)))</f>
        <v/>
      </c>
    </row>
    <row r="3323">
      <c r="A3323" s="73" t="n"/>
      <c r="B3323" s="74" t="n"/>
      <c r="C3323" s="74" t="n"/>
      <c r="D3323" s="75">
        <f>IF($C3323="","",IFERROR(INDEX(CAT_TIPO,MATCH($C3323,CAT_NOME,0)),"Sem categoria"))</f>
        <v/>
      </c>
      <c r="E3323" s="75">
        <f>IF($C3323="","",IFERROR(INDEX(CAT_GRUPO,MATCH($C3323,CAT_NOME,0)),"Sem categoria"))</f>
        <v/>
      </c>
      <c r="F3323" s="76" t="n"/>
      <c r="G3323" s="74" t="n"/>
      <c r="H3323" s="74" t="n"/>
      <c r="I3323" s="74" t="n"/>
      <c r="J3323" s="77" t="n"/>
      <c r="K3323" s="77" t="n"/>
      <c r="L3323" s="74" t="n"/>
      <c r="M3323" s="74" t="n"/>
      <c r="O3323" s="78">
        <f>IF($A3323="","",YEAR($A3323)*100+MONTH($A3323))</f>
        <v/>
      </c>
      <c r="P3323" s="79">
        <f>IF(OR($F3323="",$D3323=""),"",IF($D3323="Receita",$F3323,IF($D3323="Transferência",0,-$F3323)))</f>
        <v/>
      </c>
    </row>
    <row r="3324">
      <c r="A3324" s="73" t="n"/>
      <c r="B3324" s="74" t="n"/>
      <c r="C3324" s="74" t="n"/>
      <c r="D3324" s="75">
        <f>IF($C3324="","",IFERROR(INDEX(CAT_TIPO,MATCH($C3324,CAT_NOME,0)),"Sem categoria"))</f>
        <v/>
      </c>
      <c r="E3324" s="75">
        <f>IF($C3324="","",IFERROR(INDEX(CAT_GRUPO,MATCH($C3324,CAT_NOME,0)),"Sem categoria"))</f>
        <v/>
      </c>
      <c r="F3324" s="76" t="n"/>
      <c r="G3324" s="74" t="n"/>
      <c r="H3324" s="74" t="n"/>
      <c r="I3324" s="74" t="n"/>
      <c r="J3324" s="77" t="n"/>
      <c r="K3324" s="77" t="n"/>
      <c r="L3324" s="74" t="n"/>
      <c r="M3324" s="74" t="n"/>
      <c r="O3324" s="78">
        <f>IF($A3324="","",YEAR($A3324)*100+MONTH($A3324))</f>
        <v/>
      </c>
      <c r="P3324" s="79">
        <f>IF(OR($F3324="",$D3324=""),"",IF($D3324="Receita",$F3324,IF($D3324="Transferência",0,-$F3324)))</f>
        <v/>
      </c>
    </row>
    <row r="3325">
      <c r="A3325" s="73" t="n"/>
      <c r="B3325" s="74" t="n"/>
      <c r="C3325" s="74" t="n"/>
      <c r="D3325" s="75">
        <f>IF($C3325="","",IFERROR(INDEX(CAT_TIPO,MATCH($C3325,CAT_NOME,0)),"Sem categoria"))</f>
        <v/>
      </c>
      <c r="E3325" s="75">
        <f>IF($C3325="","",IFERROR(INDEX(CAT_GRUPO,MATCH($C3325,CAT_NOME,0)),"Sem categoria"))</f>
        <v/>
      </c>
      <c r="F3325" s="76" t="n"/>
      <c r="G3325" s="74" t="n"/>
      <c r="H3325" s="74" t="n"/>
      <c r="I3325" s="74" t="n"/>
      <c r="J3325" s="77" t="n"/>
      <c r="K3325" s="77" t="n"/>
      <c r="L3325" s="74" t="n"/>
      <c r="M3325" s="74" t="n"/>
      <c r="O3325" s="78">
        <f>IF($A3325="","",YEAR($A3325)*100+MONTH($A3325))</f>
        <v/>
      </c>
      <c r="P3325" s="79">
        <f>IF(OR($F3325="",$D3325=""),"",IF($D3325="Receita",$F3325,IF($D3325="Transferência",0,-$F3325)))</f>
        <v/>
      </c>
    </row>
    <row r="3326">
      <c r="A3326" s="73" t="n"/>
      <c r="B3326" s="74" t="n"/>
      <c r="C3326" s="74" t="n"/>
      <c r="D3326" s="75">
        <f>IF($C3326="","",IFERROR(INDEX(CAT_TIPO,MATCH($C3326,CAT_NOME,0)),"Sem categoria"))</f>
        <v/>
      </c>
      <c r="E3326" s="75">
        <f>IF($C3326="","",IFERROR(INDEX(CAT_GRUPO,MATCH($C3326,CAT_NOME,0)),"Sem categoria"))</f>
        <v/>
      </c>
      <c r="F3326" s="76" t="n"/>
      <c r="G3326" s="74" t="n"/>
      <c r="H3326" s="74" t="n"/>
      <c r="I3326" s="74" t="n"/>
      <c r="J3326" s="77" t="n"/>
      <c r="K3326" s="77" t="n"/>
      <c r="L3326" s="74" t="n"/>
      <c r="M3326" s="74" t="n"/>
      <c r="O3326" s="78">
        <f>IF($A3326="","",YEAR($A3326)*100+MONTH($A3326))</f>
        <v/>
      </c>
      <c r="P3326" s="79">
        <f>IF(OR($F3326="",$D3326=""),"",IF($D3326="Receita",$F3326,IF($D3326="Transferência",0,-$F3326)))</f>
        <v/>
      </c>
    </row>
    <row r="3327">
      <c r="A3327" s="73" t="n"/>
      <c r="B3327" s="74" t="n"/>
      <c r="C3327" s="74" t="n"/>
      <c r="D3327" s="75">
        <f>IF($C3327="","",IFERROR(INDEX(CAT_TIPO,MATCH($C3327,CAT_NOME,0)),"Sem categoria"))</f>
        <v/>
      </c>
      <c r="E3327" s="75">
        <f>IF($C3327="","",IFERROR(INDEX(CAT_GRUPO,MATCH($C3327,CAT_NOME,0)),"Sem categoria"))</f>
        <v/>
      </c>
      <c r="F3327" s="76" t="n"/>
      <c r="G3327" s="74" t="n"/>
      <c r="H3327" s="74" t="n"/>
      <c r="I3327" s="74" t="n"/>
      <c r="J3327" s="77" t="n"/>
      <c r="K3327" s="77" t="n"/>
      <c r="L3327" s="74" t="n"/>
      <c r="M3327" s="74" t="n"/>
      <c r="O3327" s="78">
        <f>IF($A3327="","",YEAR($A3327)*100+MONTH($A3327))</f>
        <v/>
      </c>
      <c r="P3327" s="79">
        <f>IF(OR($F3327="",$D3327=""),"",IF($D3327="Receita",$F3327,IF($D3327="Transferência",0,-$F3327)))</f>
        <v/>
      </c>
    </row>
    <row r="3328">
      <c r="A3328" s="73" t="n"/>
      <c r="B3328" s="74" t="n"/>
      <c r="C3328" s="74" t="n"/>
      <c r="D3328" s="75">
        <f>IF($C3328="","",IFERROR(INDEX(CAT_TIPO,MATCH($C3328,CAT_NOME,0)),"Sem categoria"))</f>
        <v/>
      </c>
      <c r="E3328" s="75">
        <f>IF($C3328="","",IFERROR(INDEX(CAT_GRUPO,MATCH($C3328,CAT_NOME,0)),"Sem categoria"))</f>
        <v/>
      </c>
      <c r="F3328" s="76" t="n"/>
      <c r="G3328" s="74" t="n"/>
      <c r="H3328" s="74" t="n"/>
      <c r="I3328" s="74" t="n"/>
      <c r="J3328" s="77" t="n"/>
      <c r="K3328" s="77" t="n"/>
      <c r="L3328" s="74" t="n"/>
      <c r="M3328" s="74" t="n"/>
      <c r="O3328" s="78">
        <f>IF($A3328="","",YEAR($A3328)*100+MONTH($A3328))</f>
        <v/>
      </c>
      <c r="P3328" s="79">
        <f>IF(OR($F3328="",$D3328=""),"",IF($D3328="Receita",$F3328,IF($D3328="Transferência",0,-$F3328)))</f>
        <v/>
      </c>
    </row>
    <row r="3329">
      <c r="A3329" s="73" t="n"/>
      <c r="B3329" s="74" t="n"/>
      <c r="C3329" s="74" t="n"/>
      <c r="D3329" s="75">
        <f>IF($C3329="","",IFERROR(INDEX(CAT_TIPO,MATCH($C3329,CAT_NOME,0)),"Sem categoria"))</f>
        <v/>
      </c>
      <c r="E3329" s="75">
        <f>IF($C3329="","",IFERROR(INDEX(CAT_GRUPO,MATCH($C3329,CAT_NOME,0)),"Sem categoria"))</f>
        <v/>
      </c>
      <c r="F3329" s="76" t="n"/>
      <c r="G3329" s="74" t="n"/>
      <c r="H3329" s="74" t="n"/>
      <c r="I3329" s="74" t="n"/>
      <c r="J3329" s="77" t="n"/>
      <c r="K3329" s="77" t="n"/>
      <c r="L3329" s="74" t="n"/>
      <c r="M3329" s="74" t="n"/>
      <c r="O3329" s="78">
        <f>IF($A3329="","",YEAR($A3329)*100+MONTH($A3329))</f>
        <v/>
      </c>
      <c r="P3329" s="79">
        <f>IF(OR($F3329="",$D3329=""),"",IF($D3329="Receita",$F3329,IF($D3329="Transferência",0,-$F3329)))</f>
        <v/>
      </c>
    </row>
    <row r="3330">
      <c r="A3330" s="73" t="n"/>
      <c r="B3330" s="74" t="n"/>
      <c r="C3330" s="74" t="n"/>
      <c r="D3330" s="75">
        <f>IF($C3330="","",IFERROR(INDEX(CAT_TIPO,MATCH($C3330,CAT_NOME,0)),"Sem categoria"))</f>
        <v/>
      </c>
      <c r="E3330" s="75">
        <f>IF($C3330="","",IFERROR(INDEX(CAT_GRUPO,MATCH($C3330,CAT_NOME,0)),"Sem categoria"))</f>
        <v/>
      </c>
      <c r="F3330" s="76" t="n"/>
      <c r="G3330" s="74" t="n"/>
      <c r="H3330" s="74" t="n"/>
      <c r="I3330" s="74" t="n"/>
      <c r="J3330" s="77" t="n"/>
      <c r="K3330" s="77" t="n"/>
      <c r="L3330" s="74" t="n"/>
      <c r="M3330" s="74" t="n"/>
      <c r="O3330" s="78">
        <f>IF($A3330="","",YEAR($A3330)*100+MONTH($A3330))</f>
        <v/>
      </c>
      <c r="P3330" s="79">
        <f>IF(OR($F3330="",$D3330=""),"",IF($D3330="Receita",$F3330,IF($D3330="Transferência",0,-$F3330)))</f>
        <v/>
      </c>
    </row>
    <row r="3331">
      <c r="A3331" s="73" t="n"/>
      <c r="B3331" s="74" t="n"/>
      <c r="C3331" s="74" t="n"/>
      <c r="D3331" s="75">
        <f>IF($C3331="","",IFERROR(INDEX(CAT_TIPO,MATCH($C3331,CAT_NOME,0)),"Sem categoria"))</f>
        <v/>
      </c>
      <c r="E3331" s="75">
        <f>IF($C3331="","",IFERROR(INDEX(CAT_GRUPO,MATCH($C3331,CAT_NOME,0)),"Sem categoria"))</f>
        <v/>
      </c>
      <c r="F3331" s="76" t="n"/>
      <c r="G3331" s="74" t="n"/>
      <c r="H3331" s="74" t="n"/>
      <c r="I3331" s="74" t="n"/>
      <c r="J3331" s="77" t="n"/>
      <c r="K3331" s="77" t="n"/>
      <c r="L3331" s="74" t="n"/>
      <c r="M3331" s="74" t="n"/>
      <c r="O3331" s="78">
        <f>IF($A3331="","",YEAR($A3331)*100+MONTH($A3331))</f>
        <v/>
      </c>
      <c r="P3331" s="79">
        <f>IF(OR($F3331="",$D3331=""),"",IF($D3331="Receita",$F3331,IF($D3331="Transferência",0,-$F3331)))</f>
        <v/>
      </c>
    </row>
    <row r="3332">
      <c r="A3332" s="73" t="n"/>
      <c r="B3332" s="74" t="n"/>
      <c r="C3332" s="74" t="n"/>
      <c r="D3332" s="75">
        <f>IF($C3332="","",IFERROR(INDEX(CAT_TIPO,MATCH($C3332,CAT_NOME,0)),"Sem categoria"))</f>
        <v/>
      </c>
      <c r="E3332" s="75">
        <f>IF($C3332="","",IFERROR(INDEX(CAT_GRUPO,MATCH($C3332,CAT_NOME,0)),"Sem categoria"))</f>
        <v/>
      </c>
      <c r="F3332" s="76" t="n"/>
      <c r="G3332" s="74" t="n"/>
      <c r="H3332" s="74" t="n"/>
      <c r="I3332" s="74" t="n"/>
      <c r="J3332" s="77" t="n"/>
      <c r="K3332" s="77" t="n"/>
      <c r="L3332" s="74" t="n"/>
      <c r="M3332" s="74" t="n"/>
      <c r="O3332" s="78">
        <f>IF($A3332="","",YEAR($A3332)*100+MONTH($A3332))</f>
        <v/>
      </c>
      <c r="P3332" s="79">
        <f>IF(OR($F3332="",$D3332=""),"",IF($D3332="Receita",$F3332,IF($D3332="Transferência",0,-$F3332)))</f>
        <v/>
      </c>
    </row>
    <row r="3333">
      <c r="A3333" s="73" t="n"/>
      <c r="B3333" s="74" t="n"/>
      <c r="C3333" s="74" t="n"/>
      <c r="D3333" s="75">
        <f>IF($C3333="","",IFERROR(INDEX(CAT_TIPO,MATCH($C3333,CAT_NOME,0)),"Sem categoria"))</f>
        <v/>
      </c>
      <c r="E3333" s="75">
        <f>IF($C3333="","",IFERROR(INDEX(CAT_GRUPO,MATCH($C3333,CAT_NOME,0)),"Sem categoria"))</f>
        <v/>
      </c>
      <c r="F3333" s="76" t="n"/>
      <c r="G3333" s="74" t="n"/>
      <c r="H3333" s="74" t="n"/>
      <c r="I3333" s="74" t="n"/>
      <c r="J3333" s="77" t="n"/>
      <c r="K3333" s="77" t="n"/>
      <c r="L3333" s="74" t="n"/>
      <c r="M3333" s="74" t="n"/>
      <c r="O3333" s="78">
        <f>IF($A3333="","",YEAR($A3333)*100+MONTH($A3333))</f>
        <v/>
      </c>
      <c r="P3333" s="79">
        <f>IF(OR($F3333="",$D3333=""),"",IF($D3333="Receita",$F3333,IF($D3333="Transferência",0,-$F3333)))</f>
        <v/>
      </c>
    </row>
    <row r="3334">
      <c r="A3334" s="73" t="n"/>
      <c r="B3334" s="74" t="n"/>
      <c r="C3334" s="74" t="n"/>
      <c r="D3334" s="75">
        <f>IF($C3334="","",IFERROR(INDEX(CAT_TIPO,MATCH($C3334,CAT_NOME,0)),"Sem categoria"))</f>
        <v/>
      </c>
      <c r="E3334" s="75">
        <f>IF($C3334="","",IFERROR(INDEX(CAT_GRUPO,MATCH($C3334,CAT_NOME,0)),"Sem categoria"))</f>
        <v/>
      </c>
      <c r="F3334" s="76" t="n"/>
      <c r="G3334" s="74" t="n"/>
      <c r="H3334" s="74" t="n"/>
      <c r="I3334" s="74" t="n"/>
      <c r="J3334" s="77" t="n"/>
      <c r="K3334" s="77" t="n"/>
      <c r="L3334" s="74" t="n"/>
      <c r="M3334" s="74" t="n"/>
      <c r="O3334" s="78">
        <f>IF($A3334="","",YEAR($A3334)*100+MONTH($A3334))</f>
        <v/>
      </c>
      <c r="P3334" s="79">
        <f>IF(OR($F3334="",$D3334=""),"",IF($D3334="Receita",$F3334,IF($D3334="Transferência",0,-$F3334)))</f>
        <v/>
      </c>
    </row>
    <row r="3335">
      <c r="A3335" s="73" t="n"/>
      <c r="B3335" s="74" t="n"/>
      <c r="C3335" s="74" t="n"/>
      <c r="D3335" s="75">
        <f>IF($C3335="","",IFERROR(INDEX(CAT_TIPO,MATCH($C3335,CAT_NOME,0)),"Sem categoria"))</f>
        <v/>
      </c>
      <c r="E3335" s="75">
        <f>IF($C3335="","",IFERROR(INDEX(CAT_GRUPO,MATCH($C3335,CAT_NOME,0)),"Sem categoria"))</f>
        <v/>
      </c>
      <c r="F3335" s="76" t="n"/>
      <c r="G3335" s="74" t="n"/>
      <c r="H3335" s="74" t="n"/>
      <c r="I3335" s="74" t="n"/>
      <c r="J3335" s="77" t="n"/>
      <c r="K3335" s="77" t="n"/>
      <c r="L3335" s="74" t="n"/>
      <c r="M3335" s="74" t="n"/>
      <c r="O3335" s="78">
        <f>IF($A3335="","",YEAR($A3335)*100+MONTH($A3335))</f>
        <v/>
      </c>
      <c r="P3335" s="79">
        <f>IF(OR($F3335="",$D3335=""),"",IF($D3335="Receita",$F3335,IF($D3335="Transferência",0,-$F3335)))</f>
        <v/>
      </c>
    </row>
    <row r="3336">
      <c r="A3336" s="73" t="n"/>
      <c r="B3336" s="74" t="n"/>
      <c r="C3336" s="74" t="n"/>
      <c r="D3336" s="75">
        <f>IF($C3336="","",IFERROR(INDEX(CAT_TIPO,MATCH($C3336,CAT_NOME,0)),"Sem categoria"))</f>
        <v/>
      </c>
      <c r="E3336" s="75">
        <f>IF($C3336="","",IFERROR(INDEX(CAT_GRUPO,MATCH($C3336,CAT_NOME,0)),"Sem categoria"))</f>
        <v/>
      </c>
      <c r="F3336" s="76" t="n"/>
      <c r="G3336" s="74" t="n"/>
      <c r="H3336" s="74" t="n"/>
      <c r="I3336" s="74" t="n"/>
      <c r="J3336" s="77" t="n"/>
      <c r="K3336" s="77" t="n"/>
      <c r="L3336" s="74" t="n"/>
      <c r="M3336" s="74" t="n"/>
      <c r="O3336" s="78">
        <f>IF($A3336="","",YEAR($A3336)*100+MONTH($A3336))</f>
        <v/>
      </c>
      <c r="P3336" s="79">
        <f>IF(OR($F3336="",$D3336=""),"",IF($D3336="Receita",$F3336,IF($D3336="Transferência",0,-$F3336)))</f>
        <v/>
      </c>
    </row>
    <row r="3337">
      <c r="A3337" s="73" t="n"/>
      <c r="B3337" s="74" t="n"/>
      <c r="C3337" s="74" t="n"/>
      <c r="D3337" s="75">
        <f>IF($C3337="","",IFERROR(INDEX(CAT_TIPO,MATCH($C3337,CAT_NOME,0)),"Sem categoria"))</f>
        <v/>
      </c>
      <c r="E3337" s="75">
        <f>IF($C3337="","",IFERROR(INDEX(CAT_GRUPO,MATCH($C3337,CAT_NOME,0)),"Sem categoria"))</f>
        <v/>
      </c>
      <c r="F3337" s="76" t="n"/>
      <c r="G3337" s="74" t="n"/>
      <c r="H3337" s="74" t="n"/>
      <c r="I3337" s="74" t="n"/>
      <c r="J3337" s="77" t="n"/>
      <c r="K3337" s="77" t="n"/>
      <c r="L3337" s="74" t="n"/>
      <c r="M3337" s="74" t="n"/>
      <c r="O3337" s="78">
        <f>IF($A3337="","",YEAR($A3337)*100+MONTH($A3337))</f>
        <v/>
      </c>
      <c r="P3337" s="79">
        <f>IF(OR($F3337="",$D3337=""),"",IF($D3337="Receita",$F3337,IF($D3337="Transferência",0,-$F3337)))</f>
        <v/>
      </c>
    </row>
    <row r="3338">
      <c r="A3338" s="73" t="n"/>
      <c r="B3338" s="74" t="n"/>
      <c r="C3338" s="74" t="n"/>
      <c r="D3338" s="75">
        <f>IF($C3338="","",IFERROR(INDEX(CAT_TIPO,MATCH($C3338,CAT_NOME,0)),"Sem categoria"))</f>
        <v/>
      </c>
      <c r="E3338" s="75">
        <f>IF($C3338="","",IFERROR(INDEX(CAT_GRUPO,MATCH($C3338,CAT_NOME,0)),"Sem categoria"))</f>
        <v/>
      </c>
      <c r="F3338" s="76" t="n"/>
      <c r="G3338" s="74" t="n"/>
      <c r="H3338" s="74" t="n"/>
      <c r="I3338" s="74" t="n"/>
      <c r="J3338" s="77" t="n"/>
      <c r="K3338" s="77" t="n"/>
      <c r="L3338" s="74" t="n"/>
      <c r="M3338" s="74" t="n"/>
      <c r="O3338" s="78">
        <f>IF($A3338="","",YEAR($A3338)*100+MONTH($A3338))</f>
        <v/>
      </c>
      <c r="P3338" s="79">
        <f>IF(OR($F3338="",$D3338=""),"",IF($D3338="Receita",$F3338,IF($D3338="Transferência",0,-$F3338)))</f>
        <v/>
      </c>
    </row>
    <row r="3339">
      <c r="A3339" s="73" t="n"/>
      <c r="B3339" s="74" t="n"/>
      <c r="C3339" s="74" t="n"/>
      <c r="D3339" s="75">
        <f>IF($C3339="","",IFERROR(INDEX(CAT_TIPO,MATCH($C3339,CAT_NOME,0)),"Sem categoria"))</f>
        <v/>
      </c>
      <c r="E3339" s="75">
        <f>IF($C3339="","",IFERROR(INDEX(CAT_GRUPO,MATCH($C3339,CAT_NOME,0)),"Sem categoria"))</f>
        <v/>
      </c>
      <c r="F3339" s="76" t="n"/>
      <c r="G3339" s="74" t="n"/>
      <c r="H3339" s="74" t="n"/>
      <c r="I3339" s="74" t="n"/>
      <c r="J3339" s="77" t="n"/>
      <c r="K3339" s="77" t="n"/>
      <c r="L3339" s="74" t="n"/>
      <c r="M3339" s="74" t="n"/>
      <c r="O3339" s="78">
        <f>IF($A3339="","",YEAR($A3339)*100+MONTH($A3339))</f>
        <v/>
      </c>
      <c r="P3339" s="79">
        <f>IF(OR($F3339="",$D3339=""),"",IF($D3339="Receita",$F3339,IF($D3339="Transferência",0,-$F3339)))</f>
        <v/>
      </c>
    </row>
    <row r="3340">
      <c r="A3340" s="73" t="n"/>
      <c r="B3340" s="74" t="n"/>
      <c r="C3340" s="74" t="n"/>
      <c r="D3340" s="75">
        <f>IF($C3340="","",IFERROR(INDEX(CAT_TIPO,MATCH($C3340,CAT_NOME,0)),"Sem categoria"))</f>
        <v/>
      </c>
      <c r="E3340" s="75">
        <f>IF($C3340="","",IFERROR(INDEX(CAT_GRUPO,MATCH($C3340,CAT_NOME,0)),"Sem categoria"))</f>
        <v/>
      </c>
      <c r="F3340" s="76" t="n"/>
      <c r="G3340" s="74" t="n"/>
      <c r="H3340" s="74" t="n"/>
      <c r="I3340" s="74" t="n"/>
      <c r="J3340" s="77" t="n"/>
      <c r="K3340" s="77" t="n"/>
      <c r="L3340" s="74" t="n"/>
      <c r="M3340" s="74" t="n"/>
      <c r="O3340" s="78">
        <f>IF($A3340="","",YEAR($A3340)*100+MONTH($A3340))</f>
        <v/>
      </c>
      <c r="P3340" s="79">
        <f>IF(OR($F3340="",$D3340=""),"",IF($D3340="Receita",$F3340,IF($D3340="Transferência",0,-$F3340)))</f>
        <v/>
      </c>
    </row>
    <row r="3341">
      <c r="A3341" s="73" t="n"/>
      <c r="B3341" s="74" t="n"/>
      <c r="C3341" s="74" t="n"/>
      <c r="D3341" s="75">
        <f>IF($C3341="","",IFERROR(INDEX(CAT_TIPO,MATCH($C3341,CAT_NOME,0)),"Sem categoria"))</f>
        <v/>
      </c>
      <c r="E3341" s="75">
        <f>IF($C3341="","",IFERROR(INDEX(CAT_GRUPO,MATCH($C3341,CAT_NOME,0)),"Sem categoria"))</f>
        <v/>
      </c>
      <c r="F3341" s="76" t="n"/>
      <c r="G3341" s="74" t="n"/>
      <c r="H3341" s="74" t="n"/>
      <c r="I3341" s="74" t="n"/>
      <c r="J3341" s="77" t="n"/>
      <c r="K3341" s="77" t="n"/>
      <c r="L3341" s="74" t="n"/>
      <c r="M3341" s="74" t="n"/>
      <c r="O3341" s="78">
        <f>IF($A3341="","",YEAR($A3341)*100+MONTH($A3341))</f>
        <v/>
      </c>
      <c r="P3341" s="79">
        <f>IF(OR($F3341="",$D3341=""),"",IF($D3341="Receita",$F3341,IF($D3341="Transferência",0,-$F3341)))</f>
        <v/>
      </c>
    </row>
    <row r="3342">
      <c r="A3342" s="73" t="n"/>
      <c r="B3342" s="74" t="n"/>
      <c r="C3342" s="74" t="n"/>
      <c r="D3342" s="75">
        <f>IF($C3342="","",IFERROR(INDEX(CAT_TIPO,MATCH($C3342,CAT_NOME,0)),"Sem categoria"))</f>
        <v/>
      </c>
      <c r="E3342" s="75">
        <f>IF($C3342="","",IFERROR(INDEX(CAT_GRUPO,MATCH($C3342,CAT_NOME,0)),"Sem categoria"))</f>
        <v/>
      </c>
      <c r="F3342" s="76" t="n"/>
      <c r="G3342" s="74" t="n"/>
      <c r="H3342" s="74" t="n"/>
      <c r="I3342" s="74" t="n"/>
      <c r="J3342" s="77" t="n"/>
      <c r="K3342" s="77" t="n"/>
      <c r="L3342" s="74" t="n"/>
      <c r="M3342" s="74" t="n"/>
      <c r="O3342" s="78">
        <f>IF($A3342="","",YEAR($A3342)*100+MONTH($A3342))</f>
        <v/>
      </c>
      <c r="P3342" s="79">
        <f>IF(OR($F3342="",$D3342=""),"",IF($D3342="Receita",$F3342,IF($D3342="Transferência",0,-$F3342)))</f>
        <v/>
      </c>
    </row>
    <row r="3343">
      <c r="A3343" s="73" t="n"/>
      <c r="B3343" s="74" t="n"/>
      <c r="C3343" s="74" t="n"/>
      <c r="D3343" s="75">
        <f>IF($C3343="","",IFERROR(INDEX(CAT_TIPO,MATCH($C3343,CAT_NOME,0)),"Sem categoria"))</f>
        <v/>
      </c>
      <c r="E3343" s="75">
        <f>IF($C3343="","",IFERROR(INDEX(CAT_GRUPO,MATCH($C3343,CAT_NOME,0)),"Sem categoria"))</f>
        <v/>
      </c>
      <c r="F3343" s="76" t="n"/>
      <c r="G3343" s="74" t="n"/>
      <c r="H3343" s="74" t="n"/>
      <c r="I3343" s="74" t="n"/>
      <c r="J3343" s="77" t="n"/>
      <c r="K3343" s="77" t="n"/>
      <c r="L3343" s="74" t="n"/>
      <c r="M3343" s="74" t="n"/>
      <c r="O3343" s="78">
        <f>IF($A3343="","",YEAR($A3343)*100+MONTH($A3343))</f>
        <v/>
      </c>
      <c r="P3343" s="79">
        <f>IF(OR($F3343="",$D3343=""),"",IF($D3343="Receita",$F3343,IF($D3343="Transferência",0,-$F3343)))</f>
        <v/>
      </c>
    </row>
    <row r="3344">
      <c r="A3344" s="73" t="n"/>
      <c r="B3344" s="74" t="n"/>
      <c r="C3344" s="74" t="n"/>
      <c r="D3344" s="75">
        <f>IF($C3344="","",IFERROR(INDEX(CAT_TIPO,MATCH($C3344,CAT_NOME,0)),"Sem categoria"))</f>
        <v/>
      </c>
      <c r="E3344" s="75">
        <f>IF($C3344="","",IFERROR(INDEX(CAT_GRUPO,MATCH($C3344,CAT_NOME,0)),"Sem categoria"))</f>
        <v/>
      </c>
      <c r="F3344" s="76" t="n"/>
      <c r="G3344" s="74" t="n"/>
      <c r="H3344" s="74" t="n"/>
      <c r="I3344" s="74" t="n"/>
      <c r="J3344" s="77" t="n"/>
      <c r="K3344" s="77" t="n"/>
      <c r="L3344" s="74" t="n"/>
      <c r="M3344" s="74" t="n"/>
      <c r="O3344" s="78">
        <f>IF($A3344="","",YEAR($A3344)*100+MONTH($A3344))</f>
        <v/>
      </c>
      <c r="P3344" s="79">
        <f>IF(OR($F3344="",$D3344=""),"",IF($D3344="Receita",$F3344,IF($D3344="Transferência",0,-$F3344)))</f>
        <v/>
      </c>
    </row>
    <row r="3345">
      <c r="A3345" s="73" t="n"/>
      <c r="B3345" s="74" t="n"/>
      <c r="C3345" s="74" t="n"/>
      <c r="D3345" s="75">
        <f>IF($C3345="","",IFERROR(INDEX(CAT_TIPO,MATCH($C3345,CAT_NOME,0)),"Sem categoria"))</f>
        <v/>
      </c>
      <c r="E3345" s="75">
        <f>IF($C3345="","",IFERROR(INDEX(CAT_GRUPO,MATCH($C3345,CAT_NOME,0)),"Sem categoria"))</f>
        <v/>
      </c>
      <c r="F3345" s="76" t="n"/>
      <c r="G3345" s="74" t="n"/>
      <c r="H3345" s="74" t="n"/>
      <c r="I3345" s="74" t="n"/>
      <c r="J3345" s="77" t="n"/>
      <c r="K3345" s="77" t="n"/>
      <c r="L3345" s="74" t="n"/>
      <c r="M3345" s="74" t="n"/>
      <c r="O3345" s="78">
        <f>IF($A3345="","",YEAR($A3345)*100+MONTH($A3345))</f>
        <v/>
      </c>
      <c r="P3345" s="79">
        <f>IF(OR($F3345="",$D3345=""),"",IF($D3345="Receita",$F3345,IF($D3345="Transferência",0,-$F3345)))</f>
        <v/>
      </c>
    </row>
    <row r="3346">
      <c r="A3346" s="73" t="n"/>
      <c r="B3346" s="74" t="n"/>
      <c r="C3346" s="74" t="n"/>
      <c r="D3346" s="75">
        <f>IF($C3346="","",IFERROR(INDEX(CAT_TIPO,MATCH($C3346,CAT_NOME,0)),"Sem categoria"))</f>
        <v/>
      </c>
      <c r="E3346" s="75">
        <f>IF($C3346="","",IFERROR(INDEX(CAT_GRUPO,MATCH($C3346,CAT_NOME,0)),"Sem categoria"))</f>
        <v/>
      </c>
      <c r="F3346" s="76" t="n"/>
      <c r="G3346" s="74" t="n"/>
      <c r="H3346" s="74" t="n"/>
      <c r="I3346" s="74" t="n"/>
      <c r="J3346" s="77" t="n"/>
      <c r="K3346" s="77" t="n"/>
      <c r="L3346" s="74" t="n"/>
      <c r="M3346" s="74" t="n"/>
      <c r="O3346" s="78">
        <f>IF($A3346="","",YEAR($A3346)*100+MONTH($A3346))</f>
        <v/>
      </c>
      <c r="P3346" s="79">
        <f>IF(OR($F3346="",$D3346=""),"",IF($D3346="Receita",$F3346,IF($D3346="Transferência",0,-$F3346)))</f>
        <v/>
      </c>
    </row>
    <row r="3347">
      <c r="A3347" s="73" t="n"/>
      <c r="B3347" s="74" t="n"/>
      <c r="C3347" s="74" t="n"/>
      <c r="D3347" s="75">
        <f>IF($C3347="","",IFERROR(INDEX(CAT_TIPO,MATCH($C3347,CAT_NOME,0)),"Sem categoria"))</f>
        <v/>
      </c>
      <c r="E3347" s="75">
        <f>IF($C3347="","",IFERROR(INDEX(CAT_GRUPO,MATCH($C3347,CAT_NOME,0)),"Sem categoria"))</f>
        <v/>
      </c>
      <c r="F3347" s="76" t="n"/>
      <c r="G3347" s="74" t="n"/>
      <c r="H3347" s="74" t="n"/>
      <c r="I3347" s="74" t="n"/>
      <c r="J3347" s="77" t="n"/>
      <c r="K3347" s="77" t="n"/>
      <c r="L3347" s="74" t="n"/>
      <c r="M3347" s="74" t="n"/>
      <c r="O3347" s="78">
        <f>IF($A3347="","",YEAR($A3347)*100+MONTH($A3347))</f>
        <v/>
      </c>
      <c r="P3347" s="79">
        <f>IF(OR($F3347="",$D3347=""),"",IF($D3347="Receita",$F3347,IF($D3347="Transferência",0,-$F3347)))</f>
        <v/>
      </c>
    </row>
    <row r="3348">
      <c r="A3348" s="73" t="n"/>
      <c r="B3348" s="74" t="n"/>
      <c r="C3348" s="74" t="n"/>
      <c r="D3348" s="75">
        <f>IF($C3348="","",IFERROR(INDEX(CAT_TIPO,MATCH($C3348,CAT_NOME,0)),"Sem categoria"))</f>
        <v/>
      </c>
      <c r="E3348" s="75">
        <f>IF($C3348="","",IFERROR(INDEX(CAT_GRUPO,MATCH($C3348,CAT_NOME,0)),"Sem categoria"))</f>
        <v/>
      </c>
      <c r="F3348" s="76" t="n"/>
      <c r="G3348" s="74" t="n"/>
      <c r="H3348" s="74" t="n"/>
      <c r="I3348" s="74" t="n"/>
      <c r="J3348" s="77" t="n"/>
      <c r="K3348" s="77" t="n"/>
      <c r="L3348" s="74" t="n"/>
      <c r="M3348" s="74" t="n"/>
      <c r="O3348" s="78">
        <f>IF($A3348="","",YEAR($A3348)*100+MONTH($A3348))</f>
        <v/>
      </c>
      <c r="P3348" s="79">
        <f>IF(OR($F3348="",$D3348=""),"",IF($D3348="Receita",$F3348,IF($D3348="Transferência",0,-$F3348)))</f>
        <v/>
      </c>
    </row>
    <row r="3349">
      <c r="A3349" s="73" t="n"/>
      <c r="B3349" s="74" t="n"/>
      <c r="C3349" s="74" t="n"/>
      <c r="D3349" s="75">
        <f>IF($C3349="","",IFERROR(INDEX(CAT_TIPO,MATCH($C3349,CAT_NOME,0)),"Sem categoria"))</f>
        <v/>
      </c>
      <c r="E3349" s="75">
        <f>IF($C3349="","",IFERROR(INDEX(CAT_GRUPO,MATCH($C3349,CAT_NOME,0)),"Sem categoria"))</f>
        <v/>
      </c>
      <c r="F3349" s="76" t="n"/>
      <c r="G3349" s="74" t="n"/>
      <c r="H3349" s="74" t="n"/>
      <c r="I3349" s="74" t="n"/>
      <c r="J3349" s="77" t="n"/>
      <c r="K3349" s="77" t="n"/>
      <c r="L3349" s="74" t="n"/>
      <c r="M3349" s="74" t="n"/>
      <c r="O3349" s="78">
        <f>IF($A3349="","",YEAR($A3349)*100+MONTH($A3349))</f>
        <v/>
      </c>
      <c r="P3349" s="79">
        <f>IF(OR($F3349="",$D3349=""),"",IF($D3349="Receita",$F3349,IF($D3349="Transferência",0,-$F3349)))</f>
        <v/>
      </c>
    </row>
    <row r="3350">
      <c r="A3350" s="73" t="n"/>
      <c r="B3350" s="74" t="n"/>
      <c r="C3350" s="74" t="n"/>
      <c r="D3350" s="75">
        <f>IF($C3350="","",IFERROR(INDEX(CAT_TIPO,MATCH($C3350,CAT_NOME,0)),"Sem categoria"))</f>
        <v/>
      </c>
      <c r="E3350" s="75">
        <f>IF($C3350="","",IFERROR(INDEX(CAT_GRUPO,MATCH($C3350,CAT_NOME,0)),"Sem categoria"))</f>
        <v/>
      </c>
      <c r="F3350" s="76" t="n"/>
      <c r="G3350" s="74" t="n"/>
      <c r="H3350" s="74" t="n"/>
      <c r="I3350" s="74" t="n"/>
      <c r="J3350" s="77" t="n"/>
      <c r="K3350" s="77" t="n"/>
      <c r="L3350" s="74" t="n"/>
      <c r="M3350" s="74" t="n"/>
      <c r="O3350" s="78">
        <f>IF($A3350="","",YEAR($A3350)*100+MONTH($A3350))</f>
        <v/>
      </c>
      <c r="P3350" s="79">
        <f>IF(OR($F3350="",$D3350=""),"",IF($D3350="Receita",$F3350,IF($D3350="Transferência",0,-$F3350)))</f>
        <v/>
      </c>
    </row>
    <row r="3351">
      <c r="A3351" s="73" t="n"/>
      <c r="B3351" s="74" t="n"/>
      <c r="C3351" s="74" t="n"/>
      <c r="D3351" s="75">
        <f>IF($C3351="","",IFERROR(INDEX(CAT_TIPO,MATCH($C3351,CAT_NOME,0)),"Sem categoria"))</f>
        <v/>
      </c>
      <c r="E3351" s="75">
        <f>IF($C3351="","",IFERROR(INDEX(CAT_GRUPO,MATCH($C3351,CAT_NOME,0)),"Sem categoria"))</f>
        <v/>
      </c>
      <c r="F3351" s="76" t="n"/>
      <c r="G3351" s="74" t="n"/>
      <c r="H3351" s="74" t="n"/>
      <c r="I3351" s="74" t="n"/>
      <c r="J3351" s="77" t="n"/>
      <c r="K3351" s="77" t="n"/>
      <c r="L3351" s="74" t="n"/>
      <c r="M3351" s="74" t="n"/>
      <c r="O3351" s="78">
        <f>IF($A3351="","",YEAR($A3351)*100+MONTH($A3351))</f>
        <v/>
      </c>
      <c r="P3351" s="79">
        <f>IF(OR($F3351="",$D3351=""),"",IF($D3351="Receita",$F3351,IF($D3351="Transferência",0,-$F3351)))</f>
        <v/>
      </c>
    </row>
    <row r="3352">
      <c r="A3352" s="73" t="n"/>
      <c r="B3352" s="74" t="n"/>
      <c r="C3352" s="74" t="n"/>
      <c r="D3352" s="75">
        <f>IF($C3352="","",IFERROR(INDEX(CAT_TIPO,MATCH($C3352,CAT_NOME,0)),"Sem categoria"))</f>
        <v/>
      </c>
      <c r="E3352" s="75">
        <f>IF($C3352="","",IFERROR(INDEX(CAT_GRUPO,MATCH($C3352,CAT_NOME,0)),"Sem categoria"))</f>
        <v/>
      </c>
      <c r="F3352" s="76" t="n"/>
      <c r="G3352" s="74" t="n"/>
      <c r="H3352" s="74" t="n"/>
      <c r="I3352" s="74" t="n"/>
      <c r="J3352" s="77" t="n"/>
      <c r="K3352" s="77" t="n"/>
      <c r="L3352" s="74" t="n"/>
      <c r="M3352" s="74" t="n"/>
      <c r="O3352" s="78">
        <f>IF($A3352="","",YEAR($A3352)*100+MONTH($A3352))</f>
        <v/>
      </c>
      <c r="P3352" s="79">
        <f>IF(OR($F3352="",$D3352=""),"",IF($D3352="Receita",$F3352,IF($D3352="Transferência",0,-$F3352)))</f>
        <v/>
      </c>
    </row>
    <row r="3353">
      <c r="A3353" s="73" t="n"/>
      <c r="B3353" s="74" t="n"/>
      <c r="C3353" s="74" t="n"/>
      <c r="D3353" s="75">
        <f>IF($C3353="","",IFERROR(INDEX(CAT_TIPO,MATCH($C3353,CAT_NOME,0)),"Sem categoria"))</f>
        <v/>
      </c>
      <c r="E3353" s="75">
        <f>IF($C3353="","",IFERROR(INDEX(CAT_GRUPO,MATCH($C3353,CAT_NOME,0)),"Sem categoria"))</f>
        <v/>
      </c>
      <c r="F3353" s="76" t="n"/>
      <c r="G3353" s="74" t="n"/>
      <c r="H3353" s="74" t="n"/>
      <c r="I3353" s="74" t="n"/>
      <c r="J3353" s="77" t="n"/>
      <c r="K3353" s="77" t="n"/>
      <c r="L3353" s="74" t="n"/>
      <c r="M3353" s="74" t="n"/>
      <c r="O3353" s="78">
        <f>IF($A3353="","",YEAR($A3353)*100+MONTH($A3353))</f>
        <v/>
      </c>
      <c r="P3353" s="79">
        <f>IF(OR($F3353="",$D3353=""),"",IF($D3353="Receita",$F3353,IF($D3353="Transferência",0,-$F3353)))</f>
        <v/>
      </c>
    </row>
    <row r="3354">
      <c r="A3354" s="73" t="n"/>
      <c r="B3354" s="74" t="n"/>
      <c r="C3354" s="74" t="n"/>
      <c r="D3354" s="75">
        <f>IF($C3354="","",IFERROR(INDEX(CAT_TIPO,MATCH($C3354,CAT_NOME,0)),"Sem categoria"))</f>
        <v/>
      </c>
      <c r="E3354" s="75">
        <f>IF($C3354="","",IFERROR(INDEX(CAT_GRUPO,MATCH($C3354,CAT_NOME,0)),"Sem categoria"))</f>
        <v/>
      </c>
      <c r="F3354" s="76" t="n"/>
      <c r="G3354" s="74" t="n"/>
      <c r="H3354" s="74" t="n"/>
      <c r="I3354" s="74" t="n"/>
      <c r="J3354" s="77" t="n"/>
      <c r="K3354" s="77" t="n"/>
      <c r="L3354" s="74" t="n"/>
      <c r="M3354" s="74" t="n"/>
      <c r="O3354" s="78">
        <f>IF($A3354="","",YEAR($A3354)*100+MONTH($A3354))</f>
        <v/>
      </c>
      <c r="P3354" s="79">
        <f>IF(OR($F3354="",$D3354=""),"",IF($D3354="Receita",$F3354,IF($D3354="Transferência",0,-$F3354)))</f>
        <v/>
      </c>
    </row>
    <row r="3355">
      <c r="A3355" s="73" t="n"/>
      <c r="B3355" s="74" t="n"/>
      <c r="C3355" s="74" t="n"/>
      <c r="D3355" s="75">
        <f>IF($C3355="","",IFERROR(INDEX(CAT_TIPO,MATCH($C3355,CAT_NOME,0)),"Sem categoria"))</f>
        <v/>
      </c>
      <c r="E3355" s="75">
        <f>IF($C3355="","",IFERROR(INDEX(CAT_GRUPO,MATCH($C3355,CAT_NOME,0)),"Sem categoria"))</f>
        <v/>
      </c>
      <c r="F3355" s="76" t="n"/>
      <c r="G3355" s="74" t="n"/>
      <c r="H3355" s="74" t="n"/>
      <c r="I3355" s="74" t="n"/>
      <c r="J3355" s="77" t="n"/>
      <c r="K3355" s="77" t="n"/>
      <c r="L3355" s="74" t="n"/>
      <c r="M3355" s="74" t="n"/>
      <c r="O3355" s="78">
        <f>IF($A3355="","",YEAR($A3355)*100+MONTH($A3355))</f>
        <v/>
      </c>
      <c r="P3355" s="79">
        <f>IF(OR($F3355="",$D3355=""),"",IF($D3355="Receita",$F3355,IF($D3355="Transferência",0,-$F3355)))</f>
        <v/>
      </c>
    </row>
    <row r="3356">
      <c r="A3356" s="73" t="n"/>
      <c r="B3356" s="74" t="n"/>
      <c r="C3356" s="74" t="n"/>
      <c r="D3356" s="75">
        <f>IF($C3356="","",IFERROR(INDEX(CAT_TIPO,MATCH($C3356,CAT_NOME,0)),"Sem categoria"))</f>
        <v/>
      </c>
      <c r="E3356" s="75">
        <f>IF($C3356="","",IFERROR(INDEX(CAT_GRUPO,MATCH($C3356,CAT_NOME,0)),"Sem categoria"))</f>
        <v/>
      </c>
      <c r="F3356" s="76" t="n"/>
      <c r="G3356" s="74" t="n"/>
      <c r="H3356" s="74" t="n"/>
      <c r="I3356" s="74" t="n"/>
      <c r="J3356" s="77" t="n"/>
      <c r="K3356" s="77" t="n"/>
      <c r="L3356" s="74" t="n"/>
      <c r="M3356" s="74" t="n"/>
      <c r="O3356" s="78">
        <f>IF($A3356="","",YEAR($A3356)*100+MONTH($A3356))</f>
        <v/>
      </c>
      <c r="P3356" s="79">
        <f>IF(OR($F3356="",$D3356=""),"",IF($D3356="Receita",$F3356,IF($D3356="Transferência",0,-$F3356)))</f>
        <v/>
      </c>
    </row>
    <row r="3357">
      <c r="A3357" s="73" t="n"/>
      <c r="B3357" s="74" t="n"/>
      <c r="C3357" s="74" t="n"/>
      <c r="D3357" s="75">
        <f>IF($C3357="","",IFERROR(INDEX(CAT_TIPO,MATCH($C3357,CAT_NOME,0)),"Sem categoria"))</f>
        <v/>
      </c>
      <c r="E3357" s="75">
        <f>IF($C3357="","",IFERROR(INDEX(CAT_GRUPO,MATCH($C3357,CAT_NOME,0)),"Sem categoria"))</f>
        <v/>
      </c>
      <c r="F3357" s="76" t="n"/>
      <c r="G3357" s="74" t="n"/>
      <c r="H3357" s="74" t="n"/>
      <c r="I3357" s="74" t="n"/>
      <c r="J3357" s="77" t="n"/>
      <c r="K3357" s="77" t="n"/>
      <c r="L3357" s="74" t="n"/>
      <c r="M3357" s="74" t="n"/>
      <c r="O3357" s="78">
        <f>IF($A3357="","",YEAR($A3357)*100+MONTH($A3357))</f>
        <v/>
      </c>
      <c r="P3357" s="79">
        <f>IF(OR($F3357="",$D3357=""),"",IF($D3357="Receita",$F3357,IF($D3357="Transferência",0,-$F3357)))</f>
        <v/>
      </c>
    </row>
    <row r="3358">
      <c r="A3358" s="73" t="n"/>
      <c r="B3358" s="74" t="n"/>
      <c r="C3358" s="74" t="n"/>
      <c r="D3358" s="75">
        <f>IF($C3358="","",IFERROR(INDEX(CAT_TIPO,MATCH($C3358,CAT_NOME,0)),"Sem categoria"))</f>
        <v/>
      </c>
      <c r="E3358" s="75">
        <f>IF($C3358="","",IFERROR(INDEX(CAT_GRUPO,MATCH($C3358,CAT_NOME,0)),"Sem categoria"))</f>
        <v/>
      </c>
      <c r="F3358" s="76" t="n"/>
      <c r="G3358" s="74" t="n"/>
      <c r="H3358" s="74" t="n"/>
      <c r="I3358" s="74" t="n"/>
      <c r="J3358" s="77" t="n"/>
      <c r="K3358" s="77" t="n"/>
      <c r="L3358" s="74" t="n"/>
      <c r="M3358" s="74" t="n"/>
      <c r="O3358" s="78">
        <f>IF($A3358="","",YEAR($A3358)*100+MONTH($A3358))</f>
        <v/>
      </c>
      <c r="P3358" s="79">
        <f>IF(OR($F3358="",$D3358=""),"",IF($D3358="Receita",$F3358,IF($D3358="Transferência",0,-$F3358)))</f>
        <v/>
      </c>
    </row>
    <row r="3359">
      <c r="A3359" s="73" t="n"/>
      <c r="B3359" s="74" t="n"/>
      <c r="C3359" s="74" t="n"/>
      <c r="D3359" s="75">
        <f>IF($C3359="","",IFERROR(INDEX(CAT_TIPO,MATCH($C3359,CAT_NOME,0)),"Sem categoria"))</f>
        <v/>
      </c>
      <c r="E3359" s="75">
        <f>IF($C3359="","",IFERROR(INDEX(CAT_GRUPO,MATCH($C3359,CAT_NOME,0)),"Sem categoria"))</f>
        <v/>
      </c>
      <c r="F3359" s="76" t="n"/>
      <c r="G3359" s="74" t="n"/>
      <c r="H3359" s="74" t="n"/>
      <c r="I3359" s="74" t="n"/>
      <c r="J3359" s="77" t="n"/>
      <c r="K3359" s="77" t="n"/>
      <c r="L3359" s="74" t="n"/>
      <c r="M3359" s="74" t="n"/>
      <c r="O3359" s="78">
        <f>IF($A3359="","",YEAR($A3359)*100+MONTH($A3359))</f>
        <v/>
      </c>
      <c r="P3359" s="79">
        <f>IF(OR($F3359="",$D3359=""),"",IF($D3359="Receita",$F3359,IF($D3359="Transferência",0,-$F3359)))</f>
        <v/>
      </c>
    </row>
    <row r="3360">
      <c r="A3360" s="73" t="n"/>
      <c r="B3360" s="74" t="n"/>
      <c r="C3360" s="74" t="n"/>
      <c r="D3360" s="75">
        <f>IF($C3360="","",IFERROR(INDEX(CAT_TIPO,MATCH($C3360,CAT_NOME,0)),"Sem categoria"))</f>
        <v/>
      </c>
      <c r="E3360" s="75">
        <f>IF($C3360="","",IFERROR(INDEX(CAT_GRUPO,MATCH($C3360,CAT_NOME,0)),"Sem categoria"))</f>
        <v/>
      </c>
      <c r="F3360" s="76" t="n"/>
      <c r="G3360" s="74" t="n"/>
      <c r="H3360" s="74" t="n"/>
      <c r="I3360" s="74" t="n"/>
      <c r="J3360" s="77" t="n"/>
      <c r="K3360" s="77" t="n"/>
      <c r="L3360" s="74" t="n"/>
      <c r="M3360" s="74" t="n"/>
      <c r="O3360" s="78">
        <f>IF($A3360="","",YEAR($A3360)*100+MONTH($A3360))</f>
        <v/>
      </c>
      <c r="P3360" s="79">
        <f>IF(OR($F3360="",$D3360=""),"",IF($D3360="Receita",$F3360,IF($D3360="Transferência",0,-$F3360)))</f>
        <v/>
      </c>
    </row>
    <row r="3361">
      <c r="A3361" s="73" t="n"/>
      <c r="B3361" s="74" t="n"/>
      <c r="C3361" s="74" t="n"/>
      <c r="D3361" s="75">
        <f>IF($C3361="","",IFERROR(INDEX(CAT_TIPO,MATCH($C3361,CAT_NOME,0)),"Sem categoria"))</f>
        <v/>
      </c>
      <c r="E3361" s="75">
        <f>IF($C3361="","",IFERROR(INDEX(CAT_GRUPO,MATCH($C3361,CAT_NOME,0)),"Sem categoria"))</f>
        <v/>
      </c>
      <c r="F3361" s="76" t="n"/>
      <c r="G3361" s="74" t="n"/>
      <c r="H3361" s="74" t="n"/>
      <c r="I3361" s="74" t="n"/>
      <c r="J3361" s="77" t="n"/>
      <c r="K3361" s="77" t="n"/>
      <c r="L3361" s="74" t="n"/>
      <c r="M3361" s="74" t="n"/>
      <c r="O3361" s="78">
        <f>IF($A3361="","",YEAR($A3361)*100+MONTH($A3361))</f>
        <v/>
      </c>
      <c r="P3361" s="79">
        <f>IF(OR($F3361="",$D3361=""),"",IF($D3361="Receita",$F3361,IF($D3361="Transferência",0,-$F3361)))</f>
        <v/>
      </c>
    </row>
    <row r="3362">
      <c r="A3362" s="73" t="n"/>
      <c r="B3362" s="74" t="n"/>
      <c r="C3362" s="74" t="n"/>
      <c r="D3362" s="75">
        <f>IF($C3362="","",IFERROR(INDEX(CAT_TIPO,MATCH($C3362,CAT_NOME,0)),"Sem categoria"))</f>
        <v/>
      </c>
      <c r="E3362" s="75">
        <f>IF($C3362="","",IFERROR(INDEX(CAT_GRUPO,MATCH($C3362,CAT_NOME,0)),"Sem categoria"))</f>
        <v/>
      </c>
      <c r="F3362" s="76" t="n"/>
      <c r="G3362" s="74" t="n"/>
      <c r="H3362" s="74" t="n"/>
      <c r="I3362" s="74" t="n"/>
      <c r="J3362" s="77" t="n"/>
      <c r="K3362" s="77" t="n"/>
      <c r="L3362" s="74" t="n"/>
      <c r="M3362" s="74" t="n"/>
      <c r="O3362" s="78">
        <f>IF($A3362="","",YEAR($A3362)*100+MONTH($A3362))</f>
        <v/>
      </c>
      <c r="P3362" s="79">
        <f>IF(OR($F3362="",$D3362=""),"",IF($D3362="Receita",$F3362,IF($D3362="Transferência",0,-$F3362)))</f>
        <v/>
      </c>
    </row>
    <row r="3363">
      <c r="A3363" s="73" t="n"/>
      <c r="B3363" s="74" t="n"/>
      <c r="C3363" s="74" t="n"/>
      <c r="D3363" s="75">
        <f>IF($C3363="","",IFERROR(INDEX(CAT_TIPO,MATCH($C3363,CAT_NOME,0)),"Sem categoria"))</f>
        <v/>
      </c>
      <c r="E3363" s="75">
        <f>IF($C3363="","",IFERROR(INDEX(CAT_GRUPO,MATCH($C3363,CAT_NOME,0)),"Sem categoria"))</f>
        <v/>
      </c>
      <c r="F3363" s="76" t="n"/>
      <c r="G3363" s="74" t="n"/>
      <c r="H3363" s="74" t="n"/>
      <c r="I3363" s="74" t="n"/>
      <c r="J3363" s="77" t="n"/>
      <c r="K3363" s="77" t="n"/>
      <c r="L3363" s="74" t="n"/>
      <c r="M3363" s="74" t="n"/>
      <c r="O3363" s="78">
        <f>IF($A3363="","",YEAR($A3363)*100+MONTH($A3363))</f>
        <v/>
      </c>
      <c r="P3363" s="79">
        <f>IF(OR($F3363="",$D3363=""),"",IF($D3363="Receita",$F3363,IF($D3363="Transferência",0,-$F3363)))</f>
        <v/>
      </c>
    </row>
    <row r="3364">
      <c r="A3364" s="73" t="n"/>
      <c r="B3364" s="74" t="n"/>
      <c r="C3364" s="74" t="n"/>
      <c r="D3364" s="75">
        <f>IF($C3364="","",IFERROR(INDEX(CAT_TIPO,MATCH($C3364,CAT_NOME,0)),"Sem categoria"))</f>
        <v/>
      </c>
      <c r="E3364" s="75">
        <f>IF($C3364="","",IFERROR(INDEX(CAT_GRUPO,MATCH($C3364,CAT_NOME,0)),"Sem categoria"))</f>
        <v/>
      </c>
      <c r="F3364" s="76" t="n"/>
      <c r="G3364" s="74" t="n"/>
      <c r="H3364" s="74" t="n"/>
      <c r="I3364" s="74" t="n"/>
      <c r="J3364" s="77" t="n"/>
      <c r="K3364" s="77" t="n"/>
      <c r="L3364" s="74" t="n"/>
      <c r="M3364" s="74" t="n"/>
      <c r="O3364" s="78">
        <f>IF($A3364="","",YEAR($A3364)*100+MONTH($A3364))</f>
        <v/>
      </c>
      <c r="P3364" s="79">
        <f>IF(OR($F3364="",$D3364=""),"",IF($D3364="Receita",$F3364,IF($D3364="Transferência",0,-$F3364)))</f>
        <v/>
      </c>
    </row>
    <row r="3365">
      <c r="A3365" s="73" t="n"/>
      <c r="B3365" s="74" t="n"/>
      <c r="C3365" s="74" t="n"/>
      <c r="D3365" s="75">
        <f>IF($C3365="","",IFERROR(INDEX(CAT_TIPO,MATCH($C3365,CAT_NOME,0)),"Sem categoria"))</f>
        <v/>
      </c>
      <c r="E3365" s="75">
        <f>IF($C3365="","",IFERROR(INDEX(CAT_GRUPO,MATCH($C3365,CAT_NOME,0)),"Sem categoria"))</f>
        <v/>
      </c>
      <c r="F3365" s="76" t="n"/>
      <c r="G3365" s="74" t="n"/>
      <c r="H3365" s="74" t="n"/>
      <c r="I3365" s="74" t="n"/>
      <c r="J3365" s="77" t="n"/>
      <c r="K3365" s="77" t="n"/>
      <c r="L3365" s="74" t="n"/>
      <c r="M3365" s="74" t="n"/>
      <c r="O3365" s="78">
        <f>IF($A3365="","",YEAR($A3365)*100+MONTH($A3365))</f>
        <v/>
      </c>
      <c r="P3365" s="79">
        <f>IF(OR($F3365="",$D3365=""),"",IF($D3365="Receita",$F3365,IF($D3365="Transferência",0,-$F3365)))</f>
        <v/>
      </c>
    </row>
    <row r="3366">
      <c r="A3366" s="73" t="n"/>
      <c r="B3366" s="74" t="n"/>
      <c r="C3366" s="74" t="n"/>
      <c r="D3366" s="75">
        <f>IF($C3366="","",IFERROR(INDEX(CAT_TIPO,MATCH($C3366,CAT_NOME,0)),"Sem categoria"))</f>
        <v/>
      </c>
      <c r="E3366" s="75">
        <f>IF($C3366="","",IFERROR(INDEX(CAT_GRUPO,MATCH($C3366,CAT_NOME,0)),"Sem categoria"))</f>
        <v/>
      </c>
      <c r="F3366" s="76" t="n"/>
      <c r="G3366" s="74" t="n"/>
      <c r="H3366" s="74" t="n"/>
      <c r="I3366" s="74" t="n"/>
      <c r="J3366" s="77" t="n"/>
      <c r="K3366" s="77" t="n"/>
      <c r="L3366" s="74" t="n"/>
      <c r="M3366" s="74" t="n"/>
      <c r="O3366" s="78">
        <f>IF($A3366="","",YEAR($A3366)*100+MONTH($A3366))</f>
        <v/>
      </c>
      <c r="P3366" s="79">
        <f>IF(OR($F3366="",$D3366=""),"",IF($D3366="Receita",$F3366,IF($D3366="Transferência",0,-$F3366)))</f>
        <v/>
      </c>
    </row>
    <row r="3367">
      <c r="A3367" s="73" t="n"/>
      <c r="B3367" s="74" t="n"/>
      <c r="C3367" s="74" t="n"/>
      <c r="D3367" s="75">
        <f>IF($C3367="","",IFERROR(INDEX(CAT_TIPO,MATCH($C3367,CAT_NOME,0)),"Sem categoria"))</f>
        <v/>
      </c>
      <c r="E3367" s="75">
        <f>IF($C3367="","",IFERROR(INDEX(CAT_GRUPO,MATCH($C3367,CAT_NOME,0)),"Sem categoria"))</f>
        <v/>
      </c>
      <c r="F3367" s="76" t="n"/>
      <c r="G3367" s="74" t="n"/>
      <c r="H3367" s="74" t="n"/>
      <c r="I3367" s="74" t="n"/>
      <c r="J3367" s="77" t="n"/>
      <c r="K3367" s="77" t="n"/>
      <c r="L3367" s="74" t="n"/>
      <c r="M3367" s="74" t="n"/>
      <c r="O3367" s="78">
        <f>IF($A3367="","",YEAR($A3367)*100+MONTH($A3367))</f>
        <v/>
      </c>
      <c r="P3367" s="79">
        <f>IF(OR($F3367="",$D3367=""),"",IF($D3367="Receita",$F3367,IF($D3367="Transferência",0,-$F3367)))</f>
        <v/>
      </c>
    </row>
    <row r="3368">
      <c r="A3368" s="73" t="n"/>
      <c r="B3368" s="74" t="n"/>
      <c r="C3368" s="74" t="n"/>
      <c r="D3368" s="75">
        <f>IF($C3368="","",IFERROR(INDEX(CAT_TIPO,MATCH($C3368,CAT_NOME,0)),"Sem categoria"))</f>
        <v/>
      </c>
      <c r="E3368" s="75">
        <f>IF($C3368="","",IFERROR(INDEX(CAT_GRUPO,MATCH($C3368,CAT_NOME,0)),"Sem categoria"))</f>
        <v/>
      </c>
      <c r="F3368" s="76" t="n"/>
      <c r="G3368" s="74" t="n"/>
      <c r="H3368" s="74" t="n"/>
      <c r="I3368" s="74" t="n"/>
      <c r="J3368" s="77" t="n"/>
      <c r="K3368" s="77" t="n"/>
      <c r="L3368" s="74" t="n"/>
      <c r="M3368" s="74" t="n"/>
      <c r="O3368" s="78">
        <f>IF($A3368="","",YEAR($A3368)*100+MONTH($A3368))</f>
        <v/>
      </c>
      <c r="P3368" s="79">
        <f>IF(OR($F3368="",$D3368=""),"",IF($D3368="Receita",$F3368,IF($D3368="Transferência",0,-$F3368)))</f>
        <v/>
      </c>
    </row>
    <row r="3369">
      <c r="A3369" s="73" t="n"/>
      <c r="B3369" s="74" t="n"/>
      <c r="C3369" s="74" t="n"/>
      <c r="D3369" s="75">
        <f>IF($C3369="","",IFERROR(INDEX(CAT_TIPO,MATCH($C3369,CAT_NOME,0)),"Sem categoria"))</f>
        <v/>
      </c>
      <c r="E3369" s="75">
        <f>IF($C3369="","",IFERROR(INDEX(CAT_GRUPO,MATCH($C3369,CAT_NOME,0)),"Sem categoria"))</f>
        <v/>
      </c>
      <c r="F3369" s="76" t="n"/>
      <c r="G3369" s="74" t="n"/>
      <c r="H3369" s="74" t="n"/>
      <c r="I3369" s="74" t="n"/>
      <c r="J3369" s="77" t="n"/>
      <c r="K3369" s="77" t="n"/>
      <c r="L3369" s="74" t="n"/>
      <c r="M3369" s="74" t="n"/>
      <c r="O3369" s="78">
        <f>IF($A3369="","",YEAR($A3369)*100+MONTH($A3369))</f>
        <v/>
      </c>
      <c r="P3369" s="79">
        <f>IF(OR($F3369="",$D3369=""),"",IF($D3369="Receita",$F3369,IF($D3369="Transferência",0,-$F3369)))</f>
        <v/>
      </c>
    </row>
    <row r="3370">
      <c r="A3370" s="73" t="n"/>
      <c r="B3370" s="74" t="n"/>
      <c r="C3370" s="74" t="n"/>
      <c r="D3370" s="75">
        <f>IF($C3370="","",IFERROR(INDEX(CAT_TIPO,MATCH($C3370,CAT_NOME,0)),"Sem categoria"))</f>
        <v/>
      </c>
      <c r="E3370" s="75">
        <f>IF($C3370="","",IFERROR(INDEX(CAT_GRUPO,MATCH($C3370,CAT_NOME,0)),"Sem categoria"))</f>
        <v/>
      </c>
      <c r="F3370" s="76" t="n"/>
      <c r="G3370" s="74" t="n"/>
      <c r="H3370" s="74" t="n"/>
      <c r="I3370" s="74" t="n"/>
      <c r="J3370" s="77" t="n"/>
      <c r="K3370" s="77" t="n"/>
      <c r="L3370" s="74" t="n"/>
      <c r="M3370" s="74" t="n"/>
      <c r="O3370" s="78">
        <f>IF($A3370="","",YEAR($A3370)*100+MONTH($A3370))</f>
        <v/>
      </c>
      <c r="P3370" s="79">
        <f>IF(OR($F3370="",$D3370=""),"",IF($D3370="Receita",$F3370,IF($D3370="Transferência",0,-$F3370)))</f>
        <v/>
      </c>
    </row>
    <row r="3371">
      <c r="A3371" s="73" t="n"/>
      <c r="B3371" s="74" t="n"/>
      <c r="C3371" s="74" t="n"/>
      <c r="D3371" s="75">
        <f>IF($C3371="","",IFERROR(INDEX(CAT_TIPO,MATCH($C3371,CAT_NOME,0)),"Sem categoria"))</f>
        <v/>
      </c>
      <c r="E3371" s="75">
        <f>IF($C3371="","",IFERROR(INDEX(CAT_GRUPO,MATCH($C3371,CAT_NOME,0)),"Sem categoria"))</f>
        <v/>
      </c>
      <c r="F3371" s="76" t="n"/>
      <c r="G3371" s="74" t="n"/>
      <c r="H3371" s="74" t="n"/>
      <c r="I3371" s="74" t="n"/>
      <c r="J3371" s="77" t="n"/>
      <c r="K3371" s="77" t="n"/>
      <c r="L3371" s="74" t="n"/>
      <c r="M3371" s="74" t="n"/>
      <c r="O3371" s="78">
        <f>IF($A3371="","",YEAR($A3371)*100+MONTH($A3371))</f>
        <v/>
      </c>
      <c r="P3371" s="79">
        <f>IF(OR($F3371="",$D3371=""),"",IF($D3371="Receita",$F3371,IF($D3371="Transferência",0,-$F3371)))</f>
        <v/>
      </c>
    </row>
    <row r="3372">
      <c r="A3372" s="73" t="n"/>
      <c r="B3372" s="74" t="n"/>
      <c r="C3372" s="74" t="n"/>
      <c r="D3372" s="75">
        <f>IF($C3372="","",IFERROR(INDEX(CAT_TIPO,MATCH($C3372,CAT_NOME,0)),"Sem categoria"))</f>
        <v/>
      </c>
      <c r="E3372" s="75">
        <f>IF($C3372="","",IFERROR(INDEX(CAT_GRUPO,MATCH($C3372,CAT_NOME,0)),"Sem categoria"))</f>
        <v/>
      </c>
      <c r="F3372" s="76" t="n"/>
      <c r="G3372" s="74" t="n"/>
      <c r="H3372" s="74" t="n"/>
      <c r="I3372" s="74" t="n"/>
      <c r="J3372" s="77" t="n"/>
      <c r="K3372" s="77" t="n"/>
      <c r="L3372" s="74" t="n"/>
      <c r="M3372" s="74" t="n"/>
      <c r="O3372" s="78">
        <f>IF($A3372="","",YEAR($A3372)*100+MONTH($A3372))</f>
        <v/>
      </c>
      <c r="P3372" s="79">
        <f>IF(OR($F3372="",$D3372=""),"",IF($D3372="Receita",$F3372,IF($D3372="Transferência",0,-$F3372)))</f>
        <v/>
      </c>
    </row>
    <row r="3373">
      <c r="A3373" s="73" t="n"/>
      <c r="B3373" s="74" t="n"/>
      <c r="C3373" s="74" t="n"/>
      <c r="D3373" s="75">
        <f>IF($C3373="","",IFERROR(INDEX(CAT_TIPO,MATCH($C3373,CAT_NOME,0)),"Sem categoria"))</f>
        <v/>
      </c>
      <c r="E3373" s="75">
        <f>IF($C3373="","",IFERROR(INDEX(CAT_GRUPO,MATCH($C3373,CAT_NOME,0)),"Sem categoria"))</f>
        <v/>
      </c>
      <c r="F3373" s="76" t="n"/>
      <c r="G3373" s="74" t="n"/>
      <c r="H3373" s="74" t="n"/>
      <c r="I3373" s="74" t="n"/>
      <c r="J3373" s="77" t="n"/>
      <c r="K3373" s="77" t="n"/>
      <c r="L3373" s="74" t="n"/>
      <c r="M3373" s="74" t="n"/>
      <c r="O3373" s="78">
        <f>IF($A3373="","",YEAR($A3373)*100+MONTH($A3373))</f>
        <v/>
      </c>
      <c r="P3373" s="79">
        <f>IF(OR($F3373="",$D3373=""),"",IF($D3373="Receita",$F3373,IF($D3373="Transferência",0,-$F3373)))</f>
        <v/>
      </c>
    </row>
    <row r="3374">
      <c r="A3374" s="73" t="n"/>
      <c r="B3374" s="74" t="n"/>
      <c r="C3374" s="74" t="n"/>
      <c r="D3374" s="75">
        <f>IF($C3374="","",IFERROR(INDEX(CAT_TIPO,MATCH($C3374,CAT_NOME,0)),"Sem categoria"))</f>
        <v/>
      </c>
      <c r="E3374" s="75">
        <f>IF($C3374="","",IFERROR(INDEX(CAT_GRUPO,MATCH($C3374,CAT_NOME,0)),"Sem categoria"))</f>
        <v/>
      </c>
      <c r="F3374" s="76" t="n"/>
      <c r="G3374" s="74" t="n"/>
      <c r="H3374" s="74" t="n"/>
      <c r="I3374" s="74" t="n"/>
      <c r="J3374" s="77" t="n"/>
      <c r="K3374" s="77" t="n"/>
      <c r="L3374" s="74" t="n"/>
      <c r="M3374" s="74" t="n"/>
      <c r="O3374" s="78">
        <f>IF($A3374="","",YEAR($A3374)*100+MONTH($A3374))</f>
        <v/>
      </c>
      <c r="P3374" s="79">
        <f>IF(OR($F3374="",$D3374=""),"",IF($D3374="Receita",$F3374,IF($D3374="Transferência",0,-$F3374)))</f>
        <v/>
      </c>
    </row>
    <row r="3375">
      <c r="A3375" s="73" t="n"/>
      <c r="B3375" s="74" t="n"/>
      <c r="C3375" s="74" t="n"/>
      <c r="D3375" s="75">
        <f>IF($C3375="","",IFERROR(INDEX(CAT_TIPO,MATCH($C3375,CAT_NOME,0)),"Sem categoria"))</f>
        <v/>
      </c>
      <c r="E3375" s="75">
        <f>IF($C3375="","",IFERROR(INDEX(CAT_GRUPO,MATCH($C3375,CAT_NOME,0)),"Sem categoria"))</f>
        <v/>
      </c>
      <c r="F3375" s="76" t="n"/>
      <c r="G3375" s="74" t="n"/>
      <c r="H3375" s="74" t="n"/>
      <c r="I3375" s="74" t="n"/>
      <c r="J3375" s="77" t="n"/>
      <c r="K3375" s="77" t="n"/>
      <c r="L3375" s="74" t="n"/>
      <c r="M3375" s="74" t="n"/>
      <c r="O3375" s="78">
        <f>IF($A3375="","",YEAR($A3375)*100+MONTH($A3375))</f>
        <v/>
      </c>
      <c r="P3375" s="79">
        <f>IF(OR($F3375="",$D3375=""),"",IF($D3375="Receita",$F3375,IF($D3375="Transferência",0,-$F3375)))</f>
        <v/>
      </c>
    </row>
    <row r="3376">
      <c r="A3376" s="73" t="n"/>
      <c r="B3376" s="74" t="n"/>
      <c r="C3376" s="74" t="n"/>
      <c r="D3376" s="75">
        <f>IF($C3376="","",IFERROR(INDEX(CAT_TIPO,MATCH($C3376,CAT_NOME,0)),"Sem categoria"))</f>
        <v/>
      </c>
      <c r="E3376" s="75">
        <f>IF($C3376="","",IFERROR(INDEX(CAT_GRUPO,MATCH($C3376,CAT_NOME,0)),"Sem categoria"))</f>
        <v/>
      </c>
      <c r="F3376" s="76" t="n"/>
      <c r="G3376" s="74" t="n"/>
      <c r="H3376" s="74" t="n"/>
      <c r="I3376" s="74" t="n"/>
      <c r="J3376" s="77" t="n"/>
      <c r="K3376" s="77" t="n"/>
      <c r="L3376" s="74" t="n"/>
      <c r="M3376" s="74" t="n"/>
      <c r="O3376" s="78">
        <f>IF($A3376="","",YEAR($A3376)*100+MONTH($A3376))</f>
        <v/>
      </c>
      <c r="P3376" s="79">
        <f>IF(OR($F3376="",$D3376=""),"",IF($D3376="Receita",$F3376,IF($D3376="Transferência",0,-$F3376)))</f>
        <v/>
      </c>
    </row>
    <row r="3377">
      <c r="A3377" s="73" t="n"/>
      <c r="B3377" s="74" t="n"/>
      <c r="C3377" s="74" t="n"/>
      <c r="D3377" s="75">
        <f>IF($C3377="","",IFERROR(INDEX(CAT_TIPO,MATCH($C3377,CAT_NOME,0)),"Sem categoria"))</f>
        <v/>
      </c>
      <c r="E3377" s="75">
        <f>IF($C3377="","",IFERROR(INDEX(CAT_GRUPO,MATCH($C3377,CAT_NOME,0)),"Sem categoria"))</f>
        <v/>
      </c>
      <c r="F3377" s="76" t="n"/>
      <c r="G3377" s="74" t="n"/>
      <c r="H3377" s="74" t="n"/>
      <c r="I3377" s="74" t="n"/>
      <c r="J3377" s="77" t="n"/>
      <c r="K3377" s="77" t="n"/>
      <c r="L3377" s="74" t="n"/>
      <c r="M3377" s="74" t="n"/>
      <c r="O3377" s="78">
        <f>IF($A3377="","",YEAR($A3377)*100+MONTH($A3377))</f>
        <v/>
      </c>
      <c r="P3377" s="79">
        <f>IF(OR($F3377="",$D3377=""),"",IF($D3377="Receita",$F3377,IF($D3377="Transferência",0,-$F3377)))</f>
        <v/>
      </c>
    </row>
    <row r="3378">
      <c r="A3378" s="73" t="n"/>
      <c r="B3378" s="74" t="n"/>
      <c r="C3378" s="74" t="n"/>
      <c r="D3378" s="75">
        <f>IF($C3378="","",IFERROR(INDEX(CAT_TIPO,MATCH($C3378,CAT_NOME,0)),"Sem categoria"))</f>
        <v/>
      </c>
      <c r="E3378" s="75">
        <f>IF($C3378="","",IFERROR(INDEX(CAT_GRUPO,MATCH($C3378,CAT_NOME,0)),"Sem categoria"))</f>
        <v/>
      </c>
      <c r="F3378" s="76" t="n"/>
      <c r="G3378" s="74" t="n"/>
      <c r="H3378" s="74" t="n"/>
      <c r="I3378" s="74" t="n"/>
      <c r="J3378" s="77" t="n"/>
      <c r="K3378" s="77" t="n"/>
      <c r="L3378" s="74" t="n"/>
      <c r="M3378" s="74" t="n"/>
      <c r="O3378" s="78">
        <f>IF($A3378="","",YEAR($A3378)*100+MONTH($A3378))</f>
        <v/>
      </c>
      <c r="P3378" s="79">
        <f>IF(OR($F3378="",$D3378=""),"",IF($D3378="Receita",$F3378,IF($D3378="Transferência",0,-$F3378)))</f>
        <v/>
      </c>
    </row>
    <row r="3379">
      <c r="A3379" s="73" t="n"/>
      <c r="B3379" s="74" t="n"/>
      <c r="C3379" s="74" t="n"/>
      <c r="D3379" s="75">
        <f>IF($C3379="","",IFERROR(INDEX(CAT_TIPO,MATCH($C3379,CAT_NOME,0)),"Sem categoria"))</f>
        <v/>
      </c>
      <c r="E3379" s="75">
        <f>IF($C3379="","",IFERROR(INDEX(CAT_GRUPO,MATCH($C3379,CAT_NOME,0)),"Sem categoria"))</f>
        <v/>
      </c>
      <c r="F3379" s="76" t="n"/>
      <c r="G3379" s="74" t="n"/>
      <c r="H3379" s="74" t="n"/>
      <c r="I3379" s="74" t="n"/>
      <c r="J3379" s="77" t="n"/>
      <c r="K3379" s="77" t="n"/>
      <c r="L3379" s="74" t="n"/>
      <c r="M3379" s="74" t="n"/>
      <c r="O3379" s="78">
        <f>IF($A3379="","",YEAR($A3379)*100+MONTH($A3379))</f>
        <v/>
      </c>
      <c r="P3379" s="79">
        <f>IF(OR($F3379="",$D3379=""),"",IF($D3379="Receita",$F3379,IF($D3379="Transferência",0,-$F3379)))</f>
        <v/>
      </c>
    </row>
    <row r="3380">
      <c r="A3380" s="73" t="n"/>
      <c r="B3380" s="74" t="n"/>
      <c r="C3380" s="74" t="n"/>
      <c r="D3380" s="75">
        <f>IF($C3380="","",IFERROR(INDEX(CAT_TIPO,MATCH($C3380,CAT_NOME,0)),"Sem categoria"))</f>
        <v/>
      </c>
      <c r="E3380" s="75">
        <f>IF($C3380="","",IFERROR(INDEX(CAT_GRUPO,MATCH($C3380,CAT_NOME,0)),"Sem categoria"))</f>
        <v/>
      </c>
      <c r="F3380" s="76" t="n"/>
      <c r="G3380" s="74" t="n"/>
      <c r="H3380" s="74" t="n"/>
      <c r="I3380" s="74" t="n"/>
      <c r="J3380" s="77" t="n"/>
      <c r="K3380" s="77" t="n"/>
      <c r="L3380" s="74" t="n"/>
      <c r="M3380" s="74" t="n"/>
      <c r="O3380" s="78">
        <f>IF($A3380="","",YEAR($A3380)*100+MONTH($A3380))</f>
        <v/>
      </c>
      <c r="P3380" s="79">
        <f>IF(OR($F3380="",$D3380=""),"",IF($D3380="Receita",$F3380,IF($D3380="Transferência",0,-$F3380)))</f>
        <v/>
      </c>
    </row>
    <row r="3381">
      <c r="A3381" s="73" t="n"/>
      <c r="B3381" s="74" t="n"/>
      <c r="C3381" s="74" t="n"/>
      <c r="D3381" s="75">
        <f>IF($C3381="","",IFERROR(INDEX(CAT_TIPO,MATCH($C3381,CAT_NOME,0)),"Sem categoria"))</f>
        <v/>
      </c>
      <c r="E3381" s="75">
        <f>IF($C3381="","",IFERROR(INDEX(CAT_GRUPO,MATCH($C3381,CAT_NOME,0)),"Sem categoria"))</f>
        <v/>
      </c>
      <c r="F3381" s="76" t="n"/>
      <c r="G3381" s="74" t="n"/>
      <c r="H3381" s="74" t="n"/>
      <c r="I3381" s="74" t="n"/>
      <c r="J3381" s="77" t="n"/>
      <c r="K3381" s="77" t="n"/>
      <c r="L3381" s="74" t="n"/>
      <c r="M3381" s="74" t="n"/>
      <c r="O3381" s="78">
        <f>IF($A3381="","",YEAR($A3381)*100+MONTH($A3381))</f>
        <v/>
      </c>
      <c r="P3381" s="79">
        <f>IF(OR($F3381="",$D3381=""),"",IF($D3381="Receita",$F3381,IF($D3381="Transferência",0,-$F3381)))</f>
        <v/>
      </c>
    </row>
    <row r="3382">
      <c r="A3382" s="73" t="n"/>
      <c r="B3382" s="74" t="n"/>
      <c r="C3382" s="74" t="n"/>
      <c r="D3382" s="75">
        <f>IF($C3382="","",IFERROR(INDEX(CAT_TIPO,MATCH($C3382,CAT_NOME,0)),"Sem categoria"))</f>
        <v/>
      </c>
      <c r="E3382" s="75">
        <f>IF($C3382="","",IFERROR(INDEX(CAT_GRUPO,MATCH($C3382,CAT_NOME,0)),"Sem categoria"))</f>
        <v/>
      </c>
      <c r="F3382" s="76" t="n"/>
      <c r="G3382" s="74" t="n"/>
      <c r="H3382" s="74" t="n"/>
      <c r="I3382" s="74" t="n"/>
      <c r="J3382" s="77" t="n"/>
      <c r="K3382" s="77" t="n"/>
      <c r="L3382" s="74" t="n"/>
      <c r="M3382" s="74" t="n"/>
      <c r="O3382" s="78">
        <f>IF($A3382="","",YEAR($A3382)*100+MONTH($A3382))</f>
        <v/>
      </c>
      <c r="P3382" s="79">
        <f>IF(OR($F3382="",$D3382=""),"",IF($D3382="Receita",$F3382,IF($D3382="Transferência",0,-$F3382)))</f>
        <v/>
      </c>
    </row>
    <row r="3383">
      <c r="A3383" s="73" t="n"/>
      <c r="B3383" s="74" t="n"/>
      <c r="C3383" s="74" t="n"/>
      <c r="D3383" s="75">
        <f>IF($C3383="","",IFERROR(INDEX(CAT_TIPO,MATCH($C3383,CAT_NOME,0)),"Sem categoria"))</f>
        <v/>
      </c>
      <c r="E3383" s="75">
        <f>IF($C3383="","",IFERROR(INDEX(CAT_GRUPO,MATCH($C3383,CAT_NOME,0)),"Sem categoria"))</f>
        <v/>
      </c>
      <c r="F3383" s="76" t="n"/>
      <c r="G3383" s="74" t="n"/>
      <c r="H3383" s="74" t="n"/>
      <c r="I3383" s="74" t="n"/>
      <c r="J3383" s="77" t="n"/>
      <c r="K3383" s="77" t="n"/>
      <c r="L3383" s="74" t="n"/>
      <c r="M3383" s="74" t="n"/>
      <c r="O3383" s="78">
        <f>IF($A3383="","",YEAR($A3383)*100+MONTH($A3383))</f>
        <v/>
      </c>
      <c r="P3383" s="79">
        <f>IF(OR($F3383="",$D3383=""),"",IF($D3383="Receita",$F3383,IF($D3383="Transferência",0,-$F3383)))</f>
        <v/>
      </c>
    </row>
    <row r="3384">
      <c r="A3384" s="73" t="n"/>
      <c r="B3384" s="74" t="n"/>
      <c r="C3384" s="74" t="n"/>
      <c r="D3384" s="75">
        <f>IF($C3384="","",IFERROR(INDEX(CAT_TIPO,MATCH($C3384,CAT_NOME,0)),"Sem categoria"))</f>
        <v/>
      </c>
      <c r="E3384" s="75">
        <f>IF($C3384="","",IFERROR(INDEX(CAT_GRUPO,MATCH($C3384,CAT_NOME,0)),"Sem categoria"))</f>
        <v/>
      </c>
      <c r="F3384" s="76" t="n"/>
      <c r="G3384" s="74" t="n"/>
      <c r="H3384" s="74" t="n"/>
      <c r="I3384" s="74" t="n"/>
      <c r="J3384" s="77" t="n"/>
      <c r="K3384" s="77" t="n"/>
      <c r="L3384" s="74" t="n"/>
      <c r="M3384" s="74" t="n"/>
      <c r="O3384" s="78">
        <f>IF($A3384="","",YEAR($A3384)*100+MONTH($A3384))</f>
        <v/>
      </c>
      <c r="P3384" s="79">
        <f>IF(OR($F3384="",$D3384=""),"",IF($D3384="Receita",$F3384,IF($D3384="Transferência",0,-$F3384)))</f>
        <v/>
      </c>
    </row>
    <row r="3385">
      <c r="A3385" s="73" t="n"/>
      <c r="B3385" s="74" t="n"/>
      <c r="C3385" s="74" t="n"/>
      <c r="D3385" s="75">
        <f>IF($C3385="","",IFERROR(INDEX(CAT_TIPO,MATCH($C3385,CAT_NOME,0)),"Sem categoria"))</f>
        <v/>
      </c>
      <c r="E3385" s="75">
        <f>IF($C3385="","",IFERROR(INDEX(CAT_GRUPO,MATCH($C3385,CAT_NOME,0)),"Sem categoria"))</f>
        <v/>
      </c>
      <c r="F3385" s="76" t="n"/>
      <c r="G3385" s="74" t="n"/>
      <c r="H3385" s="74" t="n"/>
      <c r="I3385" s="74" t="n"/>
      <c r="J3385" s="77" t="n"/>
      <c r="K3385" s="77" t="n"/>
      <c r="L3385" s="74" t="n"/>
      <c r="M3385" s="74" t="n"/>
      <c r="O3385" s="78">
        <f>IF($A3385="","",YEAR($A3385)*100+MONTH($A3385))</f>
        <v/>
      </c>
      <c r="P3385" s="79">
        <f>IF(OR($F3385="",$D3385=""),"",IF($D3385="Receita",$F3385,IF($D3385="Transferência",0,-$F3385)))</f>
        <v/>
      </c>
    </row>
    <row r="3386">
      <c r="A3386" s="73" t="n"/>
      <c r="B3386" s="74" t="n"/>
      <c r="C3386" s="74" t="n"/>
      <c r="D3386" s="75">
        <f>IF($C3386="","",IFERROR(INDEX(CAT_TIPO,MATCH($C3386,CAT_NOME,0)),"Sem categoria"))</f>
        <v/>
      </c>
      <c r="E3386" s="75">
        <f>IF($C3386="","",IFERROR(INDEX(CAT_GRUPO,MATCH($C3386,CAT_NOME,0)),"Sem categoria"))</f>
        <v/>
      </c>
      <c r="F3386" s="76" t="n"/>
      <c r="G3386" s="74" t="n"/>
      <c r="H3386" s="74" t="n"/>
      <c r="I3386" s="74" t="n"/>
      <c r="J3386" s="77" t="n"/>
      <c r="K3386" s="77" t="n"/>
      <c r="L3386" s="74" t="n"/>
      <c r="M3386" s="74" t="n"/>
      <c r="O3386" s="78">
        <f>IF($A3386="","",YEAR($A3386)*100+MONTH($A3386))</f>
        <v/>
      </c>
      <c r="P3386" s="79">
        <f>IF(OR($F3386="",$D3386=""),"",IF($D3386="Receita",$F3386,IF($D3386="Transferência",0,-$F3386)))</f>
        <v/>
      </c>
    </row>
    <row r="3387">
      <c r="A3387" s="73" t="n"/>
      <c r="B3387" s="74" t="n"/>
      <c r="C3387" s="74" t="n"/>
      <c r="D3387" s="75">
        <f>IF($C3387="","",IFERROR(INDEX(CAT_TIPO,MATCH($C3387,CAT_NOME,0)),"Sem categoria"))</f>
        <v/>
      </c>
      <c r="E3387" s="75">
        <f>IF($C3387="","",IFERROR(INDEX(CAT_GRUPO,MATCH($C3387,CAT_NOME,0)),"Sem categoria"))</f>
        <v/>
      </c>
      <c r="F3387" s="76" t="n"/>
      <c r="G3387" s="74" t="n"/>
      <c r="H3387" s="74" t="n"/>
      <c r="I3387" s="74" t="n"/>
      <c r="J3387" s="77" t="n"/>
      <c r="K3387" s="77" t="n"/>
      <c r="L3387" s="74" t="n"/>
      <c r="M3387" s="74" t="n"/>
      <c r="O3387" s="78">
        <f>IF($A3387="","",YEAR($A3387)*100+MONTH($A3387))</f>
        <v/>
      </c>
      <c r="P3387" s="79">
        <f>IF(OR($F3387="",$D3387=""),"",IF($D3387="Receita",$F3387,IF($D3387="Transferência",0,-$F3387)))</f>
        <v/>
      </c>
    </row>
    <row r="3388">
      <c r="A3388" s="73" t="n"/>
      <c r="B3388" s="74" t="n"/>
      <c r="C3388" s="74" t="n"/>
      <c r="D3388" s="75">
        <f>IF($C3388="","",IFERROR(INDEX(CAT_TIPO,MATCH($C3388,CAT_NOME,0)),"Sem categoria"))</f>
        <v/>
      </c>
      <c r="E3388" s="75">
        <f>IF($C3388="","",IFERROR(INDEX(CAT_GRUPO,MATCH($C3388,CAT_NOME,0)),"Sem categoria"))</f>
        <v/>
      </c>
      <c r="F3388" s="76" t="n"/>
      <c r="G3388" s="74" t="n"/>
      <c r="H3388" s="74" t="n"/>
      <c r="I3388" s="74" t="n"/>
      <c r="J3388" s="77" t="n"/>
      <c r="K3388" s="77" t="n"/>
      <c r="L3388" s="74" t="n"/>
      <c r="M3388" s="74" t="n"/>
      <c r="O3388" s="78">
        <f>IF($A3388="","",YEAR($A3388)*100+MONTH($A3388))</f>
        <v/>
      </c>
      <c r="P3388" s="79">
        <f>IF(OR($F3388="",$D3388=""),"",IF($D3388="Receita",$F3388,IF($D3388="Transferência",0,-$F3388)))</f>
        <v/>
      </c>
    </row>
    <row r="3389">
      <c r="A3389" s="73" t="n"/>
      <c r="B3389" s="74" t="n"/>
      <c r="C3389" s="74" t="n"/>
      <c r="D3389" s="75">
        <f>IF($C3389="","",IFERROR(INDEX(CAT_TIPO,MATCH($C3389,CAT_NOME,0)),"Sem categoria"))</f>
        <v/>
      </c>
      <c r="E3389" s="75">
        <f>IF($C3389="","",IFERROR(INDEX(CAT_GRUPO,MATCH($C3389,CAT_NOME,0)),"Sem categoria"))</f>
        <v/>
      </c>
      <c r="F3389" s="76" t="n"/>
      <c r="G3389" s="74" t="n"/>
      <c r="H3389" s="74" t="n"/>
      <c r="I3389" s="74" t="n"/>
      <c r="J3389" s="77" t="n"/>
      <c r="K3389" s="77" t="n"/>
      <c r="L3389" s="74" t="n"/>
      <c r="M3389" s="74" t="n"/>
      <c r="O3389" s="78">
        <f>IF($A3389="","",YEAR($A3389)*100+MONTH($A3389))</f>
        <v/>
      </c>
      <c r="P3389" s="79">
        <f>IF(OR($F3389="",$D3389=""),"",IF($D3389="Receita",$F3389,IF($D3389="Transferência",0,-$F3389)))</f>
        <v/>
      </c>
    </row>
    <row r="3390">
      <c r="A3390" s="73" t="n"/>
      <c r="B3390" s="74" t="n"/>
      <c r="C3390" s="74" t="n"/>
      <c r="D3390" s="75">
        <f>IF($C3390="","",IFERROR(INDEX(CAT_TIPO,MATCH($C3390,CAT_NOME,0)),"Sem categoria"))</f>
        <v/>
      </c>
      <c r="E3390" s="75">
        <f>IF($C3390="","",IFERROR(INDEX(CAT_GRUPO,MATCH($C3390,CAT_NOME,0)),"Sem categoria"))</f>
        <v/>
      </c>
      <c r="F3390" s="76" t="n"/>
      <c r="G3390" s="74" t="n"/>
      <c r="H3390" s="74" t="n"/>
      <c r="I3390" s="74" t="n"/>
      <c r="J3390" s="77" t="n"/>
      <c r="K3390" s="77" t="n"/>
      <c r="L3390" s="74" t="n"/>
      <c r="M3390" s="74" t="n"/>
      <c r="O3390" s="78">
        <f>IF($A3390="","",YEAR($A3390)*100+MONTH($A3390))</f>
        <v/>
      </c>
      <c r="P3390" s="79">
        <f>IF(OR($F3390="",$D3390=""),"",IF($D3390="Receita",$F3390,IF($D3390="Transferência",0,-$F3390)))</f>
        <v/>
      </c>
    </row>
    <row r="3391">
      <c r="A3391" s="73" t="n"/>
      <c r="B3391" s="74" t="n"/>
      <c r="C3391" s="74" t="n"/>
      <c r="D3391" s="75">
        <f>IF($C3391="","",IFERROR(INDEX(CAT_TIPO,MATCH($C3391,CAT_NOME,0)),"Sem categoria"))</f>
        <v/>
      </c>
      <c r="E3391" s="75">
        <f>IF($C3391="","",IFERROR(INDEX(CAT_GRUPO,MATCH($C3391,CAT_NOME,0)),"Sem categoria"))</f>
        <v/>
      </c>
      <c r="F3391" s="76" t="n"/>
      <c r="G3391" s="74" t="n"/>
      <c r="H3391" s="74" t="n"/>
      <c r="I3391" s="74" t="n"/>
      <c r="J3391" s="77" t="n"/>
      <c r="K3391" s="77" t="n"/>
      <c r="L3391" s="74" t="n"/>
      <c r="M3391" s="74" t="n"/>
      <c r="O3391" s="78">
        <f>IF($A3391="","",YEAR($A3391)*100+MONTH($A3391))</f>
        <v/>
      </c>
      <c r="P3391" s="79">
        <f>IF(OR($F3391="",$D3391=""),"",IF($D3391="Receita",$F3391,IF($D3391="Transferência",0,-$F3391)))</f>
        <v/>
      </c>
    </row>
    <row r="3392">
      <c r="A3392" s="73" t="n"/>
      <c r="B3392" s="74" t="n"/>
      <c r="C3392" s="74" t="n"/>
      <c r="D3392" s="75">
        <f>IF($C3392="","",IFERROR(INDEX(CAT_TIPO,MATCH($C3392,CAT_NOME,0)),"Sem categoria"))</f>
        <v/>
      </c>
      <c r="E3392" s="75">
        <f>IF($C3392="","",IFERROR(INDEX(CAT_GRUPO,MATCH($C3392,CAT_NOME,0)),"Sem categoria"))</f>
        <v/>
      </c>
      <c r="F3392" s="76" t="n"/>
      <c r="G3392" s="74" t="n"/>
      <c r="H3392" s="74" t="n"/>
      <c r="I3392" s="74" t="n"/>
      <c r="J3392" s="77" t="n"/>
      <c r="K3392" s="77" t="n"/>
      <c r="L3392" s="74" t="n"/>
      <c r="M3392" s="74" t="n"/>
      <c r="O3392" s="78">
        <f>IF($A3392="","",YEAR($A3392)*100+MONTH($A3392))</f>
        <v/>
      </c>
      <c r="P3392" s="79">
        <f>IF(OR($F3392="",$D3392=""),"",IF($D3392="Receita",$F3392,IF($D3392="Transferência",0,-$F3392)))</f>
        <v/>
      </c>
    </row>
    <row r="3393">
      <c r="A3393" s="73" t="n"/>
      <c r="B3393" s="74" t="n"/>
      <c r="C3393" s="74" t="n"/>
      <c r="D3393" s="75">
        <f>IF($C3393="","",IFERROR(INDEX(CAT_TIPO,MATCH($C3393,CAT_NOME,0)),"Sem categoria"))</f>
        <v/>
      </c>
      <c r="E3393" s="75">
        <f>IF($C3393="","",IFERROR(INDEX(CAT_GRUPO,MATCH($C3393,CAT_NOME,0)),"Sem categoria"))</f>
        <v/>
      </c>
      <c r="F3393" s="76" t="n"/>
      <c r="G3393" s="74" t="n"/>
      <c r="H3393" s="74" t="n"/>
      <c r="I3393" s="74" t="n"/>
      <c r="J3393" s="77" t="n"/>
      <c r="K3393" s="77" t="n"/>
      <c r="L3393" s="74" t="n"/>
      <c r="M3393" s="74" t="n"/>
      <c r="O3393" s="78">
        <f>IF($A3393="","",YEAR($A3393)*100+MONTH($A3393))</f>
        <v/>
      </c>
      <c r="P3393" s="79">
        <f>IF(OR($F3393="",$D3393=""),"",IF($D3393="Receita",$F3393,IF($D3393="Transferência",0,-$F3393)))</f>
        <v/>
      </c>
    </row>
    <row r="3394">
      <c r="A3394" s="73" t="n"/>
      <c r="B3394" s="74" t="n"/>
      <c r="C3394" s="74" t="n"/>
      <c r="D3394" s="75">
        <f>IF($C3394="","",IFERROR(INDEX(CAT_TIPO,MATCH($C3394,CAT_NOME,0)),"Sem categoria"))</f>
        <v/>
      </c>
      <c r="E3394" s="75">
        <f>IF($C3394="","",IFERROR(INDEX(CAT_GRUPO,MATCH($C3394,CAT_NOME,0)),"Sem categoria"))</f>
        <v/>
      </c>
      <c r="F3394" s="76" t="n"/>
      <c r="G3394" s="74" t="n"/>
      <c r="H3394" s="74" t="n"/>
      <c r="I3394" s="74" t="n"/>
      <c r="J3394" s="77" t="n"/>
      <c r="K3394" s="77" t="n"/>
      <c r="L3394" s="74" t="n"/>
      <c r="M3394" s="74" t="n"/>
      <c r="O3394" s="78">
        <f>IF($A3394="","",YEAR($A3394)*100+MONTH($A3394))</f>
        <v/>
      </c>
      <c r="P3394" s="79">
        <f>IF(OR($F3394="",$D3394=""),"",IF($D3394="Receita",$F3394,IF($D3394="Transferência",0,-$F3394)))</f>
        <v/>
      </c>
    </row>
    <row r="3395">
      <c r="A3395" s="73" t="n"/>
      <c r="B3395" s="74" t="n"/>
      <c r="C3395" s="74" t="n"/>
      <c r="D3395" s="75">
        <f>IF($C3395="","",IFERROR(INDEX(CAT_TIPO,MATCH($C3395,CAT_NOME,0)),"Sem categoria"))</f>
        <v/>
      </c>
      <c r="E3395" s="75">
        <f>IF($C3395="","",IFERROR(INDEX(CAT_GRUPO,MATCH($C3395,CAT_NOME,0)),"Sem categoria"))</f>
        <v/>
      </c>
      <c r="F3395" s="76" t="n"/>
      <c r="G3395" s="74" t="n"/>
      <c r="H3395" s="74" t="n"/>
      <c r="I3395" s="74" t="n"/>
      <c r="J3395" s="77" t="n"/>
      <c r="K3395" s="77" t="n"/>
      <c r="L3395" s="74" t="n"/>
      <c r="M3395" s="74" t="n"/>
      <c r="O3395" s="78">
        <f>IF($A3395="","",YEAR($A3395)*100+MONTH($A3395))</f>
        <v/>
      </c>
      <c r="P3395" s="79">
        <f>IF(OR($F3395="",$D3395=""),"",IF($D3395="Receita",$F3395,IF($D3395="Transferência",0,-$F3395)))</f>
        <v/>
      </c>
    </row>
    <row r="3396">
      <c r="A3396" s="73" t="n"/>
      <c r="B3396" s="74" t="n"/>
      <c r="C3396" s="74" t="n"/>
      <c r="D3396" s="75">
        <f>IF($C3396="","",IFERROR(INDEX(CAT_TIPO,MATCH($C3396,CAT_NOME,0)),"Sem categoria"))</f>
        <v/>
      </c>
      <c r="E3396" s="75">
        <f>IF($C3396="","",IFERROR(INDEX(CAT_GRUPO,MATCH($C3396,CAT_NOME,0)),"Sem categoria"))</f>
        <v/>
      </c>
      <c r="F3396" s="76" t="n"/>
      <c r="G3396" s="74" t="n"/>
      <c r="H3396" s="74" t="n"/>
      <c r="I3396" s="74" t="n"/>
      <c r="J3396" s="77" t="n"/>
      <c r="K3396" s="77" t="n"/>
      <c r="L3396" s="74" t="n"/>
      <c r="M3396" s="74" t="n"/>
      <c r="O3396" s="78">
        <f>IF($A3396="","",YEAR($A3396)*100+MONTH($A3396))</f>
        <v/>
      </c>
      <c r="P3396" s="79">
        <f>IF(OR($F3396="",$D3396=""),"",IF($D3396="Receita",$F3396,IF($D3396="Transferência",0,-$F3396)))</f>
        <v/>
      </c>
    </row>
    <row r="3397">
      <c r="A3397" s="73" t="n"/>
      <c r="B3397" s="74" t="n"/>
      <c r="C3397" s="74" t="n"/>
      <c r="D3397" s="75">
        <f>IF($C3397="","",IFERROR(INDEX(CAT_TIPO,MATCH($C3397,CAT_NOME,0)),"Sem categoria"))</f>
        <v/>
      </c>
      <c r="E3397" s="75">
        <f>IF($C3397="","",IFERROR(INDEX(CAT_GRUPO,MATCH($C3397,CAT_NOME,0)),"Sem categoria"))</f>
        <v/>
      </c>
      <c r="F3397" s="76" t="n"/>
      <c r="G3397" s="74" t="n"/>
      <c r="H3397" s="74" t="n"/>
      <c r="I3397" s="74" t="n"/>
      <c r="J3397" s="77" t="n"/>
      <c r="K3397" s="77" t="n"/>
      <c r="L3397" s="74" t="n"/>
      <c r="M3397" s="74" t="n"/>
      <c r="O3397" s="78">
        <f>IF($A3397="","",YEAR($A3397)*100+MONTH($A3397))</f>
        <v/>
      </c>
      <c r="P3397" s="79">
        <f>IF(OR($F3397="",$D3397=""),"",IF($D3397="Receita",$F3397,IF($D3397="Transferência",0,-$F3397)))</f>
        <v/>
      </c>
    </row>
    <row r="3398">
      <c r="A3398" s="73" t="n"/>
      <c r="B3398" s="74" t="n"/>
      <c r="C3398" s="74" t="n"/>
      <c r="D3398" s="75">
        <f>IF($C3398="","",IFERROR(INDEX(CAT_TIPO,MATCH($C3398,CAT_NOME,0)),"Sem categoria"))</f>
        <v/>
      </c>
      <c r="E3398" s="75">
        <f>IF($C3398="","",IFERROR(INDEX(CAT_GRUPO,MATCH($C3398,CAT_NOME,0)),"Sem categoria"))</f>
        <v/>
      </c>
      <c r="F3398" s="76" t="n"/>
      <c r="G3398" s="74" t="n"/>
      <c r="H3398" s="74" t="n"/>
      <c r="I3398" s="74" t="n"/>
      <c r="J3398" s="77" t="n"/>
      <c r="K3398" s="77" t="n"/>
      <c r="L3398" s="74" t="n"/>
      <c r="M3398" s="74" t="n"/>
      <c r="O3398" s="78">
        <f>IF($A3398="","",YEAR($A3398)*100+MONTH($A3398))</f>
        <v/>
      </c>
      <c r="P3398" s="79">
        <f>IF(OR($F3398="",$D3398=""),"",IF($D3398="Receita",$F3398,IF($D3398="Transferência",0,-$F3398)))</f>
        <v/>
      </c>
    </row>
    <row r="3399">
      <c r="A3399" s="73" t="n"/>
      <c r="B3399" s="74" t="n"/>
      <c r="C3399" s="74" t="n"/>
      <c r="D3399" s="75">
        <f>IF($C3399="","",IFERROR(INDEX(CAT_TIPO,MATCH($C3399,CAT_NOME,0)),"Sem categoria"))</f>
        <v/>
      </c>
      <c r="E3399" s="75">
        <f>IF($C3399="","",IFERROR(INDEX(CAT_GRUPO,MATCH($C3399,CAT_NOME,0)),"Sem categoria"))</f>
        <v/>
      </c>
      <c r="F3399" s="76" t="n"/>
      <c r="G3399" s="74" t="n"/>
      <c r="H3399" s="74" t="n"/>
      <c r="I3399" s="74" t="n"/>
      <c r="J3399" s="77" t="n"/>
      <c r="K3399" s="77" t="n"/>
      <c r="L3399" s="74" t="n"/>
      <c r="M3399" s="74" t="n"/>
      <c r="O3399" s="78">
        <f>IF($A3399="","",YEAR($A3399)*100+MONTH($A3399))</f>
        <v/>
      </c>
      <c r="P3399" s="79">
        <f>IF(OR($F3399="",$D3399=""),"",IF($D3399="Receita",$F3399,IF($D3399="Transferência",0,-$F3399)))</f>
        <v/>
      </c>
    </row>
    <row r="3400">
      <c r="A3400" s="73" t="n"/>
      <c r="B3400" s="74" t="n"/>
      <c r="C3400" s="74" t="n"/>
      <c r="D3400" s="75">
        <f>IF($C3400="","",IFERROR(INDEX(CAT_TIPO,MATCH($C3400,CAT_NOME,0)),"Sem categoria"))</f>
        <v/>
      </c>
      <c r="E3400" s="75">
        <f>IF($C3400="","",IFERROR(INDEX(CAT_GRUPO,MATCH($C3400,CAT_NOME,0)),"Sem categoria"))</f>
        <v/>
      </c>
      <c r="F3400" s="76" t="n"/>
      <c r="G3400" s="74" t="n"/>
      <c r="H3400" s="74" t="n"/>
      <c r="I3400" s="74" t="n"/>
      <c r="J3400" s="77" t="n"/>
      <c r="K3400" s="77" t="n"/>
      <c r="L3400" s="74" t="n"/>
      <c r="M3400" s="74" t="n"/>
      <c r="O3400" s="78">
        <f>IF($A3400="","",YEAR($A3400)*100+MONTH($A3400))</f>
        <v/>
      </c>
      <c r="P3400" s="79">
        <f>IF(OR($F3400="",$D3400=""),"",IF($D3400="Receita",$F3400,IF($D3400="Transferência",0,-$F3400)))</f>
        <v/>
      </c>
    </row>
    <row r="3401">
      <c r="A3401" s="73" t="n"/>
      <c r="B3401" s="74" t="n"/>
      <c r="C3401" s="74" t="n"/>
      <c r="D3401" s="75">
        <f>IF($C3401="","",IFERROR(INDEX(CAT_TIPO,MATCH($C3401,CAT_NOME,0)),"Sem categoria"))</f>
        <v/>
      </c>
      <c r="E3401" s="75">
        <f>IF($C3401="","",IFERROR(INDEX(CAT_GRUPO,MATCH($C3401,CAT_NOME,0)),"Sem categoria"))</f>
        <v/>
      </c>
      <c r="F3401" s="76" t="n"/>
      <c r="G3401" s="74" t="n"/>
      <c r="H3401" s="74" t="n"/>
      <c r="I3401" s="74" t="n"/>
      <c r="J3401" s="77" t="n"/>
      <c r="K3401" s="77" t="n"/>
      <c r="L3401" s="74" t="n"/>
      <c r="M3401" s="74" t="n"/>
      <c r="O3401" s="78">
        <f>IF($A3401="","",YEAR($A3401)*100+MONTH($A3401))</f>
        <v/>
      </c>
      <c r="P3401" s="79">
        <f>IF(OR($F3401="",$D3401=""),"",IF($D3401="Receita",$F3401,IF($D3401="Transferência",0,-$F3401)))</f>
        <v/>
      </c>
    </row>
    <row r="3402">
      <c r="A3402" s="73" t="n"/>
      <c r="B3402" s="74" t="n"/>
      <c r="C3402" s="74" t="n"/>
      <c r="D3402" s="75">
        <f>IF($C3402="","",IFERROR(INDEX(CAT_TIPO,MATCH($C3402,CAT_NOME,0)),"Sem categoria"))</f>
        <v/>
      </c>
      <c r="E3402" s="75">
        <f>IF($C3402="","",IFERROR(INDEX(CAT_GRUPO,MATCH($C3402,CAT_NOME,0)),"Sem categoria"))</f>
        <v/>
      </c>
      <c r="F3402" s="76" t="n"/>
      <c r="G3402" s="74" t="n"/>
      <c r="H3402" s="74" t="n"/>
      <c r="I3402" s="74" t="n"/>
      <c r="J3402" s="77" t="n"/>
      <c r="K3402" s="77" t="n"/>
      <c r="L3402" s="74" t="n"/>
      <c r="M3402" s="74" t="n"/>
      <c r="O3402" s="78">
        <f>IF($A3402="","",YEAR($A3402)*100+MONTH($A3402))</f>
        <v/>
      </c>
      <c r="P3402" s="79">
        <f>IF(OR($F3402="",$D3402=""),"",IF($D3402="Receita",$F3402,IF($D3402="Transferência",0,-$F3402)))</f>
        <v/>
      </c>
    </row>
    <row r="3403">
      <c r="A3403" s="73" t="n"/>
      <c r="B3403" s="74" t="n"/>
      <c r="C3403" s="74" t="n"/>
      <c r="D3403" s="75">
        <f>IF($C3403="","",IFERROR(INDEX(CAT_TIPO,MATCH($C3403,CAT_NOME,0)),"Sem categoria"))</f>
        <v/>
      </c>
      <c r="E3403" s="75">
        <f>IF($C3403="","",IFERROR(INDEX(CAT_GRUPO,MATCH($C3403,CAT_NOME,0)),"Sem categoria"))</f>
        <v/>
      </c>
      <c r="F3403" s="76" t="n"/>
      <c r="G3403" s="74" t="n"/>
      <c r="H3403" s="74" t="n"/>
      <c r="I3403" s="74" t="n"/>
      <c r="J3403" s="77" t="n"/>
      <c r="K3403" s="77" t="n"/>
      <c r="L3403" s="74" t="n"/>
      <c r="M3403" s="74" t="n"/>
      <c r="O3403" s="78">
        <f>IF($A3403="","",YEAR($A3403)*100+MONTH($A3403))</f>
        <v/>
      </c>
      <c r="P3403" s="79">
        <f>IF(OR($F3403="",$D3403=""),"",IF($D3403="Receita",$F3403,IF($D3403="Transferência",0,-$F3403)))</f>
        <v/>
      </c>
    </row>
    <row r="3404">
      <c r="A3404" s="73" t="n"/>
      <c r="B3404" s="74" t="n"/>
      <c r="C3404" s="74" t="n"/>
      <c r="D3404" s="75">
        <f>IF($C3404="","",IFERROR(INDEX(CAT_TIPO,MATCH($C3404,CAT_NOME,0)),"Sem categoria"))</f>
        <v/>
      </c>
      <c r="E3404" s="75">
        <f>IF($C3404="","",IFERROR(INDEX(CAT_GRUPO,MATCH($C3404,CAT_NOME,0)),"Sem categoria"))</f>
        <v/>
      </c>
      <c r="F3404" s="76" t="n"/>
      <c r="G3404" s="74" t="n"/>
      <c r="H3404" s="74" t="n"/>
      <c r="I3404" s="74" t="n"/>
      <c r="J3404" s="77" t="n"/>
      <c r="K3404" s="77" t="n"/>
      <c r="L3404" s="74" t="n"/>
      <c r="M3404" s="74" t="n"/>
      <c r="O3404" s="78">
        <f>IF($A3404="","",YEAR($A3404)*100+MONTH($A3404))</f>
        <v/>
      </c>
      <c r="P3404" s="79">
        <f>IF(OR($F3404="",$D3404=""),"",IF($D3404="Receita",$F3404,IF($D3404="Transferência",0,-$F3404)))</f>
        <v/>
      </c>
    </row>
    <row r="3405">
      <c r="A3405" s="73" t="n"/>
      <c r="B3405" s="74" t="n"/>
      <c r="C3405" s="74" t="n"/>
      <c r="D3405" s="75">
        <f>IF($C3405="","",IFERROR(INDEX(CAT_TIPO,MATCH($C3405,CAT_NOME,0)),"Sem categoria"))</f>
        <v/>
      </c>
      <c r="E3405" s="75">
        <f>IF($C3405="","",IFERROR(INDEX(CAT_GRUPO,MATCH($C3405,CAT_NOME,0)),"Sem categoria"))</f>
        <v/>
      </c>
      <c r="F3405" s="76" t="n"/>
      <c r="G3405" s="74" t="n"/>
      <c r="H3405" s="74" t="n"/>
      <c r="I3405" s="74" t="n"/>
      <c r="J3405" s="77" t="n"/>
      <c r="K3405" s="77" t="n"/>
      <c r="L3405" s="74" t="n"/>
      <c r="M3405" s="74" t="n"/>
      <c r="O3405" s="78">
        <f>IF($A3405="","",YEAR($A3405)*100+MONTH($A3405))</f>
        <v/>
      </c>
      <c r="P3405" s="79">
        <f>IF(OR($F3405="",$D3405=""),"",IF($D3405="Receita",$F3405,IF($D3405="Transferência",0,-$F3405)))</f>
        <v/>
      </c>
    </row>
    <row r="3406">
      <c r="A3406" s="73" t="n"/>
      <c r="B3406" s="74" t="n"/>
      <c r="C3406" s="74" t="n"/>
      <c r="D3406" s="75">
        <f>IF($C3406="","",IFERROR(INDEX(CAT_TIPO,MATCH($C3406,CAT_NOME,0)),"Sem categoria"))</f>
        <v/>
      </c>
      <c r="E3406" s="75">
        <f>IF($C3406="","",IFERROR(INDEX(CAT_GRUPO,MATCH($C3406,CAT_NOME,0)),"Sem categoria"))</f>
        <v/>
      </c>
      <c r="F3406" s="76" t="n"/>
      <c r="G3406" s="74" t="n"/>
      <c r="H3406" s="74" t="n"/>
      <c r="I3406" s="74" t="n"/>
      <c r="J3406" s="77" t="n"/>
      <c r="K3406" s="77" t="n"/>
      <c r="L3406" s="74" t="n"/>
      <c r="M3406" s="74" t="n"/>
      <c r="O3406" s="78">
        <f>IF($A3406="","",YEAR($A3406)*100+MONTH($A3406))</f>
        <v/>
      </c>
      <c r="P3406" s="79">
        <f>IF(OR($F3406="",$D3406=""),"",IF($D3406="Receita",$F3406,IF($D3406="Transferência",0,-$F3406)))</f>
        <v/>
      </c>
    </row>
    <row r="3407">
      <c r="A3407" s="73" t="n"/>
      <c r="B3407" s="74" t="n"/>
      <c r="C3407" s="74" t="n"/>
      <c r="D3407" s="75">
        <f>IF($C3407="","",IFERROR(INDEX(CAT_TIPO,MATCH($C3407,CAT_NOME,0)),"Sem categoria"))</f>
        <v/>
      </c>
      <c r="E3407" s="75">
        <f>IF($C3407="","",IFERROR(INDEX(CAT_GRUPO,MATCH($C3407,CAT_NOME,0)),"Sem categoria"))</f>
        <v/>
      </c>
      <c r="F3407" s="76" t="n"/>
      <c r="G3407" s="74" t="n"/>
      <c r="H3407" s="74" t="n"/>
      <c r="I3407" s="74" t="n"/>
      <c r="J3407" s="77" t="n"/>
      <c r="K3407" s="77" t="n"/>
      <c r="L3407" s="74" t="n"/>
      <c r="M3407" s="74" t="n"/>
      <c r="O3407" s="78">
        <f>IF($A3407="","",YEAR($A3407)*100+MONTH($A3407))</f>
        <v/>
      </c>
      <c r="P3407" s="79">
        <f>IF(OR($F3407="",$D3407=""),"",IF($D3407="Receita",$F3407,IF($D3407="Transferência",0,-$F3407)))</f>
        <v/>
      </c>
    </row>
    <row r="3408">
      <c r="A3408" s="73" t="n"/>
      <c r="B3408" s="74" t="n"/>
      <c r="C3408" s="74" t="n"/>
      <c r="D3408" s="75">
        <f>IF($C3408="","",IFERROR(INDEX(CAT_TIPO,MATCH($C3408,CAT_NOME,0)),"Sem categoria"))</f>
        <v/>
      </c>
      <c r="E3408" s="75">
        <f>IF($C3408="","",IFERROR(INDEX(CAT_GRUPO,MATCH($C3408,CAT_NOME,0)),"Sem categoria"))</f>
        <v/>
      </c>
      <c r="F3408" s="76" t="n"/>
      <c r="G3408" s="74" t="n"/>
      <c r="H3408" s="74" t="n"/>
      <c r="I3408" s="74" t="n"/>
      <c r="J3408" s="77" t="n"/>
      <c r="K3408" s="77" t="n"/>
      <c r="L3408" s="74" t="n"/>
      <c r="M3408" s="74" t="n"/>
      <c r="O3408" s="78">
        <f>IF($A3408="","",YEAR($A3408)*100+MONTH($A3408))</f>
        <v/>
      </c>
      <c r="P3408" s="79">
        <f>IF(OR($F3408="",$D3408=""),"",IF($D3408="Receita",$F3408,IF($D3408="Transferência",0,-$F3408)))</f>
        <v/>
      </c>
    </row>
    <row r="3409">
      <c r="A3409" s="73" t="n"/>
      <c r="B3409" s="74" t="n"/>
      <c r="C3409" s="74" t="n"/>
      <c r="D3409" s="75">
        <f>IF($C3409="","",IFERROR(INDEX(CAT_TIPO,MATCH($C3409,CAT_NOME,0)),"Sem categoria"))</f>
        <v/>
      </c>
      <c r="E3409" s="75">
        <f>IF($C3409="","",IFERROR(INDEX(CAT_GRUPO,MATCH($C3409,CAT_NOME,0)),"Sem categoria"))</f>
        <v/>
      </c>
      <c r="F3409" s="76" t="n"/>
      <c r="G3409" s="74" t="n"/>
      <c r="H3409" s="74" t="n"/>
      <c r="I3409" s="74" t="n"/>
      <c r="J3409" s="77" t="n"/>
      <c r="K3409" s="77" t="n"/>
      <c r="L3409" s="74" t="n"/>
      <c r="M3409" s="74" t="n"/>
      <c r="O3409" s="78">
        <f>IF($A3409="","",YEAR($A3409)*100+MONTH($A3409))</f>
        <v/>
      </c>
      <c r="P3409" s="79">
        <f>IF(OR($F3409="",$D3409=""),"",IF($D3409="Receita",$F3409,IF($D3409="Transferência",0,-$F3409)))</f>
        <v/>
      </c>
    </row>
    <row r="3410">
      <c r="A3410" s="73" t="n"/>
      <c r="B3410" s="74" t="n"/>
      <c r="C3410" s="74" t="n"/>
      <c r="D3410" s="75">
        <f>IF($C3410="","",IFERROR(INDEX(CAT_TIPO,MATCH($C3410,CAT_NOME,0)),"Sem categoria"))</f>
        <v/>
      </c>
      <c r="E3410" s="75">
        <f>IF($C3410="","",IFERROR(INDEX(CAT_GRUPO,MATCH($C3410,CAT_NOME,0)),"Sem categoria"))</f>
        <v/>
      </c>
      <c r="F3410" s="76" t="n"/>
      <c r="G3410" s="74" t="n"/>
      <c r="H3410" s="74" t="n"/>
      <c r="I3410" s="74" t="n"/>
      <c r="J3410" s="77" t="n"/>
      <c r="K3410" s="77" t="n"/>
      <c r="L3410" s="74" t="n"/>
      <c r="M3410" s="74" t="n"/>
      <c r="O3410" s="78">
        <f>IF($A3410="","",YEAR($A3410)*100+MONTH($A3410))</f>
        <v/>
      </c>
      <c r="P3410" s="79">
        <f>IF(OR($F3410="",$D3410=""),"",IF($D3410="Receita",$F3410,IF($D3410="Transferência",0,-$F3410)))</f>
        <v/>
      </c>
    </row>
    <row r="3411">
      <c r="A3411" s="73" t="n"/>
      <c r="B3411" s="74" t="n"/>
      <c r="C3411" s="74" t="n"/>
      <c r="D3411" s="75">
        <f>IF($C3411="","",IFERROR(INDEX(CAT_TIPO,MATCH($C3411,CAT_NOME,0)),"Sem categoria"))</f>
        <v/>
      </c>
      <c r="E3411" s="75">
        <f>IF($C3411="","",IFERROR(INDEX(CAT_GRUPO,MATCH($C3411,CAT_NOME,0)),"Sem categoria"))</f>
        <v/>
      </c>
      <c r="F3411" s="76" t="n"/>
      <c r="G3411" s="74" t="n"/>
      <c r="H3411" s="74" t="n"/>
      <c r="I3411" s="74" t="n"/>
      <c r="J3411" s="77" t="n"/>
      <c r="K3411" s="77" t="n"/>
      <c r="L3411" s="74" t="n"/>
      <c r="M3411" s="74" t="n"/>
      <c r="O3411" s="78">
        <f>IF($A3411="","",YEAR($A3411)*100+MONTH($A3411))</f>
        <v/>
      </c>
      <c r="P3411" s="79">
        <f>IF(OR($F3411="",$D3411=""),"",IF($D3411="Receita",$F3411,IF($D3411="Transferência",0,-$F3411)))</f>
        <v/>
      </c>
    </row>
    <row r="3412">
      <c r="A3412" s="73" t="n"/>
      <c r="B3412" s="74" t="n"/>
      <c r="C3412" s="74" t="n"/>
      <c r="D3412" s="75">
        <f>IF($C3412="","",IFERROR(INDEX(CAT_TIPO,MATCH($C3412,CAT_NOME,0)),"Sem categoria"))</f>
        <v/>
      </c>
      <c r="E3412" s="75">
        <f>IF($C3412="","",IFERROR(INDEX(CAT_GRUPO,MATCH($C3412,CAT_NOME,0)),"Sem categoria"))</f>
        <v/>
      </c>
      <c r="F3412" s="76" t="n"/>
      <c r="G3412" s="74" t="n"/>
      <c r="H3412" s="74" t="n"/>
      <c r="I3412" s="74" t="n"/>
      <c r="J3412" s="77" t="n"/>
      <c r="K3412" s="77" t="n"/>
      <c r="L3412" s="74" t="n"/>
      <c r="M3412" s="74" t="n"/>
      <c r="O3412" s="78">
        <f>IF($A3412="","",YEAR($A3412)*100+MONTH($A3412))</f>
        <v/>
      </c>
      <c r="P3412" s="79">
        <f>IF(OR($F3412="",$D3412=""),"",IF($D3412="Receita",$F3412,IF($D3412="Transferência",0,-$F3412)))</f>
        <v/>
      </c>
    </row>
    <row r="3413">
      <c r="A3413" s="73" t="n"/>
      <c r="B3413" s="74" t="n"/>
      <c r="C3413" s="74" t="n"/>
      <c r="D3413" s="75">
        <f>IF($C3413="","",IFERROR(INDEX(CAT_TIPO,MATCH($C3413,CAT_NOME,0)),"Sem categoria"))</f>
        <v/>
      </c>
      <c r="E3413" s="75">
        <f>IF($C3413="","",IFERROR(INDEX(CAT_GRUPO,MATCH($C3413,CAT_NOME,0)),"Sem categoria"))</f>
        <v/>
      </c>
      <c r="F3413" s="76" t="n"/>
      <c r="G3413" s="74" t="n"/>
      <c r="H3413" s="74" t="n"/>
      <c r="I3413" s="74" t="n"/>
      <c r="J3413" s="77" t="n"/>
      <c r="K3413" s="77" t="n"/>
      <c r="L3413" s="74" t="n"/>
      <c r="M3413" s="74" t="n"/>
      <c r="O3413" s="78">
        <f>IF($A3413="","",YEAR($A3413)*100+MONTH($A3413))</f>
        <v/>
      </c>
      <c r="P3413" s="79">
        <f>IF(OR($F3413="",$D3413=""),"",IF($D3413="Receita",$F3413,IF($D3413="Transferência",0,-$F3413)))</f>
        <v/>
      </c>
    </row>
    <row r="3414">
      <c r="A3414" s="73" t="n"/>
      <c r="B3414" s="74" t="n"/>
      <c r="C3414" s="74" t="n"/>
      <c r="D3414" s="75">
        <f>IF($C3414="","",IFERROR(INDEX(CAT_TIPO,MATCH($C3414,CAT_NOME,0)),"Sem categoria"))</f>
        <v/>
      </c>
      <c r="E3414" s="75">
        <f>IF($C3414="","",IFERROR(INDEX(CAT_GRUPO,MATCH($C3414,CAT_NOME,0)),"Sem categoria"))</f>
        <v/>
      </c>
      <c r="F3414" s="76" t="n"/>
      <c r="G3414" s="74" t="n"/>
      <c r="H3414" s="74" t="n"/>
      <c r="I3414" s="74" t="n"/>
      <c r="J3414" s="77" t="n"/>
      <c r="K3414" s="77" t="n"/>
      <c r="L3414" s="74" t="n"/>
      <c r="M3414" s="74" t="n"/>
      <c r="O3414" s="78">
        <f>IF($A3414="","",YEAR($A3414)*100+MONTH($A3414))</f>
        <v/>
      </c>
      <c r="P3414" s="79">
        <f>IF(OR($F3414="",$D3414=""),"",IF($D3414="Receita",$F3414,IF($D3414="Transferência",0,-$F3414)))</f>
        <v/>
      </c>
    </row>
    <row r="3415">
      <c r="A3415" s="73" t="n"/>
      <c r="B3415" s="74" t="n"/>
      <c r="C3415" s="74" t="n"/>
      <c r="D3415" s="75">
        <f>IF($C3415="","",IFERROR(INDEX(CAT_TIPO,MATCH($C3415,CAT_NOME,0)),"Sem categoria"))</f>
        <v/>
      </c>
      <c r="E3415" s="75">
        <f>IF($C3415="","",IFERROR(INDEX(CAT_GRUPO,MATCH($C3415,CAT_NOME,0)),"Sem categoria"))</f>
        <v/>
      </c>
      <c r="F3415" s="76" t="n"/>
      <c r="G3415" s="74" t="n"/>
      <c r="H3415" s="74" t="n"/>
      <c r="I3415" s="74" t="n"/>
      <c r="J3415" s="77" t="n"/>
      <c r="K3415" s="77" t="n"/>
      <c r="L3415" s="74" t="n"/>
      <c r="M3415" s="74" t="n"/>
      <c r="O3415" s="78">
        <f>IF($A3415="","",YEAR($A3415)*100+MONTH($A3415))</f>
        <v/>
      </c>
      <c r="P3415" s="79">
        <f>IF(OR($F3415="",$D3415=""),"",IF($D3415="Receita",$F3415,IF($D3415="Transferência",0,-$F3415)))</f>
        <v/>
      </c>
    </row>
    <row r="3416">
      <c r="A3416" s="73" t="n"/>
      <c r="B3416" s="74" t="n"/>
      <c r="C3416" s="74" t="n"/>
      <c r="D3416" s="75">
        <f>IF($C3416="","",IFERROR(INDEX(CAT_TIPO,MATCH($C3416,CAT_NOME,0)),"Sem categoria"))</f>
        <v/>
      </c>
      <c r="E3416" s="75">
        <f>IF($C3416="","",IFERROR(INDEX(CAT_GRUPO,MATCH($C3416,CAT_NOME,0)),"Sem categoria"))</f>
        <v/>
      </c>
      <c r="F3416" s="76" t="n"/>
      <c r="G3416" s="74" t="n"/>
      <c r="H3416" s="74" t="n"/>
      <c r="I3416" s="74" t="n"/>
      <c r="J3416" s="77" t="n"/>
      <c r="K3416" s="77" t="n"/>
      <c r="L3416" s="74" t="n"/>
      <c r="M3416" s="74" t="n"/>
      <c r="O3416" s="78">
        <f>IF($A3416="","",YEAR($A3416)*100+MONTH($A3416))</f>
        <v/>
      </c>
      <c r="P3416" s="79">
        <f>IF(OR($F3416="",$D3416=""),"",IF($D3416="Receita",$F3416,IF($D3416="Transferência",0,-$F3416)))</f>
        <v/>
      </c>
    </row>
    <row r="3417">
      <c r="A3417" s="73" t="n"/>
      <c r="B3417" s="74" t="n"/>
      <c r="C3417" s="74" t="n"/>
      <c r="D3417" s="75">
        <f>IF($C3417="","",IFERROR(INDEX(CAT_TIPO,MATCH($C3417,CAT_NOME,0)),"Sem categoria"))</f>
        <v/>
      </c>
      <c r="E3417" s="75">
        <f>IF($C3417="","",IFERROR(INDEX(CAT_GRUPO,MATCH($C3417,CAT_NOME,0)),"Sem categoria"))</f>
        <v/>
      </c>
      <c r="F3417" s="76" t="n"/>
      <c r="G3417" s="74" t="n"/>
      <c r="H3417" s="74" t="n"/>
      <c r="I3417" s="74" t="n"/>
      <c r="J3417" s="77" t="n"/>
      <c r="K3417" s="77" t="n"/>
      <c r="L3417" s="74" t="n"/>
      <c r="M3417" s="74" t="n"/>
      <c r="O3417" s="78">
        <f>IF($A3417="","",YEAR($A3417)*100+MONTH($A3417))</f>
        <v/>
      </c>
      <c r="P3417" s="79">
        <f>IF(OR($F3417="",$D3417=""),"",IF($D3417="Receita",$F3417,IF($D3417="Transferência",0,-$F3417)))</f>
        <v/>
      </c>
    </row>
    <row r="3418">
      <c r="A3418" s="73" t="n"/>
      <c r="B3418" s="74" t="n"/>
      <c r="C3418" s="74" t="n"/>
      <c r="D3418" s="75">
        <f>IF($C3418="","",IFERROR(INDEX(CAT_TIPO,MATCH($C3418,CAT_NOME,0)),"Sem categoria"))</f>
        <v/>
      </c>
      <c r="E3418" s="75">
        <f>IF($C3418="","",IFERROR(INDEX(CAT_GRUPO,MATCH($C3418,CAT_NOME,0)),"Sem categoria"))</f>
        <v/>
      </c>
      <c r="F3418" s="76" t="n"/>
      <c r="G3418" s="74" t="n"/>
      <c r="H3418" s="74" t="n"/>
      <c r="I3418" s="74" t="n"/>
      <c r="J3418" s="77" t="n"/>
      <c r="K3418" s="77" t="n"/>
      <c r="L3418" s="74" t="n"/>
      <c r="M3418" s="74" t="n"/>
      <c r="O3418" s="78">
        <f>IF($A3418="","",YEAR($A3418)*100+MONTH($A3418))</f>
        <v/>
      </c>
      <c r="P3418" s="79">
        <f>IF(OR($F3418="",$D3418=""),"",IF($D3418="Receita",$F3418,IF($D3418="Transferência",0,-$F3418)))</f>
        <v/>
      </c>
    </row>
    <row r="3419">
      <c r="A3419" s="73" t="n"/>
      <c r="B3419" s="74" t="n"/>
      <c r="C3419" s="74" t="n"/>
      <c r="D3419" s="75">
        <f>IF($C3419="","",IFERROR(INDEX(CAT_TIPO,MATCH($C3419,CAT_NOME,0)),"Sem categoria"))</f>
        <v/>
      </c>
      <c r="E3419" s="75">
        <f>IF($C3419="","",IFERROR(INDEX(CAT_GRUPO,MATCH($C3419,CAT_NOME,0)),"Sem categoria"))</f>
        <v/>
      </c>
      <c r="F3419" s="76" t="n"/>
      <c r="G3419" s="74" t="n"/>
      <c r="H3419" s="74" t="n"/>
      <c r="I3419" s="74" t="n"/>
      <c r="J3419" s="77" t="n"/>
      <c r="K3419" s="77" t="n"/>
      <c r="L3419" s="74" t="n"/>
      <c r="M3419" s="74" t="n"/>
      <c r="O3419" s="78">
        <f>IF($A3419="","",YEAR($A3419)*100+MONTH($A3419))</f>
        <v/>
      </c>
      <c r="P3419" s="79">
        <f>IF(OR($F3419="",$D3419=""),"",IF($D3419="Receita",$F3419,IF($D3419="Transferência",0,-$F3419)))</f>
        <v/>
      </c>
    </row>
    <row r="3420">
      <c r="A3420" s="73" t="n"/>
      <c r="B3420" s="74" t="n"/>
      <c r="C3420" s="74" t="n"/>
      <c r="D3420" s="75">
        <f>IF($C3420="","",IFERROR(INDEX(CAT_TIPO,MATCH($C3420,CAT_NOME,0)),"Sem categoria"))</f>
        <v/>
      </c>
      <c r="E3420" s="75">
        <f>IF($C3420="","",IFERROR(INDEX(CAT_GRUPO,MATCH($C3420,CAT_NOME,0)),"Sem categoria"))</f>
        <v/>
      </c>
      <c r="F3420" s="76" t="n"/>
      <c r="G3420" s="74" t="n"/>
      <c r="H3420" s="74" t="n"/>
      <c r="I3420" s="74" t="n"/>
      <c r="J3420" s="77" t="n"/>
      <c r="K3420" s="77" t="n"/>
      <c r="L3420" s="74" t="n"/>
      <c r="M3420" s="74" t="n"/>
      <c r="O3420" s="78">
        <f>IF($A3420="","",YEAR($A3420)*100+MONTH($A3420))</f>
        <v/>
      </c>
      <c r="P3420" s="79">
        <f>IF(OR($F3420="",$D3420=""),"",IF($D3420="Receita",$F3420,IF($D3420="Transferência",0,-$F3420)))</f>
        <v/>
      </c>
    </row>
    <row r="3421">
      <c r="A3421" s="73" t="n"/>
      <c r="B3421" s="74" t="n"/>
      <c r="C3421" s="74" t="n"/>
      <c r="D3421" s="75">
        <f>IF($C3421="","",IFERROR(INDEX(CAT_TIPO,MATCH($C3421,CAT_NOME,0)),"Sem categoria"))</f>
        <v/>
      </c>
      <c r="E3421" s="75">
        <f>IF($C3421="","",IFERROR(INDEX(CAT_GRUPO,MATCH($C3421,CAT_NOME,0)),"Sem categoria"))</f>
        <v/>
      </c>
      <c r="F3421" s="76" t="n"/>
      <c r="G3421" s="74" t="n"/>
      <c r="H3421" s="74" t="n"/>
      <c r="I3421" s="74" t="n"/>
      <c r="J3421" s="77" t="n"/>
      <c r="K3421" s="77" t="n"/>
      <c r="L3421" s="74" t="n"/>
      <c r="M3421" s="74" t="n"/>
      <c r="O3421" s="78">
        <f>IF($A3421="","",YEAR($A3421)*100+MONTH($A3421))</f>
        <v/>
      </c>
      <c r="P3421" s="79">
        <f>IF(OR($F3421="",$D3421=""),"",IF($D3421="Receita",$F3421,IF($D3421="Transferência",0,-$F3421)))</f>
        <v/>
      </c>
    </row>
    <row r="3422">
      <c r="A3422" s="73" t="n"/>
      <c r="B3422" s="74" t="n"/>
      <c r="C3422" s="74" t="n"/>
      <c r="D3422" s="75">
        <f>IF($C3422="","",IFERROR(INDEX(CAT_TIPO,MATCH($C3422,CAT_NOME,0)),"Sem categoria"))</f>
        <v/>
      </c>
      <c r="E3422" s="75">
        <f>IF($C3422="","",IFERROR(INDEX(CAT_GRUPO,MATCH($C3422,CAT_NOME,0)),"Sem categoria"))</f>
        <v/>
      </c>
      <c r="F3422" s="76" t="n"/>
      <c r="G3422" s="74" t="n"/>
      <c r="H3422" s="74" t="n"/>
      <c r="I3422" s="74" t="n"/>
      <c r="J3422" s="77" t="n"/>
      <c r="K3422" s="77" t="n"/>
      <c r="L3422" s="74" t="n"/>
      <c r="M3422" s="74" t="n"/>
      <c r="O3422" s="78">
        <f>IF($A3422="","",YEAR($A3422)*100+MONTH($A3422))</f>
        <v/>
      </c>
      <c r="P3422" s="79">
        <f>IF(OR($F3422="",$D3422=""),"",IF($D3422="Receita",$F3422,IF($D3422="Transferência",0,-$F3422)))</f>
        <v/>
      </c>
    </row>
    <row r="3423">
      <c r="A3423" s="73" t="n"/>
      <c r="B3423" s="74" t="n"/>
      <c r="C3423" s="74" t="n"/>
      <c r="D3423" s="75">
        <f>IF($C3423="","",IFERROR(INDEX(CAT_TIPO,MATCH($C3423,CAT_NOME,0)),"Sem categoria"))</f>
        <v/>
      </c>
      <c r="E3423" s="75">
        <f>IF($C3423="","",IFERROR(INDEX(CAT_GRUPO,MATCH($C3423,CAT_NOME,0)),"Sem categoria"))</f>
        <v/>
      </c>
      <c r="F3423" s="76" t="n"/>
      <c r="G3423" s="74" t="n"/>
      <c r="H3423" s="74" t="n"/>
      <c r="I3423" s="74" t="n"/>
      <c r="J3423" s="77" t="n"/>
      <c r="K3423" s="77" t="n"/>
      <c r="L3423" s="74" t="n"/>
      <c r="M3423" s="74" t="n"/>
      <c r="O3423" s="78">
        <f>IF($A3423="","",YEAR($A3423)*100+MONTH($A3423))</f>
        <v/>
      </c>
      <c r="P3423" s="79">
        <f>IF(OR($F3423="",$D3423=""),"",IF($D3423="Receita",$F3423,IF($D3423="Transferência",0,-$F3423)))</f>
        <v/>
      </c>
    </row>
    <row r="3424">
      <c r="A3424" s="73" t="n"/>
      <c r="B3424" s="74" t="n"/>
      <c r="C3424" s="74" t="n"/>
      <c r="D3424" s="75">
        <f>IF($C3424="","",IFERROR(INDEX(CAT_TIPO,MATCH($C3424,CAT_NOME,0)),"Sem categoria"))</f>
        <v/>
      </c>
      <c r="E3424" s="75">
        <f>IF($C3424="","",IFERROR(INDEX(CAT_GRUPO,MATCH($C3424,CAT_NOME,0)),"Sem categoria"))</f>
        <v/>
      </c>
      <c r="F3424" s="76" t="n"/>
      <c r="G3424" s="74" t="n"/>
      <c r="H3424" s="74" t="n"/>
      <c r="I3424" s="74" t="n"/>
      <c r="J3424" s="77" t="n"/>
      <c r="K3424" s="77" t="n"/>
      <c r="L3424" s="74" t="n"/>
      <c r="M3424" s="74" t="n"/>
      <c r="O3424" s="78">
        <f>IF($A3424="","",YEAR($A3424)*100+MONTH($A3424))</f>
        <v/>
      </c>
      <c r="P3424" s="79">
        <f>IF(OR($F3424="",$D3424=""),"",IF($D3424="Receita",$F3424,IF($D3424="Transferência",0,-$F3424)))</f>
        <v/>
      </c>
    </row>
    <row r="3425">
      <c r="A3425" s="73" t="n"/>
      <c r="B3425" s="74" t="n"/>
      <c r="C3425" s="74" t="n"/>
      <c r="D3425" s="75">
        <f>IF($C3425="","",IFERROR(INDEX(CAT_TIPO,MATCH($C3425,CAT_NOME,0)),"Sem categoria"))</f>
        <v/>
      </c>
      <c r="E3425" s="75">
        <f>IF($C3425="","",IFERROR(INDEX(CAT_GRUPO,MATCH($C3425,CAT_NOME,0)),"Sem categoria"))</f>
        <v/>
      </c>
      <c r="F3425" s="76" t="n"/>
      <c r="G3425" s="74" t="n"/>
      <c r="H3425" s="74" t="n"/>
      <c r="I3425" s="74" t="n"/>
      <c r="J3425" s="77" t="n"/>
      <c r="K3425" s="77" t="n"/>
      <c r="L3425" s="74" t="n"/>
      <c r="M3425" s="74" t="n"/>
      <c r="O3425" s="78">
        <f>IF($A3425="","",YEAR($A3425)*100+MONTH($A3425))</f>
        <v/>
      </c>
      <c r="P3425" s="79">
        <f>IF(OR($F3425="",$D3425=""),"",IF($D3425="Receita",$F3425,IF($D3425="Transferência",0,-$F3425)))</f>
        <v/>
      </c>
    </row>
    <row r="3426">
      <c r="A3426" s="73" t="n"/>
      <c r="B3426" s="74" t="n"/>
      <c r="C3426" s="74" t="n"/>
      <c r="D3426" s="75">
        <f>IF($C3426="","",IFERROR(INDEX(CAT_TIPO,MATCH($C3426,CAT_NOME,0)),"Sem categoria"))</f>
        <v/>
      </c>
      <c r="E3426" s="75">
        <f>IF($C3426="","",IFERROR(INDEX(CAT_GRUPO,MATCH($C3426,CAT_NOME,0)),"Sem categoria"))</f>
        <v/>
      </c>
      <c r="F3426" s="76" t="n"/>
      <c r="G3426" s="74" t="n"/>
      <c r="H3426" s="74" t="n"/>
      <c r="I3426" s="74" t="n"/>
      <c r="J3426" s="77" t="n"/>
      <c r="K3426" s="77" t="n"/>
      <c r="L3426" s="74" t="n"/>
      <c r="M3426" s="74" t="n"/>
      <c r="O3426" s="78">
        <f>IF($A3426="","",YEAR($A3426)*100+MONTH($A3426))</f>
        <v/>
      </c>
      <c r="P3426" s="79">
        <f>IF(OR($F3426="",$D3426=""),"",IF($D3426="Receita",$F3426,IF($D3426="Transferência",0,-$F3426)))</f>
        <v/>
      </c>
    </row>
    <row r="3427">
      <c r="A3427" s="73" t="n"/>
      <c r="B3427" s="74" t="n"/>
      <c r="C3427" s="74" t="n"/>
      <c r="D3427" s="75">
        <f>IF($C3427="","",IFERROR(INDEX(CAT_TIPO,MATCH($C3427,CAT_NOME,0)),"Sem categoria"))</f>
        <v/>
      </c>
      <c r="E3427" s="75">
        <f>IF($C3427="","",IFERROR(INDEX(CAT_GRUPO,MATCH($C3427,CAT_NOME,0)),"Sem categoria"))</f>
        <v/>
      </c>
      <c r="F3427" s="76" t="n"/>
      <c r="G3427" s="74" t="n"/>
      <c r="H3427" s="74" t="n"/>
      <c r="I3427" s="74" t="n"/>
      <c r="J3427" s="77" t="n"/>
      <c r="K3427" s="77" t="n"/>
      <c r="L3427" s="74" t="n"/>
      <c r="M3427" s="74" t="n"/>
      <c r="O3427" s="78">
        <f>IF($A3427="","",YEAR($A3427)*100+MONTH($A3427))</f>
        <v/>
      </c>
      <c r="P3427" s="79">
        <f>IF(OR($F3427="",$D3427=""),"",IF($D3427="Receita",$F3427,IF($D3427="Transferência",0,-$F3427)))</f>
        <v/>
      </c>
    </row>
    <row r="3428">
      <c r="A3428" s="73" t="n"/>
      <c r="B3428" s="74" t="n"/>
      <c r="C3428" s="74" t="n"/>
      <c r="D3428" s="75">
        <f>IF($C3428="","",IFERROR(INDEX(CAT_TIPO,MATCH($C3428,CAT_NOME,0)),"Sem categoria"))</f>
        <v/>
      </c>
      <c r="E3428" s="75">
        <f>IF($C3428="","",IFERROR(INDEX(CAT_GRUPO,MATCH($C3428,CAT_NOME,0)),"Sem categoria"))</f>
        <v/>
      </c>
      <c r="F3428" s="76" t="n"/>
      <c r="G3428" s="74" t="n"/>
      <c r="H3428" s="74" t="n"/>
      <c r="I3428" s="74" t="n"/>
      <c r="J3428" s="77" t="n"/>
      <c r="K3428" s="77" t="n"/>
      <c r="L3428" s="74" t="n"/>
      <c r="M3428" s="74" t="n"/>
      <c r="O3428" s="78">
        <f>IF($A3428="","",YEAR($A3428)*100+MONTH($A3428))</f>
        <v/>
      </c>
      <c r="P3428" s="79">
        <f>IF(OR($F3428="",$D3428=""),"",IF($D3428="Receita",$F3428,IF($D3428="Transferência",0,-$F3428)))</f>
        <v/>
      </c>
    </row>
    <row r="3429">
      <c r="A3429" s="73" t="n"/>
      <c r="B3429" s="74" t="n"/>
      <c r="C3429" s="74" t="n"/>
      <c r="D3429" s="75">
        <f>IF($C3429="","",IFERROR(INDEX(CAT_TIPO,MATCH($C3429,CAT_NOME,0)),"Sem categoria"))</f>
        <v/>
      </c>
      <c r="E3429" s="75">
        <f>IF($C3429="","",IFERROR(INDEX(CAT_GRUPO,MATCH($C3429,CAT_NOME,0)),"Sem categoria"))</f>
        <v/>
      </c>
      <c r="F3429" s="76" t="n"/>
      <c r="G3429" s="74" t="n"/>
      <c r="H3429" s="74" t="n"/>
      <c r="I3429" s="74" t="n"/>
      <c r="J3429" s="77" t="n"/>
      <c r="K3429" s="77" t="n"/>
      <c r="L3429" s="74" t="n"/>
      <c r="M3429" s="74" t="n"/>
      <c r="O3429" s="78">
        <f>IF($A3429="","",YEAR($A3429)*100+MONTH($A3429))</f>
        <v/>
      </c>
      <c r="P3429" s="79">
        <f>IF(OR($F3429="",$D3429=""),"",IF($D3429="Receita",$F3429,IF($D3429="Transferência",0,-$F3429)))</f>
        <v/>
      </c>
    </row>
    <row r="3430">
      <c r="A3430" s="73" t="n"/>
      <c r="B3430" s="74" t="n"/>
      <c r="C3430" s="74" t="n"/>
      <c r="D3430" s="75">
        <f>IF($C3430="","",IFERROR(INDEX(CAT_TIPO,MATCH($C3430,CAT_NOME,0)),"Sem categoria"))</f>
        <v/>
      </c>
      <c r="E3430" s="75">
        <f>IF($C3430="","",IFERROR(INDEX(CAT_GRUPO,MATCH($C3430,CAT_NOME,0)),"Sem categoria"))</f>
        <v/>
      </c>
      <c r="F3430" s="76" t="n"/>
      <c r="G3430" s="74" t="n"/>
      <c r="H3430" s="74" t="n"/>
      <c r="I3430" s="74" t="n"/>
      <c r="J3430" s="77" t="n"/>
      <c r="K3430" s="77" t="n"/>
      <c r="L3430" s="74" t="n"/>
      <c r="M3430" s="74" t="n"/>
      <c r="O3430" s="78">
        <f>IF($A3430="","",YEAR($A3430)*100+MONTH($A3430))</f>
        <v/>
      </c>
      <c r="P3430" s="79">
        <f>IF(OR($F3430="",$D3430=""),"",IF($D3430="Receita",$F3430,IF($D3430="Transferência",0,-$F3430)))</f>
        <v/>
      </c>
    </row>
    <row r="3431">
      <c r="A3431" s="73" t="n"/>
      <c r="B3431" s="74" t="n"/>
      <c r="C3431" s="74" t="n"/>
      <c r="D3431" s="75">
        <f>IF($C3431="","",IFERROR(INDEX(CAT_TIPO,MATCH($C3431,CAT_NOME,0)),"Sem categoria"))</f>
        <v/>
      </c>
      <c r="E3431" s="75">
        <f>IF($C3431="","",IFERROR(INDEX(CAT_GRUPO,MATCH($C3431,CAT_NOME,0)),"Sem categoria"))</f>
        <v/>
      </c>
      <c r="F3431" s="76" t="n"/>
      <c r="G3431" s="74" t="n"/>
      <c r="H3431" s="74" t="n"/>
      <c r="I3431" s="74" t="n"/>
      <c r="J3431" s="77" t="n"/>
      <c r="K3431" s="77" t="n"/>
      <c r="L3431" s="74" t="n"/>
      <c r="M3431" s="74" t="n"/>
      <c r="O3431" s="78">
        <f>IF($A3431="","",YEAR($A3431)*100+MONTH($A3431))</f>
        <v/>
      </c>
      <c r="P3431" s="79">
        <f>IF(OR($F3431="",$D3431=""),"",IF($D3431="Receita",$F3431,IF($D3431="Transferência",0,-$F3431)))</f>
        <v/>
      </c>
    </row>
    <row r="3432">
      <c r="A3432" s="73" t="n"/>
      <c r="B3432" s="74" t="n"/>
      <c r="C3432" s="74" t="n"/>
      <c r="D3432" s="75">
        <f>IF($C3432="","",IFERROR(INDEX(CAT_TIPO,MATCH($C3432,CAT_NOME,0)),"Sem categoria"))</f>
        <v/>
      </c>
      <c r="E3432" s="75">
        <f>IF($C3432="","",IFERROR(INDEX(CAT_GRUPO,MATCH($C3432,CAT_NOME,0)),"Sem categoria"))</f>
        <v/>
      </c>
      <c r="F3432" s="76" t="n"/>
      <c r="G3432" s="74" t="n"/>
      <c r="H3432" s="74" t="n"/>
      <c r="I3432" s="74" t="n"/>
      <c r="J3432" s="77" t="n"/>
      <c r="K3432" s="77" t="n"/>
      <c r="L3432" s="74" t="n"/>
      <c r="M3432" s="74" t="n"/>
      <c r="O3432" s="78">
        <f>IF($A3432="","",YEAR($A3432)*100+MONTH($A3432))</f>
        <v/>
      </c>
      <c r="P3432" s="79">
        <f>IF(OR($F3432="",$D3432=""),"",IF($D3432="Receita",$F3432,IF($D3432="Transferência",0,-$F3432)))</f>
        <v/>
      </c>
    </row>
    <row r="3433">
      <c r="A3433" s="73" t="n"/>
      <c r="B3433" s="74" t="n"/>
      <c r="C3433" s="74" t="n"/>
      <c r="D3433" s="75">
        <f>IF($C3433="","",IFERROR(INDEX(CAT_TIPO,MATCH($C3433,CAT_NOME,0)),"Sem categoria"))</f>
        <v/>
      </c>
      <c r="E3433" s="75">
        <f>IF($C3433="","",IFERROR(INDEX(CAT_GRUPO,MATCH($C3433,CAT_NOME,0)),"Sem categoria"))</f>
        <v/>
      </c>
      <c r="F3433" s="76" t="n"/>
      <c r="G3433" s="74" t="n"/>
      <c r="H3433" s="74" t="n"/>
      <c r="I3433" s="74" t="n"/>
      <c r="J3433" s="77" t="n"/>
      <c r="K3433" s="77" t="n"/>
      <c r="L3433" s="74" t="n"/>
      <c r="M3433" s="74" t="n"/>
      <c r="O3433" s="78">
        <f>IF($A3433="","",YEAR($A3433)*100+MONTH($A3433))</f>
        <v/>
      </c>
      <c r="P3433" s="79">
        <f>IF(OR($F3433="",$D3433=""),"",IF($D3433="Receita",$F3433,IF($D3433="Transferência",0,-$F3433)))</f>
        <v/>
      </c>
    </row>
    <row r="3434">
      <c r="A3434" s="73" t="n"/>
      <c r="B3434" s="74" t="n"/>
      <c r="C3434" s="74" t="n"/>
      <c r="D3434" s="75">
        <f>IF($C3434="","",IFERROR(INDEX(CAT_TIPO,MATCH($C3434,CAT_NOME,0)),"Sem categoria"))</f>
        <v/>
      </c>
      <c r="E3434" s="75">
        <f>IF($C3434="","",IFERROR(INDEX(CAT_GRUPO,MATCH($C3434,CAT_NOME,0)),"Sem categoria"))</f>
        <v/>
      </c>
      <c r="F3434" s="76" t="n"/>
      <c r="G3434" s="74" t="n"/>
      <c r="H3434" s="74" t="n"/>
      <c r="I3434" s="74" t="n"/>
      <c r="J3434" s="77" t="n"/>
      <c r="K3434" s="77" t="n"/>
      <c r="L3434" s="74" t="n"/>
      <c r="M3434" s="74" t="n"/>
      <c r="O3434" s="78">
        <f>IF($A3434="","",YEAR($A3434)*100+MONTH($A3434))</f>
        <v/>
      </c>
      <c r="P3434" s="79">
        <f>IF(OR($F3434="",$D3434=""),"",IF($D3434="Receita",$F3434,IF($D3434="Transferência",0,-$F3434)))</f>
        <v/>
      </c>
    </row>
    <row r="3435">
      <c r="A3435" s="73" t="n"/>
      <c r="B3435" s="74" t="n"/>
      <c r="C3435" s="74" t="n"/>
      <c r="D3435" s="75">
        <f>IF($C3435="","",IFERROR(INDEX(CAT_TIPO,MATCH($C3435,CAT_NOME,0)),"Sem categoria"))</f>
        <v/>
      </c>
      <c r="E3435" s="75">
        <f>IF($C3435="","",IFERROR(INDEX(CAT_GRUPO,MATCH($C3435,CAT_NOME,0)),"Sem categoria"))</f>
        <v/>
      </c>
      <c r="F3435" s="76" t="n"/>
      <c r="G3435" s="74" t="n"/>
      <c r="H3435" s="74" t="n"/>
      <c r="I3435" s="74" t="n"/>
      <c r="J3435" s="77" t="n"/>
      <c r="K3435" s="77" t="n"/>
      <c r="L3435" s="74" t="n"/>
      <c r="M3435" s="74" t="n"/>
      <c r="O3435" s="78">
        <f>IF($A3435="","",YEAR($A3435)*100+MONTH($A3435))</f>
        <v/>
      </c>
      <c r="P3435" s="79">
        <f>IF(OR($F3435="",$D3435=""),"",IF($D3435="Receita",$F3435,IF($D3435="Transferência",0,-$F3435)))</f>
        <v/>
      </c>
    </row>
    <row r="3436">
      <c r="A3436" s="73" t="n"/>
      <c r="B3436" s="74" t="n"/>
      <c r="C3436" s="74" t="n"/>
      <c r="D3436" s="75">
        <f>IF($C3436="","",IFERROR(INDEX(CAT_TIPO,MATCH($C3436,CAT_NOME,0)),"Sem categoria"))</f>
        <v/>
      </c>
      <c r="E3436" s="75">
        <f>IF($C3436="","",IFERROR(INDEX(CAT_GRUPO,MATCH($C3436,CAT_NOME,0)),"Sem categoria"))</f>
        <v/>
      </c>
      <c r="F3436" s="76" t="n"/>
      <c r="G3436" s="74" t="n"/>
      <c r="H3436" s="74" t="n"/>
      <c r="I3436" s="74" t="n"/>
      <c r="J3436" s="77" t="n"/>
      <c r="K3436" s="77" t="n"/>
      <c r="L3436" s="74" t="n"/>
      <c r="M3436" s="74" t="n"/>
      <c r="O3436" s="78">
        <f>IF($A3436="","",YEAR($A3436)*100+MONTH($A3436))</f>
        <v/>
      </c>
      <c r="P3436" s="79">
        <f>IF(OR($F3436="",$D3436=""),"",IF($D3436="Receita",$F3436,IF($D3436="Transferência",0,-$F3436)))</f>
        <v/>
      </c>
    </row>
    <row r="3437">
      <c r="A3437" s="73" t="n"/>
      <c r="B3437" s="74" t="n"/>
      <c r="C3437" s="74" t="n"/>
      <c r="D3437" s="75">
        <f>IF($C3437="","",IFERROR(INDEX(CAT_TIPO,MATCH($C3437,CAT_NOME,0)),"Sem categoria"))</f>
        <v/>
      </c>
      <c r="E3437" s="75">
        <f>IF($C3437="","",IFERROR(INDEX(CAT_GRUPO,MATCH($C3437,CAT_NOME,0)),"Sem categoria"))</f>
        <v/>
      </c>
      <c r="F3437" s="76" t="n"/>
      <c r="G3437" s="74" t="n"/>
      <c r="H3437" s="74" t="n"/>
      <c r="I3437" s="74" t="n"/>
      <c r="J3437" s="77" t="n"/>
      <c r="K3437" s="77" t="n"/>
      <c r="L3437" s="74" t="n"/>
      <c r="M3437" s="74" t="n"/>
      <c r="O3437" s="78">
        <f>IF($A3437="","",YEAR($A3437)*100+MONTH($A3437))</f>
        <v/>
      </c>
      <c r="P3437" s="79">
        <f>IF(OR($F3437="",$D3437=""),"",IF($D3437="Receita",$F3437,IF($D3437="Transferência",0,-$F3437)))</f>
        <v/>
      </c>
    </row>
    <row r="3438">
      <c r="A3438" s="73" t="n"/>
      <c r="B3438" s="74" t="n"/>
      <c r="C3438" s="74" t="n"/>
      <c r="D3438" s="75">
        <f>IF($C3438="","",IFERROR(INDEX(CAT_TIPO,MATCH($C3438,CAT_NOME,0)),"Sem categoria"))</f>
        <v/>
      </c>
      <c r="E3438" s="75">
        <f>IF($C3438="","",IFERROR(INDEX(CAT_GRUPO,MATCH($C3438,CAT_NOME,0)),"Sem categoria"))</f>
        <v/>
      </c>
      <c r="F3438" s="76" t="n"/>
      <c r="G3438" s="74" t="n"/>
      <c r="H3438" s="74" t="n"/>
      <c r="I3438" s="74" t="n"/>
      <c r="J3438" s="77" t="n"/>
      <c r="K3438" s="77" t="n"/>
      <c r="L3438" s="74" t="n"/>
      <c r="M3438" s="74" t="n"/>
      <c r="O3438" s="78">
        <f>IF($A3438="","",YEAR($A3438)*100+MONTH($A3438))</f>
        <v/>
      </c>
      <c r="P3438" s="79">
        <f>IF(OR($F3438="",$D3438=""),"",IF($D3438="Receita",$F3438,IF($D3438="Transferência",0,-$F3438)))</f>
        <v/>
      </c>
    </row>
    <row r="3439">
      <c r="A3439" s="73" t="n"/>
      <c r="B3439" s="74" t="n"/>
      <c r="C3439" s="74" t="n"/>
      <c r="D3439" s="75">
        <f>IF($C3439="","",IFERROR(INDEX(CAT_TIPO,MATCH($C3439,CAT_NOME,0)),"Sem categoria"))</f>
        <v/>
      </c>
      <c r="E3439" s="75">
        <f>IF($C3439="","",IFERROR(INDEX(CAT_GRUPO,MATCH($C3439,CAT_NOME,0)),"Sem categoria"))</f>
        <v/>
      </c>
      <c r="F3439" s="76" t="n"/>
      <c r="G3439" s="74" t="n"/>
      <c r="H3439" s="74" t="n"/>
      <c r="I3439" s="74" t="n"/>
      <c r="J3439" s="77" t="n"/>
      <c r="K3439" s="77" t="n"/>
      <c r="L3439" s="74" t="n"/>
      <c r="M3439" s="74" t="n"/>
      <c r="O3439" s="78">
        <f>IF($A3439="","",YEAR($A3439)*100+MONTH($A3439))</f>
        <v/>
      </c>
      <c r="P3439" s="79">
        <f>IF(OR($F3439="",$D3439=""),"",IF($D3439="Receita",$F3439,IF($D3439="Transferência",0,-$F3439)))</f>
        <v/>
      </c>
    </row>
    <row r="3440">
      <c r="A3440" s="73" t="n"/>
      <c r="B3440" s="74" t="n"/>
      <c r="C3440" s="74" t="n"/>
      <c r="D3440" s="75">
        <f>IF($C3440="","",IFERROR(INDEX(CAT_TIPO,MATCH($C3440,CAT_NOME,0)),"Sem categoria"))</f>
        <v/>
      </c>
      <c r="E3440" s="75">
        <f>IF($C3440="","",IFERROR(INDEX(CAT_GRUPO,MATCH($C3440,CAT_NOME,0)),"Sem categoria"))</f>
        <v/>
      </c>
      <c r="F3440" s="76" t="n"/>
      <c r="G3440" s="74" t="n"/>
      <c r="H3440" s="74" t="n"/>
      <c r="I3440" s="74" t="n"/>
      <c r="J3440" s="77" t="n"/>
      <c r="K3440" s="77" t="n"/>
      <c r="L3440" s="74" t="n"/>
      <c r="M3440" s="74" t="n"/>
      <c r="O3440" s="78">
        <f>IF($A3440="","",YEAR($A3440)*100+MONTH($A3440))</f>
        <v/>
      </c>
      <c r="P3440" s="79">
        <f>IF(OR($F3440="",$D3440=""),"",IF($D3440="Receita",$F3440,IF($D3440="Transferência",0,-$F3440)))</f>
        <v/>
      </c>
    </row>
    <row r="3441">
      <c r="A3441" s="73" t="n"/>
      <c r="B3441" s="74" t="n"/>
      <c r="C3441" s="74" t="n"/>
      <c r="D3441" s="75">
        <f>IF($C3441="","",IFERROR(INDEX(CAT_TIPO,MATCH($C3441,CAT_NOME,0)),"Sem categoria"))</f>
        <v/>
      </c>
      <c r="E3441" s="75">
        <f>IF($C3441="","",IFERROR(INDEX(CAT_GRUPO,MATCH($C3441,CAT_NOME,0)),"Sem categoria"))</f>
        <v/>
      </c>
      <c r="F3441" s="76" t="n"/>
      <c r="G3441" s="74" t="n"/>
      <c r="H3441" s="74" t="n"/>
      <c r="I3441" s="74" t="n"/>
      <c r="J3441" s="77" t="n"/>
      <c r="K3441" s="77" t="n"/>
      <c r="L3441" s="74" t="n"/>
      <c r="M3441" s="74" t="n"/>
      <c r="O3441" s="78">
        <f>IF($A3441="","",YEAR($A3441)*100+MONTH($A3441))</f>
        <v/>
      </c>
      <c r="P3441" s="79">
        <f>IF(OR($F3441="",$D3441=""),"",IF($D3441="Receita",$F3441,IF($D3441="Transferência",0,-$F3441)))</f>
        <v/>
      </c>
    </row>
    <row r="3442">
      <c r="A3442" s="73" t="n"/>
      <c r="B3442" s="74" t="n"/>
      <c r="C3442" s="74" t="n"/>
      <c r="D3442" s="75">
        <f>IF($C3442="","",IFERROR(INDEX(CAT_TIPO,MATCH($C3442,CAT_NOME,0)),"Sem categoria"))</f>
        <v/>
      </c>
      <c r="E3442" s="75">
        <f>IF($C3442="","",IFERROR(INDEX(CAT_GRUPO,MATCH($C3442,CAT_NOME,0)),"Sem categoria"))</f>
        <v/>
      </c>
      <c r="F3442" s="76" t="n"/>
      <c r="G3442" s="74" t="n"/>
      <c r="H3442" s="74" t="n"/>
      <c r="I3442" s="74" t="n"/>
      <c r="J3442" s="77" t="n"/>
      <c r="K3442" s="77" t="n"/>
      <c r="L3442" s="74" t="n"/>
      <c r="M3442" s="74" t="n"/>
      <c r="O3442" s="78">
        <f>IF($A3442="","",YEAR($A3442)*100+MONTH($A3442))</f>
        <v/>
      </c>
      <c r="P3442" s="79">
        <f>IF(OR($F3442="",$D3442=""),"",IF($D3442="Receita",$F3442,IF($D3442="Transferência",0,-$F3442)))</f>
        <v/>
      </c>
    </row>
    <row r="3443">
      <c r="A3443" s="73" t="n"/>
      <c r="B3443" s="74" t="n"/>
      <c r="C3443" s="74" t="n"/>
      <c r="D3443" s="75">
        <f>IF($C3443="","",IFERROR(INDEX(CAT_TIPO,MATCH($C3443,CAT_NOME,0)),"Sem categoria"))</f>
        <v/>
      </c>
      <c r="E3443" s="75">
        <f>IF($C3443="","",IFERROR(INDEX(CAT_GRUPO,MATCH($C3443,CAT_NOME,0)),"Sem categoria"))</f>
        <v/>
      </c>
      <c r="F3443" s="76" t="n"/>
      <c r="G3443" s="74" t="n"/>
      <c r="H3443" s="74" t="n"/>
      <c r="I3443" s="74" t="n"/>
      <c r="J3443" s="77" t="n"/>
      <c r="K3443" s="77" t="n"/>
      <c r="L3443" s="74" t="n"/>
      <c r="M3443" s="74" t="n"/>
      <c r="O3443" s="78">
        <f>IF($A3443="","",YEAR($A3443)*100+MONTH($A3443))</f>
        <v/>
      </c>
      <c r="P3443" s="79">
        <f>IF(OR($F3443="",$D3443=""),"",IF($D3443="Receita",$F3443,IF($D3443="Transferência",0,-$F3443)))</f>
        <v/>
      </c>
    </row>
    <row r="3444">
      <c r="A3444" s="73" t="n"/>
      <c r="B3444" s="74" t="n"/>
      <c r="C3444" s="74" t="n"/>
      <c r="D3444" s="75">
        <f>IF($C3444="","",IFERROR(INDEX(CAT_TIPO,MATCH($C3444,CAT_NOME,0)),"Sem categoria"))</f>
        <v/>
      </c>
      <c r="E3444" s="75">
        <f>IF($C3444="","",IFERROR(INDEX(CAT_GRUPO,MATCH($C3444,CAT_NOME,0)),"Sem categoria"))</f>
        <v/>
      </c>
      <c r="F3444" s="76" t="n"/>
      <c r="G3444" s="74" t="n"/>
      <c r="H3444" s="74" t="n"/>
      <c r="I3444" s="74" t="n"/>
      <c r="J3444" s="77" t="n"/>
      <c r="K3444" s="77" t="n"/>
      <c r="L3444" s="74" t="n"/>
      <c r="M3444" s="74" t="n"/>
      <c r="O3444" s="78">
        <f>IF($A3444="","",YEAR($A3444)*100+MONTH($A3444))</f>
        <v/>
      </c>
      <c r="P3444" s="79">
        <f>IF(OR($F3444="",$D3444=""),"",IF($D3444="Receita",$F3444,IF($D3444="Transferência",0,-$F3444)))</f>
        <v/>
      </c>
    </row>
    <row r="3445">
      <c r="A3445" s="73" t="n"/>
      <c r="B3445" s="74" t="n"/>
      <c r="C3445" s="74" t="n"/>
      <c r="D3445" s="75">
        <f>IF($C3445="","",IFERROR(INDEX(CAT_TIPO,MATCH($C3445,CAT_NOME,0)),"Sem categoria"))</f>
        <v/>
      </c>
      <c r="E3445" s="75">
        <f>IF($C3445="","",IFERROR(INDEX(CAT_GRUPO,MATCH($C3445,CAT_NOME,0)),"Sem categoria"))</f>
        <v/>
      </c>
      <c r="F3445" s="76" t="n"/>
      <c r="G3445" s="74" t="n"/>
      <c r="H3445" s="74" t="n"/>
      <c r="I3445" s="74" t="n"/>
      <c r="J3445" s="77" t="n"/>
      <c r="K3445" s="77" t="n"/>
      <c r="L3445" s="74" t="n"/>
      <c r="M3445" s="74" t="n"/>
      <c r="O3445" s="78">
        <f>IF($A3445="","",YEAR($A3445)*100+MONTH($A3445))</f>
        <v/>
      </c>
      <c r="P3445" s="79">
        <f>IF(OR($F3445="",$D3445=""),"",IF($D3445="Receita",$F3445,IF($D3445="Transferência",0,-$F3445)))</f>
        <v/>
      </c>
    </row>
    <row r="3446">
      <c r="A3446" s="73" t="n"/>
      <c r="B3446" s="74" t="n"/>
      <c r="C3446" s="74" t="n"/>
      <c r="D3446" s="75">
        <f>IF($C3446="","",IFERROR(INDEX(CAT_TIPO,MATCH($C3446,CAT_NOME,0)),"Sem categoria"))</f>
        <v/>
      </c>
      <c r="E3446" s="75">
        <f>IF($C3446="","",IFERROR(INDEX(CAT_GRUPO,MATCH($C3446,CAT_NOME,0)),"Sem categoria"))</f>
        <v/>
      </c>
      <c r="F3446" s="76" t="n"/>
      <c r="G3446" s="74" t="n"/>
      <c r="H3446" s="74" t="n"/>
      <c r="I3446" s="74" t="n"/>
      <c r="J3446" s="77" t="n"/>
      <c r="K3446" s="77" t="n"/>
      <c r="L3446" s="74" t="n"/>
      <c r="M3446" s="74" t="n"/>
      <c r="O3446" s="78">
        <f>IF($A3446="","",YEAR($A3446)*100+MONTH($A3446))</f>
        <v/>
      </c>
      <c r="P3446" s="79">
        <f>IF(OR($F3446="",$D3446=""),"",IF($D3446="Receita",$F3446,IF($D3446="Transferência",0,-$F3446)))</f>
        <v/>
      </c>
    </row>
    <row r="3447">
      <c r="A3447" s="73" t="n"/>
      <c r="B3447" s="74" t="n"/>
      <c r="C3447" s="74" t="n"/>
      <c r="D3447" s="75">
        <f>IF($C3447="","",IFERROR(INDEX(CAT_TIPO,MATCH($C3447,CAT_NOME,0)),"Sem categoria"))</f>
        <v/>
      </c>
      <c r="E3447" s="75">
        <f>IF($C3447="","",IFERROR(INDEX(CAT_GRUPO,MATCH($C3447,CAT_NOME,0)),"Sem categoria"))</f>
        <v/>
      </c>
      <c r="F3447" s="76" t="n"/>
      <c r="G3447" s="74" t="n"/>
      <c r="H3447" s="74" t="n"/>
      <c r="I3447" s="74" t="n"/>
      <c r="J3447" s="77" t="n"/>
      <c r="K3447" s="77" t="n"/>
      <c r="L3447" s="74" t="n"/>
      <c r="M3447" s="74" t="n"/>
      <c r="O3447" s="78">
        <f>IF($A3447="","",YEAR($A3447)*100+MONTH($A3447))</f>
        <v/>
      </c>
      <c r="P3447" s="79">
        <f>IF(OR($F3447="",$D3447=""),"",IF($D3447="Receita",$F3447,IF($D3447="Transferência",0,-$F3447)))</f>
        <v/>
      </c>
    </row>
    <row r="3448">
      <c r="A3448" s="73" t="n"/>
      <c r="B3448" s="74" t="n"/>
      <c r="C3448" s="74" t="n"/>
      <c r="D3448" s="75">
        <f>IF($C3448="","",IFERROR(INDEX(CAT_TIPO,MATCH($C3448,CAT_NOME,0)),"Sem categoria"))</f>
        <v/>
      </c>
      <c r="E3448" s="75">
        <f>IF($C3448="","",IFERROR(INDEX(CAT_GRUPO,MATCH($C3448,CAT_NOME,0)),"Sem categoria"))</f>
        <v/>
      </c>
      <c r="F3448" s="76" t="n"/>
      <c r="G3448" s="74" t="n"/>
      <c r="H3448" s="74" t="n"/>
      <c r="I3448" s="74" t="n"/>
      <c r="J3448" s="77" t="n"/>
      <c r="K3448" s="77" t="n"/>
      <c r="L3448" s="74" t="n"/>
      <c r="M3448" s="74" t="n"/>
      <c r="O3448" s="78">
        <f>IF($A3448="","",YEAR($A3448)*100+MONTH($A3448))</f>
        <v/>
      </c>
      <c r="P3448" s="79">
        <f>IF(OR($F3448="",$D3448=""),"",IF($D3448="Receita",$F3448,IF($D3448="Transferência",0,-$F3448)))</f>
        <v/>
      </c>
    </row>
    <row r="3449">
      <c r="A3449" s="73" t="n"/>
      <c r="B3449" s="74" t="n"/>
      <c r="C3449" s="74" t="n"/>
      <c r="D3449" s="75">
        <f>IF($C3449="","",IFERROR(INDEX(CAT_TIPO,MATCH($C3449,CAT_NOME,0)),"Sem categoria"))</f>
        <v/>
      </c>
      <c r="E3449" s="75">
        <f>IF($C3449="","",IFERROR(INDEX(CAT_GRUPO,MATCH($C3449,CAT_NOME,0)),"Sem categoria"))</f>
        <v/>
      </c>
      <c r="F3449" s="76" t="n"/>
      <c r="G3449" s="74" t="n"/>
      <c r="H3449" s="74" t="n"/>
      <c r="I3449" s="74" t="n"/>
      <c r="J3449" s="77" t="n"/>
      <c r="K3449" s="77" t="n"/>
      <c r="L3449" s="74" t="n"/>
      <c r="M3449" s="74" t="n"/>
      <c r="O3449" s="78">
        <f>IF($A3449="","",YEAR($A3449)*100+MONTH($A3449))</f>
        <v/>
      </c>
      <c r="P3449" s="79">
        <f>IF(OR($F3449="",$D3449=""),"",IF($D3449="Receita",$F3449,IF($D3449="Transferência",0,-$F3449)))</f>
        <v/>
      </c>
    </row>
    <row r="3450">
      <c r="A3450" s="73" t="n"/>
      <c r="B3450" s="74" t="n"/>
      <c r="C3450" s="74" t="n"/>
      <c r="D3450" s="75">
        <f>IF($C3450="","",IFERROR(INDEX(CAT_TIPO,MATCH($C3450,CAT_NOME,0)),"Sem categoria"))</f>
        <v/>
      </c>
      <c r="E3450" s="75">
        <f>IF($C3450="","",IFERROR(INDEX(CAT_GRUPO,MATCH($C3450,CAT_NOME,0)),"Sem categoria"))</f>
        <v/>
      </c>
      <c r="F3450" s="76" t="n"/>
      <c r="G3450" s="74" t="n"/>
      <c r="H3450" s="74" t="n"/>
      <c r="I3450" s="74" t="n"/>
      <c r="J3450" s="77" t="n"/>
      <c r="K3450" s="77" t="n"/>
      <c r="L3450" s="74" t="n"/>
      <c r="M3450" s="74" t="n"/>
      <c r="O3450" s="78">
        <f>IF($A3450="","",YEAR($A3450)*100+MONTH($A3450))</f>
        <v/>
      </c>
      <c r="P3450" s="79">
        <f>IF(OR($F3450="",$D3450=""),"",IF($D3450="Receita",$F3450,IF($D3450="Transferência",0,-$F3450)))</f>
        <v/>
      </c>
    </row>
    <row r="3451">
      <c r="A3451" s="73" t="n"/>
      <c r="B3451" s="74" t="n"/>
      <c r="C3451" s="74" t="n"/>
      <c r="D3451" s="75">
        <f>IF($C3451="","",IFERROR(INDEX(CAT_TIPO,MATCH($C3451,CAT_NOME,0)),"Sem categoria"))</f>
        <v/>
      </c>
      <c r="E3451" s="75">
        <f>IF($C3451="","",IFERROR(INDEX(CAT_GRUPO,MATCH($C3451,CAT_NOME,0)),"Sem categoria"))</f>
        <v/>
      </c>
      <c r="F3451" s="76" t="n"/>
      <c r="G3451" s="74" t="n"/>
      <c r="H3451" s="74" t="n"/>
      <c r="I3451" s="74" t="n"/>
      <c r="J3451" s="77" t="n"/>
      <c r="K3451" s="77" t="n"/>
      <c r="L3451" s="74" t="n"/>
      <c r="M3451" s="74" t="n"/>
      <c r="O3451" s="78">
        <f>IF($A3451="","",YEAR($A3451)*100+MONTH($A3451))</f>
        <v/>
      </c>
      <c r="P3451" s="79">
        <f>IF(OR($F3451="",$D3451=""),"",IF($D3451="Receita",$F3451,IF($D3451="Transferência",0,-$F3451)))</f>
        <v/>
      </c>
    </row>
    <row r="3452">
      <c r="A3452" s="73" t="n"/>
      <c r="B3452" s="74" t="n"/>
      <c r="C3452" s="74" t="n"/>
      <c r="D3452" s="75">
        <f>IF($C3452="","",IFERROR(INDEX(CAT_TIPO,MATCH($C3452,CAT_NOME,0)),"Sem categoria"))</f>
        <v/>
      </c>
      <c r="E3452" s="75">
        <f>IF($C3452="","",IFERROR(INDEX(CAT_GRUPO,MATCH($C3452,CAT_NOME,0)),"Sem categoria"))</f>
        <v/>
      </c>
      <c r="F3452" s="76" t="n"/>
      <c r="G3452" s="74" t="n"/>
      <c r="H3452" s="74" t="n"/>
      <c r="I3452" s="74" t="n"/>
      <c r="J3452" s="77" t="n"/>
      <c r="K3452" s="77" t="n"/>
      <c r="L3452" s="74" t="n"/>
      <c r="M3452" s="74" t="n"/>
      <c r="O3452" s="78">
        <f>IF($A3452="","",YEAR($A3452)*100+MONTH($A3452))</f>
        <v/>
      </c>
      <c r="P3452" s="79">
        <f>IF(OR($F3452="",$D3452=""),"",IF($D3452="Receita",$F3452,IF($D3452="Transferência",0,-$F3452)))</f>
        <v/>
      </c>
    </row>
    <row r="3453">
      <c r="A3453" s="73" t="n"/>
      <c r="B3453" s="74" t="n"/>
      <c r="C3453" s="74" t="n"/>
      <c r="D3453" s="75">
        <f>IF($C3453="","",IFERROR(INDEX(CAT_TIPO,MATCH($C3453,CAT_NOME,0)),"Sem categoria"))</f>
        <v/>
      </c>
      <c r="E3453" s="75">
        <f>IF($C3453="","",IFERROR(INDEX(CAT_GRUPO,MATCH($C3453,CAT_NOME,0)),"Sem categoria"))</f>
        <v/>
      </c>
      <c r="F3453" s="76" t="n"/>
      <c r="G3453" s="74" t="n"/>
      <c r="H3453" s="74" t="n"/>
      <c r="I3453" s="74" t="n"/>
      <c r="J3453" s="77" t="n"/>
      <c r="K3453" s="77" t="n"/>
      <c r="L3453" s="74" t="n"/>
      <c r="M3453" s="74" t="n"/>
      <c r="O3453" s="78">
        <f>IF($A3453="","",YEAR($A3453)*100+MONTH($A3453))</f>
        <v/>
      </c>
      <c r="P3453" s="79">
        <f>IF(OR($F3453="",$D3453=""),"",IF($D3453="Receita",$F3453,IF($D3453="Transferência",0,-$F3453)))</f>
        <v/>
      </c>
    </row>
    <row r="3454">
      <c r="A3454" s="73" t="n"/>
      <c r="B3454" s="74" t="n"/>
      <c r="C3454" s="74" t="n"/>
      <c r="D3454" s="75">
        <f>IF($C3454="","",IFERROR(INDEX(CAT_TIPO,MATCH($C3454,CAT_NOME,0)),"Sem categoria"))</f>
        <v/>
      </c>
      <c r="E3454" s="75">
        <f>IF($C3454="","",IFERROR(INDEX(CAT_GRUPO,MATCH($C3454,CAT_NOME,0)),"Sem categoria"))</f>
        <v/>
      </c>
      <c r="F3454" s="76" t="n"/>
      <c r="G3454" s="74" t="n"/>
      <c r="H3454" s="74" t="n"/>
      <c r="I3454" s="74" t="n"/>
      <c r="J3454" s="77" t="n"/>
      <c r="K3454" s="77" t="n"/>
      <c r="L3454" s="74" t="n"/>
      <c r="M3454" s="74" t="n"/>
      <c r="O3454" s="78">
        <f>IF($A3454="","",YEAR($A3454)*100+MONTH($A3454))</f>
        <v/>
      </c>
      <c r="P3454" s="79">
        <f>IF(OR($F3454="",$D3454=""),"",IF($D3454="Receita",$F3454,IF($D3454="Transferência",0,-$F3454)))</f>
        <v/>
      </c>
    </row>
    <row r="3455">
      <c r="A3455" s="73" t="n"/>
      <c r="B3455" s="74" t="n"/>
      <c r="C3455" s="74" t="n"/>
      <c r="D3455" s="75">
        <f>IF($C3455="","",IFERROR(INDEX(CAT_TIPO,MATCH($C3455,CAT_NOME,0)),"Sem categoria"))</f>
        <v/>
      </c>
      <c r="E3455" s="75">
        <f>IF($C3455="","",IFERROR(INDEX(CAT_GRUPO,MATCH($C3455,CAT_NOME,0)),"Sem categoria"))</f>
        <v/>
      </c>
      <c r="F3455" s="76" t="n"/>
      <c r="G3455" s="74" t="n"/>
      <c r="H3455" s="74" t="n"/>
      <c r="I3455" s="74" t="n"/>
      <c r="J3455" s="77" t="n"/>
      <c r="K3455" s="77" t="n"/>
      <c r="L3455" s="74" t="n"/>
      <c r="M3455" s="74" t="n"/>
      <c r="O3455" s="78">
        <f>IF($A3455="","",YEAR($A3455)*100+MONTH($A3455))</f>
        <v/>
      </c>
      <c r="P3455" s="79">
        <f>IF(OR($F3455="",$D3455=""),"",IF($D3455="Receita",$F3455,IF($D3455="Transferência",0,-$F3455)))</f>
        <v/>
      </c>
    </row>
    <row r="3456">
      <c r="A3456" s="73" t="n"/>
      <c r="B3456" s="74" t="n"/>
      <c r="C3456" s="74" t="n"/>
      <c r="D3456" s="75">
        <f>IF($C3456="","",IFERROR(INDEX(CAT_TIPO,MATCH($C3456,CAT_NOME,0)),"Sem categoria"))</f>
        <v/>
      </c>
      <c r="E3456" s="75">
        <f>IF($C3456="","",IFERROR(INDEX(CAT_GRUPO,MATCH($C3456,CAT_NOME,0)),"Sem categoria"))</f>
        <v/>
      </c>
      <c r="F3456" s="76" t="n"/>
      <c r="G3456" s="74" t="n"/>
      <c r="H3456" s="74" t="n"/>
      <c r="I3456" s="74" t="n"/>
      <c r="J3456" s="77" t="n"/>
      <c r="K3456" s="77" t="n"/>
      <c r="L3456" s="74" t="n"/>
      <c r="M3456" s="74" t="n"/>
      <c r="O3456" s="78">
        <f>IF($A3456="","",YEAR($A3456)*100+MONTH($A3456))</f>
        <v/>
      </c>
      <c r="P3456" s="79">
        <f>IF(OR($F3456="",$D3456=""),"",IF($D3456="Receita",$F3456,IF($D3456="Transferência",0,-$F3456)))</f>
        <v/>
      </c>
    </row>
    <row r="3457">
      <c r="A3457" s="73" t="n"/>
      <c r="B3457" s="74" t="n"/>
      <c r="C3457" s="74" t="n"/>
      <c r="D3457" s="75">
        <f>IF($C3457="","",IFERROR(INDEX(CAT_TIPO,MATCH($C3457,CAT_NOME,0)),"Sem categoria"))</f>
        <v/>
      </c>
      <c r="E3457" s="75">
        <f>IF($C3457="","",IFERROR(INDEX(CAT_GRUPO,MATCH($C3457,CAT_NOME,0)),"Sem categoria"))</f>
        <v/>
      </c>
      <c r="F3457" s="76" t="n"/>
      <c r="G3457" s="74" t="n"/>
      <c r="H3457" s="74" t="n"/>
      <c r="I3457" s="74" t="n"/>
      <c r="J3457" s="77" t="n"/>
      <c r="K3457" s="77" t="n"/>
      <c r="L3457" s="74" t="n"/>
      <c r="M3457" s="74" t="n"/>
      <c r="O3457" s="78">
        <f>IF($A3457="","",YEAR($A3457)*100+MONTH($A3457))</f>
        <v/>
      </c>
      <c r="P3457" s="79">
        <f>IF(OR($F3457="",$D3457=""),"",IF($D3457="Receita",$F3457,IF($D3457="Transferência",0,-$F3457)))</f>
        <v/>
      </c>
    </row>
    <row r="3458">
      <c r="A3458" s="73" t="n"/>
      <c r="B3458" s="74" t="n"/>
      <c r="C3458" s="74" t="n"/>
      <c r="D3458" s="75">
        <f>IF($C3458="","",IFERROR(INDEX(CAT_TIPO,MATCH($C3458,CAT_NOME,0)),"Sem categoria"))</f>
        <v/>
      </c>
      <c r="E3458" s="75">
        <f>IF($C3458="","",IFERROR(INDEX(CAT_GRUPO,MATCH($C3458,CAT_NOME,0)),"Sem categoria"))</f>
        <v/>
      </c>
      <c r="F3458" s="76" t="n"/>
      <c r="G3458" s="74" t="n"/>
      <c r="H3458" s="74" t="n"/>
      <c r="I3458" s="74" t="n"/>
      <c r="J3458" s="77" t="n"/>
      <c r="K3458" s="77" t="n"/>
      <c r="L3458" s="74" t="n"/>
      <c r="M3458" s="74" t="n"/>
      <c r="O3458" s="78">
        <f>IF($A3458="","",YEAR($A3458)*100+MONTH($A3458))</f>
        <v/>
      </c>
      <c r="P3458" s="79">
        <f>IF(OR($F3458="",$D3458=""),"",IF($D3458="Receita",$F3458,IF($D3458="Transferência",0,-$F3458)))</f>
        <v/>
      </c>
    </row>
    <row r="3459">
      <c r="A3459" s="73" t="n"/>
      <c r="B3459" s="74" t="n"/>
      <c r="C3459" s="74" t="n"/>
      <c r="D3459" s="75">
        <f>IF($C3459="","",IFERROR(INDEX(CAT_TIPO,MATCH($C3459,CAT_NOME,0)),"Sem categoria"))</f>
        <v/>
      </c>
      <c r="E3459" s="75">
        <f>IF($C3459="","",IFERROR(INDEX(CAT_GRUPO,MATCH($C3459,CAT_NOME,0)),"Sem categoria"))</f>
        <v/>
      </c>
      <c r="F3459" s="76" t="n"/>
      <c r="G3459" s="74" t="n"/>
      <c r="H3459" s="74" t="n"/>
      <c r="I3459" s="74" t="n"/>
      <c r="J3459" s="77" t="n"/>
      <c r="K3459" s="77" t="n"/>
      <c r="L3459" s="74" t="n"/>
      <c r="M3459" s="74" t="n"/>
      <c r="O3459" s="78">
        <f>IF($A3459="","",YEAR($A3459)*100+MONTH($A3459))</f>
        <v/>
      </c>
      <c r="P3459" s="79">
        <f>IF(OR($F3459="",$D3459=""),"",IF($D3459="Receita",$F3459,IF($D3459="Transferência",0,-$F3459)))</f>
        <v/>
      </c>
    </row>
    <row r="3460">
      <c r="A3460" s="73" t="n"/>
      <c r="B3460" s="74" t="n"/>
      <c r="C3460" s="74" t="n"/>
      <c r="D3460" s="75">
        <f>IF($C3460="","",IFERROR(INDEX(CAT_TIPO,MATCH($C3460,CAT_NOME,0)),"Sem categoria"))</f>
        <v/>
      </c>
      <c r="E3460" s="75">
        <f>IF($C3460="","",IFERROR(INDEX(CAT_GRUPO,MATCH($C3460,CAT_NOME,0)),"Sem categoria"))</f>
        <v/>
      </c>
      <c r="F3460" s="76" t="n"/>
      <c r="G3460" s="74" t="n"/>
      <c r="H3460" s="74" t="n"/>
      <c r="I3460" s="74" t="n"/>
      <c r="J3460" s="77" t="n"/>
      <c r="K3460" s="77" t="n"/>
      <c r="L3460" s="74" t="n"/>
      <c r="M3460" s="74" t="n"/>
      <c r="O3460" s="78">
        <f>IF($A3460="","",YEAR($A3460)*100+MONTH($A3460))</f>
        <v/>
      </c>
      <c r="P3460" s="79">
        <f>IF(OR($F3460="",$D3460=""),"",IF($D3460="Receita",$F3460,IF($D3460="Transferência",0,-$F3460)))</f>
        <v/>
      </c>
    </row>
    <row r="3461">
      <c r="A3461" s="73" t="n"/>
      <c r="B3461" s="74" t="n"/>
      <c r="C3461" s="74" t="n"/>
      <c r="D3461" s="75">
        <f>IF($C3461="","",IFERROR(INDEX(CAT_TIPO,MATCH($C3461,CAT_NOME,0)),"Sem categoria"))</f>
        <v/>
      </c>
      <c r="E3461" s="75">
        <f>IF($C3461="","",IFERROR(INDEX(CAT_GRUPO,MATCH($C3461,CAT_NOME,0)),"Sem categoria"))</f>
        <v/>
      </c>
      <c r="F3461" s="76" t="n"/>
      <c r="G3461" s="74" t="n"/>
      <c r="H3461" s="74" t="n"/>
      <c r="I3461" s="74" t="n"/>
      <c r="J3461" s="77" t="n"/>
      <c r="K3461" s="77" t="n"/>
      <c r="L3461" s="74" t="n"/>
      <c r="M3461" s="74" t="n"/>
      <c r="O3461" s="78">
        <f>IF($A3461="","",YEAR($A3461)*100+MONTH($A3461))</f>
        <v/>
      </c>
      <c r="P3461" s="79">
        <f>IF(OR($F3461="",$D3461=""),"",IF($D3461="Receita",$F3461,IF($D3461="Transferência",0,-$F3461)))</f>
        <v/>
      </c>
    </row>
    <row r="3462">
      <c r="A3462" s="73" t="n"/>
      <c r="B3462" s="74" t="n"/>
      <c r="C3462" s="74" t="n"/>
      <c r="D3462" s="75">
        <f>IF($C3462="","",IFERROR(INDEX(CAT_TIPO,MATCH($C3462,CAT_NOME,0)),"Sem categoria"))</f>
        <v/>
      </c>
      <c r="E3462" s="75">
        <f>IF($C3462="","",IFERROR(INDEX(CAT_GRUPO,MATCH($C3462,CAT_NOME,0)),"Sem categoria"))</f>
        <v/>
      </c>
      <c r="F3462" s="76" t="n"/>
      <c r="G3462" s="74" t="n"/>
      <c r="H3462" s="74" t="n"/>
      <c r="I3462" s="74" t="n"/>
      <c r="J3462" s="77" t="n"/>
      <c r="K3462" s="77" t="n"/>
      <c r="L3462" s="74" t="n"/>
      <c r="M3462" s="74" t="n"/>
      <c r="O3462" s="78">
        <f>IF($A3462="","",YEAR($A3462)*100+MONTH($A3462))</f>
        <v/>
      </c>
      <c r="P3462" s="79">
        <f>IF(OR($F3462="",$D3462=""),"",IF($D3462="Receita",$F3462,IF($D3462="Transferência",0,-$F3462)))</f>
        <v/>
      </c>
    </row>
    <row r="3463">
      <c r="A3463" s="73" t="n"/>
      <c r="B3463" s="74" t="n"/>
      <c r="C3463" s="74" t="n"/>
      <c r="D3463" s="75">
        <f>IF($C3463="","",IFERROR(INDEX(CAT_TIPO,MATCH($C3463,CAT_NOME,0)),"Sem categoria"))</f>
        <v/>
      </c>
      <c r="E3463" s="75">
        <f>IF($C3463="","",IFERROR(INDEX(CAT_GRUPO,MATCH($C3463,CAT_NOME,0)),"Sem categoria"))</f>
        <v/>
      </c>
      <c r="F3463" s="76" t="n"/>
      <c r="G3463" s="74" t="n"/>
      <c r="H3463" s="74" t="n"/>
      <c r="I3463" s="74" t="n"/>
      <c r="J3463" s="77" t="n"/>
      <c r="K3463" s="77" t="n"/>
      <c r="L3463" s="74" t="n"/>
      <c r="M3463" s="74" t="n"/>
      <c r="O3463" s="78">
        <f>IF($A3463="","",YEAR($A3463)*100+MONTH($A3463))</f>
        <v/>
      </c>
      <c r="P3463" s="79">
        <f>IF(OR($F3463="",$D3463=""),"",IF($D3463="Receita",$F3463,IF($D3463="Transferência",0,-$F3463)))</f>
        <v/>
      </c>
    </row>
    <row r="3464">
      <c r="A3464" s="73" t="n"/>
      <c r="B3464" s="74" t="n"/>
      <c r="C3464" s="74" t="n"/>
      <c r="D3464" s="75">
        <f>IF($C3464="","",IFERROR(INDEX(CAT_TIPO,MATCH($C3464,CAT_NOME,0)),"Sem categoria"))</f>
        <v/>
      </c>
      <c r="E3464" s="75">
        <f>IF($C3464="","",IFERROR(INDEX(CAT_GRUPO,MATCH($C3464,CAT_NOME,0)),"Sem categoria"))</f>
        <v/>
      </c>
      <c r="F3464" s="76" t="n"/>
      <c r="G3464" s="74" t="n"/>
      <c r="H3464" s="74" t="n"/>
      <c r="I3464" s="74" t="n"/>
      <c r="J3464" s="77" t="n"/>
      <c r="K3464" s="77" t="n"/>
      <c r="L3464" s="74" t="n"/>
      <c r="M3464" s="74" t="n"/>
      <c r="O3464" s="78">
        <f>IF($A3464="","",YEAR($A3464)*100+MONTH($A3464))</f>
        <v/>
      </c>
      <c r="P3464" s="79">
        <f>IF(OR($F3464="",$D3464=""),"",IF($D3464="Receita",$F3464,IF($D3464="Transferência",0,-$F3464)))</f>
        <v/>
      </c>
    </row>
    <row r="3465">
      <c r="A3465" s="73" t="n"/>
      <c r="B3465" s="74" t="n"/>
      <c r="C3465" s="74" t="n"/>
      <c r="D3465" s="75">
        <f>IF($C3465="","",IFERROR(INDEX(CAT_TIPO,MATCH($C3465,CAT_NOME,0)),"Sem categoria"))</f>
        <v/>
      </c>
      <c r="E3465" s="75">
        <f>IF($C3465="","",IFERROR(INDEX(CAT_GRUPO,MATCH($C3465,CAT_NOME,0)),"Sem categoria"))</f>
        <v/>
      </c>
      <c r="F3465" s="76" t="n"/>
      <c r="G3465" s="74" t="n"/>
      <c r="H3465" s="74" t="n"/>
      <c r="I3465" s="74" t="n"/>
      <c r="J3465" s="77" t="n"/>
      <c r="K3465" s="77" t="n"/>
      <c r="L3465" s="74" t="n"/>
      <c r="M3465" s="74" t="n"/>
      <c r="O3465" s="78">
        <f>IF($A3465="","",YEAR($A3465)*100+MONTH($A3465))</f>
        <v/>
      </c>
      <c r="P3465" s="79">
        <f>IF(OR($F3465="",$D3465=""),"",IF($D3465="Receita",$F3465,IF($D3465="Transferência",0,-$F3465)))</f>
        <v/>
      </c>
    </row>
    <row r="3466">
      <c r="A3466" s="73" t="n"/>
      <c r="B3466" s="74" t="n"/>
      <c r="C3466" s="74" t="n"/>
      <c r="D3466" s="75">
        <f>IF($C3466="","",IFERROR(INDEX(CAT_TIPO,MATCH($C3466,CAT_NOME,0)),"Sem categoria"))</f>
        <v/>
      </c>
      <c r="E3466" s="75">
        <f>IF($C3466="","",IFERROR(INDEX(CAT_GRUPO,MATCH($C3466,CAT_NOME,0)),"Sem categoria"))</f>
        <v/>
      </c>
      <c r="F3466" s="76" t="n"/>
      <c r="G3466" s="74" t="n"/>
      <c r="H3466" s="74" t="n"/>
      <c r="I3466" s="74" t="n"/>
      <c r="J3466" s="77" t="n"/>
      <c r="K3466" s="77" t="n"/>
      <c r="L3466" s="74" t="n"/>
      <c r="M3466" s="74" t="n"/>
      <c r="O3466" s="78">
        <f>IF($A3466="","",YEAR($A3466)*100+MONTH($A3466))</f>
        <v/>
      </c>
      <c r="P3466" s="79">
        <f>IF(OR($F3466="",$D3466=""),"",IF($D3466="Receita",$F3466,IF($D3466="Transferência",0,-$F3466)))</f>
        <v/>
      </c>
    </row>
    <row r="3467">
      <c r="A3467" s="73" t="n"/>
      <c r="B3467" s="74" t="n"/>
      <c r="C3467" s="74" t="n"/>
      <c r="D3467" s="75">
        <f>IF($C3467="","",IFERROR(INDEX(CAT_TIPO,MATCH($C3467,CAT_NOME,0)),"Sem categoria"))</f>
        <v/>
      </c>
      <c r="E3467" s="75">
        <f>IF($C3467="","",IFERROR(INDEX(CAT_GRUPO,MATCH($C3467,CAT_NOME,0)),"Sem categoria"))</f>
        <v/>
      </c>
      <c r="F3467" s="76" t="n"/>
      <c r="G3467" s="74" t="n"/>
      <c r="H3467" s="74" t="n"/>
      <c r="I3467" s="74" t="n"/>
      <c r="J3467" s="77" t="n"/>
      <c r="K3467" s="77" t="n"/>
      <c r="L3467" s="74" t="n"/>
      <c r="M3467" s="74" t="n"/>
      <c r="O3467" s="78">
        <f>IF($A3467="","",YEAR($A3467)*100+MONTH($A3467))</f>
        <v/>
      </c>
      <c r="P3467" s="79">
        <f>IF(OR($F3467="",$D3467=""),"",IF($D3467="Receita",$F3467,IF($D3467="Transferência",0,-$F3467)))</f>
        <v/>
      </c>
    </row>
    <row r="3468">
      <c r="A3468" s="73" t="n"/>
      <c r="B3468" s="74" t="n"/>
      <c r="C3468" s="74" t="n"/>
      <c r="D3468" s="75">
        <f>IF($C3468="","",IFERROR(INDEX(CAT_TIPO,MATCH($C3468,CAT_NOME,0)),"Sem categoria"))</f>
        <v/>
      </c>
      <c r="E3468" s="75">
        <f>IF($C3468="","",IFERROR(INDEX(CAT_GRUPO,MATCH($C3468,CAT_NOME,0)),"Sem categoria"))</f>
        <v/>
      </c>
      <c r="F3468" s="76" t="n"/>
      <c r="G3468" s="74" t="n"/>
      <c r="H3468" s="74" t="n"/>
      <c r="I3468" s="74" t="n"/>
      <c r="J3468" s="77" t="n"/>
      <c r="K3468" s="77" t="n"/>
      <c r="L3468" s="74" t="n"/>
      <c r="M3468" s="74" t="n"/>
      <c r="O3468" s="78">
        <f>IF($A3468="","",YEAR($A3468)*100+MONTH($A3468))</f>
        <v/>
      </c>
      <c r="P3468" s="79">
        <f>IF(OR($F3468="",$D3468=""),"",IF($D3468="Receita",$F3468,IF($D3468="Transferência",0,-$F3468)))</f>
        <v/>
      </c>
    </row>
    <row r="3469">
      <c r="A3469" s="73" t="n"/>
      <c r="B3469" s="74" t="n"/>
      <c r="C3469" s="74" t="n"/>
      <c r="D3469" s="75">
        <f>IF($C3469="","",IFERROR(INDEX(CAT_TIPO,MATCH($C3469,CAT_NOME,0)),"Sem categoria"))</f>
        <v/>
      </c>
      <c r="E3469" s="75">
        <f>IF($C3469="","",IFERROR(INDEX(CAT_GRUPO,MATCH($C3469,CAT_NOME,0)),"Sem categoria"))</f>
        <v/>
      </c>
      <c r="F3469" s="76" t="n"/>
      <c r="G3469" s="74" t="n"/>
      <c r="H3469" s="74" t="n"/>
      <c r="I3469" s="74" t="n"/>
      <c r="J3469" s="77" t="n"/>
      <c r="K3469" s="77" t="n"/>
      <c r="L3469" s="74" t="n"/>
      <c r="M3469" s="74" t="n"/>
      <c r="O3469" s="78">
        <f>IF($A3469="","",YEAR($A3469)*100+MONTH($A3469))</f>
        <v/>
      </c>
      <c r="P3469" s="79">
        <f>IF(OR($F3469="",$D3469=""),"",IF($D3469="Receita",$F3469,IF($D3469="Transferência",0,-$F3469)))</f>
        <v/>
      </c>
    </row>
    <row r="3470">
      <c r="A3470" s="73" t="n"/>
      <c r="B3470" s="74" t="n"/>
      <c r="C3470" s="74" t="n"/>
      <c r="D3470" s="75">
        <f>IF($C3470="","",IFERROR(INDEX(CAT_TIPO,MATCH($C3470,CAT_NOME,0)),"Sem categoria"))</f>
        <v/>
      </c>
      <c r="E3470" s="75">
        <f>IF($C3470="","",IFERROR(INDEX(CAT_GRUPO,MATCH($C3470,CAT_NOME,0)),"Sem categoria"))</f>
        <v/>
      </c>
      <c r="F3470" s="76" t="n"/>
      <c r="G3470" s="74" t="n"/>
      <c r="H3470" s="74" t="n"/>
      <c r="I3470" s="74" t="n"/>
      <c r="J3470" s="77" t="n"/>
      <c r="K3470" s="77" t="n"/>
      <c r="L3470" s="74" t="n"/>
      <c r="M3470" s="74" t="n"/>
      <c r="O3470" s="78">
        <f>IF($A3470="","",YEAR($A3470)*100+MONTH($A3470))</f>
        <v/>
      </c>
      <c r="P3470" s="79">
        <f>IF(OR($F3470="",$D3470=""),"",IF($D3470="Receita",$F3470,IF($D3470="Transferência",0,-$F3470)))</f>
        <v/>
      </c>
    </row>
    <row r="3471">
      <c r="A3471" s="73" t="n"/>
      <c r="B3471" s="74" t="n"/>
      <c r="C3471" s="74" t="n"/>
      <c r="D3471" s="75">
        <f>IF($C3471="","",IFERROR(INDEX(CAT_TIPO,MATCH($C3471,CAT_NOME,0)),"Sem categoria"))</f>
        <v/>
      </c>
      <c r="E3471" s="75">
        <f>IF($C3471="","",IFERROR(INDEX(CAT_GRUPO,MATCH($C3471,CAT_NOME,0)),"Sem categoria"))</f>
        <v/>
      </c>
      <c r="F3471" s="76" t="n"/>
      <c r="G3471" s="74" t="n"/>
      <c r="H3471" s="74" t="n"/>
      <c r="I3471" s="74" t="n"/>
      <c r="J3471" s="77" t="n"/>
      <c r="K3471" s="77" t="n"/>
      <c r="L3471" s="74" t="n"/>
      <c r="M3471" s="74" t="n"/>
      <c r="O3471" s="78">
        <f>IF($A3471="","",YEAR($A3471)*100+MONTH($A3471))</f>
        <v/>
      </c>
      <c r="P3471" s="79">
        <f>IF(OR($F3471="",$D3471=""),"",IF($D3471="Receita",$F3471,IF($D3471="Transferência",0,-$F3471)))</f>
        <v/>
      </c>
    </row>
    <row r="3472">
      <c r="A3472" s="73" t="n"/>
      <c r="B3472" s="74" t="n"/>
      <c r="C3472" s="74" t="n"/>
      <c r="D3472" s="75">
        <f>IF($C3472="","",IFERROR(INDEX(CAT_TIPO,MATCH($C3472,CAT_NOME,0)),"Sem categoria"))</f>
        <v/>
      </c>
      <c r="E3472" s="75">
        <f>IF($C3472="","",IFERROR(INDEX(CAT_GRUPO,MATCH($C3472,CAT_NOME,0)),"Sem categoria"))</f>
        <v/>
      </c>
      <c r="F3472" s="76" t="n"/>
      <c r="G3472" s="74" t="n"/>
      <c r="H3472" s="74" t="n"/>
      <c r="I3472" s="74" t="n"/>
      <c r="J3472" s="77" t="n"/>
      <c r="K3472" s="77" t="n"/>
      <c r="L3472" s="74" t="n"/>
      <c r="M3472" s="74" t="n"/>
      <c r="O3472" s="78">
        <f>IF($A3472="","",YEAR($A3472)*100+MONTH($A3472))</f>
        <v/>
      </c>
      <c r="P3472" s="79">
        <f>IF(OR($F3472="",$D3472=""),"",IF($D3472="Receita",$F3472,IF($D3472="Transferência",0,-$F3472)))</f>
        <v/>
      </c>
    </row>
    <row r="3473">
      <c r="A3473" s="73" t="n"/>
      <c r="B3473" s="74" t="n"/>
      <c r="C3473" s="74" t="n"/>
      <c r="D3473" s="75">
        <f>IF($C3473="","",IFERROR(INDEX(CAT_TIPO,MATCH($C3473,CAT_NOME,0)),"Sem categoria"))</f>
        <v/>
      </c>
      <c r="E3473" s="75">
        <f>IF($C3473="","",IFERROR(INDEX(CAT_GRUPO,MATCH($C3473,CAT_NOME,0)),"Sem categoria"))</f>
        <v/>
      </c>
      <c r="F3473" s="76" t="n"/>
      <c r="G3473" s="74" t="n"/>
      <c r="H3473" s="74" t="n"/>
      <c r="I3473" s="74" t="n"/>
      <c r="J3473" s="77" t="n"/>
      <c r="K3473" s="77" t="n"/>
      <c r="L3473" s="74" t="n"/>
      <c r="M3473" s="74" t="n"/>
      <c r="O3473" s="78">
        <f>IF($A3473="","",YEAR($A3473)*100+MONTH($A3473))</f>
        <v/>
      </c>
      <c r="P3473" s="79">
        <f>IF(OR($F3473="",$D3473=""),"",IF($D3473="Receita",$F3473,IF($D3473="Transferência",0,-$F3473)))</f>
        <v/>
      </c>
    </row>
    <row r="3474">
      <c r="A3474" s="73" t="n"/>
      <c r="B3474" s="74" t="n"/>
      <c r="C3474" s="74" t="n"/>
      <c r="D3474" s="75">
        <f>IF($C3474="","",IFERROR(INDEX(CAT_TIPO,MATCH($C3474,CAT_NOME,0)),"Sem categoria"))</f>
        <v/>
      </c>
      <c r="E3474" s="75">
        <f>IF($C3474="","",IFERROR(INDEX(CAT_GRUPO,MATCH($C3474,CAT_NOME,0)),"Sem categoria"))</f>
        <v/>
      </c>
      <c r="F3474" s="76" t="n"/>
      <c r="G3474" s="74" t="n"/>
      <c r="H3474" s="74" t="n"/>
      <c r="I3474" s="74" t="n"/>
      <c r="J3474" s="77" t="n"/>
      <c r="K3474" s="77" t="n"/>
      <c r="L3474" s="74" t="n"/>
      <c r="M3474" s="74" t="n"/>
      <c r="O3474" s="78">
        <f>IF($A3474="","",YEAR($A3474)*100+MONTH($A3474))</f>
        <v/>
      </c>
      <c r="P3474" s="79">
        <f>IF(OR($F3474="",$D3474=""),"",IF($D3474="Receita",$F3474,IF($D3474="Transferência",0,-$F3474)))</f>
        <v/>
      </c>
    </row>
    <row r="3475">
      <c r="A3475" s="73" t="n"/>
      <c r="B3475" s="74" t="n"/>
      <c r="C3475" s="74" t="n"/>
      <c r="D3475" s="75">
        <f>IF($C3475="","",IFERROR(INDEX(CAT_TIPO,MATCH($C3475,CAT_NOME,0)),"Sem categoria"))</f>
        <v/>
      </c>
      <c r="E3475" s="75">
        <f>IF($C3475="","",IFERROR(INDEX(CAT_GRUPO,MATCH($C3475,CAT_NOME,0)),"Sem categoria"))</f>
        <v/>
      </c>
      <c r="F3475" s="76" t="n"/>
      <c r="G3475" s="74" t="n"/>
      <c r="H3475" s="74" t="n"/>
      <c r="I3475" s="74" t="n"/>
      <c r="J3475" s="77" t="n"/>
      <c r="K3475" s="77" t="n"/>
      <c r="L3475" s="74" t="n"/>
      <c r="M3475" s="74" t="n"/>
      <c r="O3475" s="78">
        <f>IF($A3475="","",YEAR($A3475)*100+MONTH($A3475))</f>
        <v/>
      </c>
      <c r="P3475" s="79">
        <f>IF(OR($F3475="",$D3475=""),"",IF($D3475="Receita",$F3475,IF($D3475="Transferência",0,-$F3475)))</f>
        <v/>
      </c>
    </row>
    <row r="3476">
      <c r="A3476" s="73" t="n"/>
      <c r="B3476" s="74" t="n"/>
      <c r="C3476" s="74" t="n"/>
      <c r="D3476" s="75">
        <f>IF($C3476="","",IFERROR(INDEX(CAT_TIPO,MATCH($C3476,CAT_NOME,0)),"Sem categoria"))</f>
        <v/>
      </c>
      <c r="E3476" s="75">
        <f>IF($C3476="","",IFERROR(INDEX(CAT_GRUPO,MATCH($C3476,CAT_NOME,0)),"Sem categoria"))</f>
        <v/>
      </c>
      <c r="F3476" s="76" t="n"/>
      <c r="G3476" s="74" t="n"/>
      <c r="H3476" s="74" t="n"/>
      <c r="I3476" s="74" t="n"/>
      <c r="J3476" s="77" t="n"/>
      <c r="K3476" s="77" t="n"/>
      <c r="L3476" s="74" t="n"/>
      <c r="M3476" s="74" t="n"/>
      <c r="O3476" s="78">
        <f>IF($A3476="","",YEAR($A3476)*100+MONTH($A3476))</f>
        <v/>
      </c>
      <c r="P3476" s="79">
        <f>IF(OR($F3476="",$D3476=""),"",IF($D3476="Receita",$F3476,IF($D3476="Transferência",0,-$F3476)))</f>
        <v/>
      </c>
    </row>
    <row r="3477">
      <c r="A3477" s="73" t="n"/>
      <c r="B3477" s="74" t="n"/>
      <c r="C3477" s="74" t="n"/>
      <c r="D3477" s="75">
        <f>IF($C3477="","",IFERROR(INDEX(CAT_TIPO,MATCH($C3477,CAT_NOME,0)),"Sem categoria"))</f>
        <v/>
      </c>
      <c r="E3477" s="75">
        <f>IF($C3477="","",IFERROR(INDEX(CAT_GRUPO,MATCH($C3477,CAT_NOME,0)),"Sem categoria"))</f>
        <v/>
      </c>
      <c r="F3477" s="76" t="n"/>
      <c r="G3477" s="74" t="n"/>
      <c r="H3477" s="74" t="n"/>
      <c r="I3477" s="74" t="n"/>
      <c r="J3477" s="77" t="n"/>
      <c r="K3477" s="77" t="n"/>
      <c r="L3477" s="74" t="n"/>
      <c r="M3477" s="74" t="n"/>
      <c r="O3477" s="78">
        <f>IF($A3477="","",YEAR($A3477)*100+MONTH($A3477))</f>
        <v/>
      </c>
      <c r="P3477" s="79">
        <f>IF(OR($F3477="",$D3477=""),"",IF($D3477="Receita",$F3477,IF($D3477="Transferência",0,-$F3477)))</f>
        <v/>
      </c>
    </row>
    <row r="3478">
      <c r="A3478" s="73" t="n"/>
      <c r="B3478" s="74" t="n"/>
      <c r="C3478" s="74" t="n"/>
      <c r="D3478" s="75">
        <f>IF($C3478="","",IFERROR(INDEX(CAT_TIPO,MATCH($C3478,CAT_NOME,0)),"Sem categoria"))</f>
        <v/>
      </c>
      <c r="E3478" s="75">
        <f>IF($C3478="","",IFERROR(INDEX(CAT_GRUPO,MATCH($C3478,CAT_NOME,0)),"Sem categoria"))</f>
        <v/>
      </c>
      <c r="F3478" s="76" t="n"/>
      <c r="G3478" s="74" t="n"/>
      <c r="H3478" s="74" t="n"/>
      <c r="I3478" s="74" t="n"/>
      <c r="J3478" s="77" t="n"/>
      <c r="K3478" s="77" t="n"/>
      <c r="L3478" s="74" t="n"/>
      <c r="M3478" s="74" t="n"/>
      <c r="O3478" s="78">
        <f>IF($A3478="","",YEAR($A3478)*100+MONTH($A3478))</f>
        <v/>
      </c>
      <c r="P3478" s="79">
        <f>IF(OR($F3478="",$D3478=""),"",IF($D3478="Receita",$F3478,IF($D3478="Transferência",0,-$F3478)))</f>
        <v/>
      </c>
    </row>
    <row r="3479">
      <c r="A3479" s="73" t="n"/>
      <c r="B3479" s="74" t="n"/>
      <c r="C3479" s="74" t="n"/>
      <c r="D3479" s="75">
        <f>IF($C3479="","",IFERROR(INDEX(CAT_TIPO,MATCH($C3479,CAT_NOME,0)),"Sem categoria"))</f>
        <v/>
      </c>
      <c r="E3479" s="75">
        <f>IF($C3479="","",IFERROR(INDEX(CAT_GRUPO,MATCH($C3479,CAT_NOME,0)),"Sem categoria"))</f>
        <v/>
      </c>
      <c r="F3479" s="76" t="n"/>
      <c r="G3479" s="74" t="n"/>
      <c r="H3479" s="74" t="n"/>
      <c r="I3479" s="74" t="n"/>
      <c r="J3479" s="77" t="n"/>
      <c r="K3479" s="77" t="n"/>
      <c r="L3479" s="74" t="n"/>
      <c r="M3479" s="74" t="n"/>
      <c r="O3479" s="78">
        <f>IF($A3479="","",YEAR($A3479)*100+MONTH($A3479))</f>
        <v/>
      </c>
      <c r="P3479" s="79">
        <f>IF(OR($F3479="",$D3479=""),"",IF($D3479="Receita",$F3479,IF($D3479="Transferência",0,-$F3479)))</f>
        <v/>
      </c>
    </row>
    <row r="3480">
      <c r="A3480" s="73" t="n"/>
      <c r="B3480" s="74" t="n"/>
      <c r="C3480" s="74" t="n"/>
      <c r="D3480" s="75">
        <f>IF($C3480="","",IFERROR(INDEX(CAT_TIPO,MATCH($C3480,CAT_NOME,0)),"Sem categoria"))</f>
        <v/>
      </c>
      <c r="E3480" s="75">
        <f>IF($C3480="","",IFERROR(INDEX(CAT_GRUPO,MATCH($C3480,CAT_NOME,0)),"Sem categoria"))</f>
        <v/>
      </c>
      <c r="F3480" s="76" t="n"/>
      <c r="G3480" s="74" t="n"/>
      <c r="H3480" s="74" t="n"/>
      <c r="I3480" s="74" t="n"/>
      <c r="J3480" s="77" t="n"/>
      <c r="K3480" s="77" t="n"/>
      <c r="L3480" s="74" t="n"/>
      <c r="M3480" s="74" t="n"/>
      <c r="O3480" s="78">
        <f>IF($A3480="","",YEAR($A3480)*100+MONTH($A3480))</f>
        <v/>
      </c>
      <c r="P3480" s="79">
        <f>IF(OR($F3480="",$D3480=""),"",IF($D3480="Receita",$F3480,IF($D3480="Transferência",0,-$F3480)))</f>
        <v/>
      </c>
    </row>
    <row r="3481">
      <c r="A3481" s="73" t="n"/>
      <c r="B3481" s="74" t="n"/>
      <c r="C3481" s="74" t="n"/>
      <c r="D3481" s="75">
        <f>IF($C3481="","",IFERROR(INDEX(CAT_TIPO,MATCH($C3481,CAT_NOME,0)),"Sem categoria"))</f>
        <v/>
      </c>
      <c r="E3481" s="75">
        <f>IF($C3481="","",IFERROR(INDEX(CAT_GRUPO,MATCH($C3481,CAT_NOME,0)),"Sem categoria"))</f>
        <v/>
      </c>
      <c r="F3481" s="76" t="n"/>
      <c r="G3481" s="74" t="n"/>
      <c r="H3481" s="74" t="n"/>
      <c r="I3481" s="74" t="n"/>
      <c r="J3481" s="77" t="n"/>
      <c r="K3481" s="77" t="n"/>
      <c r="L3481" s="74" t="n"/>
      <c r="M3481" s="74" t="n"/>
      <c r="O3481" s="78">
        <f>IF($A3481="","",YEAR($A3481)*100+MONTH($A3481))</f>
        <v/>
      </c>
      <c r="P3481" s="79">
        <f>IF(OR($F3481="",$D3481=""),"",IF($D3481="Receita",$F3481,IF($D3481="Transferência",0,-$F3481)))</f>
        <v/>
      </c>
    </row>
    <row r="3482">
      <c r="A3482" s="73" t="n"/>
      <c r="B3482" s="74" t="n"/>
      <c r="C3482" s="74" t="n"/>
      <c r="D3482" s="75">
        <f>IF($C3482="","",IFERROR(INDEX(CAT_TIPO,MATCH($C3482,CAT_NOME,0)),"Sem categoria"))</f>
        <v/>
      </c>
      <c r="E3482" s="75">
        <f>IF($C3482="","",IFERROR(INDEX(CAT_GRUPO,MATCH($C3482,CAT_NOME,0)),"Sem categoria"))</f>
        <v/>
      </c>
      <c r="F3482" s="76" t="n"/>
      <c r="G3482" s="74" t="n"/>
      <c r="H3482" s="74" t="n"/>
      <c r="I3482" s="74" t="n"/>
      <c r="J3482" s="77" t="n"/>
      <c r="K3482" s="77" t="n"/>
      <c r="L3482" s="74" t="n"/>
      <c r="M3482" s="74" t="n"/>
      <c r="O3482" s="78">
        <f>IF($A3482="","",YEAR($A3482)*100+MONTH($A3482))</f>
        <v/>
      </c>
      <c r="P3482" s="79">
        <f>IF(OR($F3482="",$D3482=""),"",IF($D3482="Receita",$F3482,IF($D3482="Transferência",0,-$F3482)))</f>
        <v/>
      </c>
    </row>
    <row r="3483">
      <c r="A3483" s="73" t="n"/>
      <c r="B3483" s="74" t="n"/>
      <c r="C3483" s="74" t="n"/>
      <c r="D3483" s="75">
        <f>IF($C3483="","",IFERROR(INDEX(CAT_TIPO,MATCH($C3483,CAT_NOME,0)),"Sem categoria"))</f>
        <v/>
      </c>
      <c r="E3483" s="75">
        <f>IF($C3483="","",IFERROR(INDEX(CAT_GRUPO,MATCH($C3483,CAT_NOME,0)),"Sem categoria"))</f>
        <v/>
      </c>
      <c r="F3483" s="76" t="n"/>
      <c r="G3483" s="74" t="n"/>
      <c r="H3483" s="74" t="n"/>
      <c r="I3483" s="74" t="n"/>
      <c r="J3483" s="77" t="n"/>
      <c r="K3483" s="77" t="n"/>
      <c r="L3483" s="74" t="n"/>
      <c r="M3483" s="74" t="n"/>
      <c r="O3483" s="78">
        <f>IF($A3483="","",YEAR($A3483)*100+MONTH($A3483))</f>
        <v/>
      </c>
      <c r="P3483" s="79">
        <f>IF(OR($F3483="",$D3483=""),"",IF($D3483="Receita",$F3483,IF($D3483="Transferência",0,-$F3483)))</f>
        <v/>
      </c>
    </row>
    <row r="3484">
      <c r="A3484" s="73" t="n"/>
      <c r="B3484" s="74" t="n"/>
      <c r="C3484" s="74" t="n"/>
      <c r="D3484" s="75">
        <f>IF($C3484="","",IFERROR(INDEX(CAT_TIPO,MATCH($C3484,CAT_NOME,0)),"Sem categoria"))</f>
        <v/>
      </c>
      <c r="E3484" s="75">
        <f>IF($C3484="","",IFERROR(INDEX(CAT_GRUPO,MATCH($C3484,CAT_NOME,0)),"Sem categoria"))</f>
        <v/>
      </c>
      <c r="F3484" s="76" t="n"/>
      <c r="G3484" s="74" t="n"/>
      <c r="H3484" s="74" t="n"/>
      <c r="I3484" s="74" t="n"/>
      <c r="J3484" s="77" t="n"/>
      <c r="K3484" s="77" t="n"/>
      <c r="L3484" s="74" t="n"/>
      <c r="M3484" s="74" t="n"/>
      <c r="O3484" s="78">
        <f>IF($A3484="","",YEAR($A3484)*100+MONTH($A3484))</f>
        <v/>
      </c>
      <c r="P3484" s="79">
        <f>IF(OR($F3484="",$D3484=""),"",IF($D3484="Receita",$F3484,IF($D3484="Transferência",0,-$F3484)))</f>
        <v/>
      </c>
    </row>
    <row r="3485">
      <c r="A3485" s="73" t="n"/>
      <c r="B3485" s="74" t="n"/>
      <c r="C3485" s="74" t="n"/>
      <c r="D3485" s="75">
        <f>IF($C3485="","",IFERROR(INDEX(CAT_TIPO,MATCH($C3485,CAT_NOME,0)),"Sem categoria"))</f>
        <v/>
      </c>
      <c r="E3485" s="75">
        <f>IF($C3485="","",IFERROR(INDEX(CAT_GRUPO,MATCH($C3485,CAT_NOME,0)),"Sem categoria"))</f>
        <v/>
      </c>
      <c r="F3485" s="76" t="n"/>
      <c r="G3485" s="74" t="n"/>
      <c r="H3485" s="74" t="n"/>
      <c r="I3485" s="74" t="n"/>
      <c r="J3485" s="77" t="n"/>
      <c r="K3485" s="77" t="n"/>
      <c r="L3485" s="74" t="n"/>
      <c r="M3485" s="74" t="n"/>
      <c r="O3485" s="78">
        <f>IF($A3485="","",YEAR($A3485)*100+MONTH($A3485))</f>
        <v/>
      </c>
      <c r="P3485" s="79">
        <f>IF(OR($F3485="",$D3485=""),"",IF($D3485="Receita",$F3485,IF($D3485="Transferência",0,-$F3485)))</f>
        <v/>
      </c>
    </row>
    <row r="3486">
      <c r="A3486" s="73" t="n"/>
      <c r="B3486" s="74" t="n"/>
      <c r="C3486" s="74" t="n"/>
      <c r="D3486" s="75">
        <f>IF($C3486="","",IFERROR(INDEX(CAT_TIPO,MATCH($C3486,CAT_NOME,0)),"Sem categoria"))</f>
        <v/>
      </c>
      <c r="E3486" s="75">
        <f>IF($C3486="","",IFERROR(INDEX(CAT_GRUPO,MATCH($C3486,CAT_NOME,0)),"Sem categoria"))</f>
        <v/>
      </c>
      <c r="F3486" s="76" t="n"/>
      <c r="G3486" s="74" t="n"/>
      <c r="H3486" s="74" t="n"/>
      <c r="I3486" s="74" t="n"/>
      <c r="J3486" s="77" t="n"/>
      <c r="K3486" s="77" t="n"/>
      <c r="L3486" s="74" t="n"/>
      <c r="M3486" s="74" t="n"/>
      <c r="O3486" s="78">
        <f>IF($A3486="","",YEAR($A3486)*100+MONTH($A3486))</f>
        <v/>
      </c>
      <c r="P3486" s="79">
        <f>IF(OR($F3486="",$D3486=""),"",IF($D3486="Receita",$F3486,IF($D3486="Transferência",0,-$F3486)))</f>
        <v/>
      </c>
    </row>
    <row r="3487">
      <c r="A3487" s="73" t="n"/>
      <c r="B3487" s="74" t="n"/>
      <c r="C3487" s="74" t="n"/>
      <c r="D3487" s="75">
        <f>IF($C3487="","",IFERROR(INDEX(CAT_TIPO,MATCH($C3487,CAT_NOME,0)),"Sem categoria"))</f>
        <v/>
      </c>
      <c r="E3487" s="75">
        <f>IF($C3487="","",IFERROR(INDEX(CAT_GRUPO,MATCH($C3487,CAT_NOME,0)),"Sem categoria"))</f>
        <v/>
      </c>
      <c r="F3487" s="76" t="n"/>
      <c r="G3487" s="74" t="n"/>
      <c r="H3487" s="74" t="n"/>
      <c r="I3487" s="74" t="n"/>
      <c r="J3487" s="77" t="n"/>
      <c r="K3487" s="77" t="n"/>
      <c r="L3487" s="74" t="n"/>
      <c r="M3487" s="74" t="n"/>
      <c r="O3487" s="78">
        <f>IF($A3487="","",YEAR($A3487)*100+MONTH($A3487))</f>
        <v/>
      </c>
      <c r="P3487" s="79">
        <f>IF(OR($F3487="",$D3487=""),"",IF($D3487="Receita",$F3487,IF($D3487="Transferência",0,-$F3487)))</f>
        <v/>
      </c>
    </row>
    <row r="3488">
      <c r="A3488" s="73" t="n"/>
      <c r="B3488" s="74" t="n"/>
      <c r="C3488" s="74" t="n"/>
      <c r="D3488" s="75">
        <f>IF($C3488="","",IFERROR(INDEX(CAT_TIPO,MATCH($C3488,CAT_NOME,0)),"Sem categoria"))</f>
        <v/>
      </c>
      <c r="E3488" s="75">
        <f>IF($C3488="","",IFERROR(INDEX(CAT_GRUPO,MATCH($C3488,CAT_NOME,0)),"Sem categoria"))</f>
        <v/>
      </c>
      <c r="F3488" s="76" t="n"/>
      <c r="G3488" s="74" t="n"/>
      <c r="H3488" s="74" t="n"/>
      <c r="I3488" s="74" t="n"/>
      <c r="J3488" s="77" t="n"/>
      <c r="K3488" s="77" t="n"/>
      <c r="L3488" s="74" t="n"/>
      <c r="M3488" s="74" t="n"/>
      <c r="O3488" s="78">
        <f>IF($A3488="","",YEAR($A3488)*100+MONTH($A3488))</f>
        <v/>
      </c>
      <c r="P3488" s="79">
        <f>IF(OR($F3488="",$D3488=""),"",IF($D3488="Receita",$F3488,IF($D3488="Transferência",0,-$F3488)))</f>
        <v/>
      </c>
    </row>
    <row r="3489">
      <c r="A3489" s="73" t="n"/>
      <c r="B3489" s="74" t="n"/>
      <c r="C3489" s="74" t="n"/>
      <c r="D3489" s="75">
        <f>IF($C3489="","",IFERROR(INDEX(CAT_TIPO,MATCH($C3489,CAT_NOME,0)),"Sem categoria"))</f>
        <v/>
      </c>
      <c r="E3489" s="75">
        <f>IF($C3489="","",IFERROR(INDEX(CAT_GRUPO,MATCH($C3489,CAT_NOME,0)),"Sem categoria"))</f>
        <v/>
      </c>
      <c r="F3489" s="76" t="n"/>
      <c r="G3489" s="74" t="n"/>
      <c r="H3489" s="74" t="n"/>
      <c r="I3489" s="74" t="n"/>
      <c r="J3489" s="77" t="n"/>
      <c r="K3489" s="77" t="n"/>
      <c r="L3489" s="74" t="n"/>
      <c r="M3489" s="74" t="n"/>
      <c r="O3489" s="78">
        <f>IF($A3489="","",YEAR($A3489)*100+MONTH($A3489))</f>
        <v/>
      </c>
      <c r="P3489" s="79">
        <f>IF(OR($F3489="",$D3489=""),"",IF($D3489="Receita",$F3489,IF($D3489="Transferência",0,-$F3489)))</f>
        <v/>
      </c>
    </row>
    <row r="3490">
      <c r="A3490" s="73" t="n"/>
      <c r="B3490" s="74" t="n"/>
      <c r="C3490" s="74" t="n"/>
      <c r="D3490" s="75">
        <f>IF($C3490="","",IFERROR(INDEX(CAT_TIPO,MATCH($C3490,CAT_NOME,0)),"Sem categoria"))</f>
        <v/>
      </c>
      <c r="E3490" s="75">
        <f>IF($C3490="","",IFERROR(INDEX(CAT_GRUPO,MATCH($C3490,CAT_NOME,0)),"Sem categoria"))</f>
        <v/>
      </c>
      <c r="F3490" s="76" t="n"/>
      <c r="G3490" s="74" t="n"/>
      <c r="H3490" s="74" t="n"/>
      <c r="I3490" s="74" t="n"/>
      <c r="J3490" s="77" t="n"/>
      <c r="K3490" s="77" t="n"/>
      <c r="L3490" s="74" t="n"/>
      <c r="M3490" s="74" t="n"/>
      <c r="O3490" s="78">
        <f>IF($A3490="","",YEAR($A3490)*100+MONTH($A3490))</f>
        <v/>
      </c>
      <c r="P3490" s="79">
        <f>IF(OR($F3490="",$D3490=""),"",IF($D3490="Receita",$F3490,IF($D3490="Transferência",0,-$F3490)))</f>
        <v/>
      </c>
    </row>
    <row r="3491">
      <c r="A3491" s="73" t="n"/>
      <c r="B3491" s="74" t="n"/>
      <c r="C3491" s="74" t="n"/>
      <c r="D3491" s="75">
        <f>IF($C3491="","",IFERROR(INDEX(CAT_TIPO,MATCH($C3491,CAT_NOME,0)),"Sem categoria"))</f>
        <v/>
      </c>
      <c r="E3491" s="75">
        <f>IF($C3491="","",IFERROR(INDEX(CAT_GRUPO,MATCH($C3491,CAT_NOME,0)),"Sem categoria"))</f>
        <v/>
      </c>
      <c r="F3491" s="76" t="n"/>
      <c r="G3491" s="74" t="n"/>
      <c r="H3491" s="74" t="n"/>
      <c r="I3491" s="74" t="n"/>
      <c r="J3491" s="77" t="n"/>
      <c r="K3491" s="77" t="n"/>
      <c r="L3491" s="74" t="n"/>
      <c r="M3491" s="74" t="n"/>
      <c r="O3491" s="78">
        <f>IF($A3491="","",YEAR($A3491)*100+MONTH($A3491))</f>
        <v/>
      </c>
      <c r="P3491" s="79">
        <f>IF(OR($F3491="",$D3491=""),"",IF($D3491="Receita",$F3491,IF($D3491="Transferência",0,-$F3491)))</f>
        <v/>
      </c>
    </row>
    <row r="3492">
      <c r="A3492" s="73" t="n"/>
      <c r="B3492" s="74" t="n"/>
      <c r="C3492" s="74" t="n"/>
      <c r="D3492" s="75">
        <f>IF($C3492="","",IFERROR(INDEX(CAT_TIPO,MATCH($C3492,CAT_NOME,0)),"Sem categoria"))</f>
        <v/>
      </c>
      <c r="E3492" s="75">
        <f>IF($C3492="","",IFERROR(INDEX(CAT_GRUPO,MATCH($C3492,CAT_NOME,0)),"Sem categoria"))</f>
        <v/>
      </c>
      <c r="F3492" s="76" t="n"/>
      <c r="G3492" s="74" t="n"/>
      <c r="H3492" s="74" t="n"/>
      <c r="I3492" s="74" t="n"/>
      <c r="J3492" s="77" t="n"/>
      <c r="K3492" s="77" t="n"/>
      <c r="L3492" s="74" t="n"/>
      <c r="M3492" s="74" t="n"/>
      <c r="O3492" s="78">
        <f>IF($A3492="","",YEAR($A3492)*100+MONTH($A3492))</f>
        <v/>
      </c>
      <c r="P3492" s="79">
        <f>IF(OR($F3492="",$D3492=""),"",IF($D3492="Receita",$F3492,IF($D3492="Transferência",0,-$F3492)))</f>
        <v/>
      </c>
    </row>
    <row r="3493">
      <c r="A3493" s="73" t="n"/>
      <c r="B3493" s="74" t="n"/>
      <c r="C3493" s="74" t="n"/>
      <c r="D3493" s="75">
        <f>IF($C3493="","",IFERROR(INDEX(CAT_TIPO,MATCH($C3493,CAT_NOME,0)),"Sem categoria"))</f>
        <v/>
      </c>
      <c r="E3493" s="75">
        <f>IF($C3493="","",IFERROR(INDEX(CAT_GRUPO,MATCH($C3493,CAT_NOME,0)),"Sem categoria"))</f>
        <v/>
      </c>
      <c r="F3493" s="76" t="n"/>
      <c r="G3493" s="74" t="n"/>
      <c r="H3493" s="74" t="n"/>
      <c r="I3493" s="74" t="n"/>
      <c r="J3493" s="77" t="n"/>
      <c r="K3493" s="77" t="n"/>
      <c r="L3493" s="74" t="n"/>
      <c r="M3493" s="74" t="n"/>
      <c r="O3493" s="78">
        <f>IF($A3493="","",YEAR($A3493)*100+MONTH($A3493))</f>
        <v/>
      </c>
      <c r="P3493" s="79">
        <f>IF(OR($F3493="",$D3493=""),"",IF($D3493="Receita",$F3493,IF($D3493="Transferência",0,-$F3493)))</f>
        <v/>
      </c>
    </row>
    <row r="3494">
      <c r="A3494" s="73" t="n"/>
      <c r="B3494" s="74" t="n"/>
      <c r="C3494" s="74" t="n"/>
      <c r="D3494" s="75">
        <f>IF($C3494="","",IFERROR(INDEX(CAT_TIPO,MATCH($C3494,CAT_NOME,0)),"Sem categoria"))</f>
        <v/>
      </c>
      <c r="E3494" s="75">
        <f>IF($C3494="","",IFERROR(INDEX(CAT_GRUPO,MATCH($C3494,CAT_NOME,0)),"Sem categoria"))</f>
        <v/>
      </c>
      <c r="F3494" s="76" t="n"/>
      <c r="G3494" s="74" t="n"/>
      <c r="H3494" s="74" t="n"/>
      <c r="I3494" s="74" t="n"/>
      <c r="J3494" s="77" t="n"/>
      <c r="K3494" s="77" t="n"/>
      <c r="L3494" s="74" t="n"/>
      <c r="M3494" s="74" t="n"/>
      <c r="O3494" s="78">
        <f>IF($A3494="","",YEAR($A3494)*100+MONTH($A3494))</f>
        <v/>
      </c>
      <c r="P3494" s="79">
        <f>IF(OR($F3494="",$D3494=""),"",IF($D3494="Receita",$F3494,IF($D3494="Transferência",0,-$F3494)))</f>
        <v/>
      </c>
    </row>
    <row r="3495">
      <c r="A3495" s="73" t="n"/>
      <c r="B3495" s="74" t="n"/>
      <c r="C3495" s="74" t="n"/>
      <c r="D3495" s="75">
        <f>IF($C3495="","",IFERROR(INDEX(CAT_TIPO,MATCH($C3495,CAT_NOME,0)),"Sem categoria"))</f>
        <v/>
      </c>
      <c r="E3495" s="75">
        <f>IF($C3495="","",IFERROR(INDEX(CAT_GRUPO,MATCH($C3495,CAT_NOME,0)),"Sem categoria"))</f>
        <v/>
      </c>
      <c r="F3495" s="76" t="n"/>
      <c r="G3495" s="74" t="n"/>
      <c r="H3495" s="74" t="n"/>
      <c r="I3495" s="74" t="n"/>
      <c r="J3495" s="77" t="n"/>
      <c r="K3495" s="77" t="n"/>
      <c r="L3495" s="74" t="n"/>
      <c r="M3495" s="74" t="n"/>
      <c r="O3495" s="78">
        <f>IF($A3495="","",YEAR($A3495)*100+MONTH($A3495))</f>
        <v/>
      </c>
      <c r="P3495" s="79">
        <f>IF(OR($F3495="",$D3495=""),"",IF($D3495="Receita",$F3495,IF($D3495="Transferência",0,-$F3495)))</f>
        <v/>
      </c>
    </row>
    <row r="3496">
      <c r="A3496" s="73" t="n"/>
      <c r="B3496" s="74" t="n"/>
      <c r="C3496" s="74" t="n"/>
      <c r="D3496" s="75">
        <f>IF($C3496="","",IFERROR(INDEX(CAT_TIPO,MATCH($C3496,CAT_NOME,0)),"Sem categoria"))</f>
        <v/>
      </c>
      <c r="E3496" s="75">
        <f>IF($C3496="","",IFERROR(INDEX(CAT_GRUPO,MATCH($C3496,CAT_NOME,0)),"Sem categoria"))</f>
        <v/>
      </c>
      <c r="F3496" s="76" t="n"/>
      <c r="G3496" s="74" t="n"/>
      <c r="H3496" s="74" t="n"/>
      <c r="I3496" s="74" t="n"/>
      <c r="J3496" s="77" t="n"/>
      <c r="K3496" s="77" t="n"/>
      <c r="L3496" s="74" t="n"/>
      <c r="M3496" s="74" t="n"/>
      <c r="O3496" s="78">
        <f>IF($A3496="","",YEAR($A3496)*100+MONTH($A3496))</f>
        <v/>
      </c>
      <c r="P3496" s="79">
        <f>IF(OR($F3496="",$D3496=""),"",IF($D3496="Receita",$F3496,IF($D3496="Transferência",0,-$F3496)))</f>
        <v/>
      </c>
    </row>
    <row r="3497">
      <c r="A3497" s="73" t="n"/>
      <c r="B3497" s="74" t="n"/>
      <c r="C3497" s="74" t="n"/>
      <c r="D3497" s="75">
        <f>IF($C3497="","",IFERROR(INDEX(CAT_TIPO,MATCH($C3497,CAT_NOME,0)),"Sem categoria"))</f>
        <v/>
      </c>
      <c r="E3497" s="75">
        <f>IF($C3497="","",IFERROR(INDEX(CAT_GRUPO,MATCH($C3497,CAT_NOME,0)),"Sem categoria"))</f>
        <v/>
      </c>
      <c r="F3497" s="76" t="n"/>
      <c r="G3497" s="74" t="n"/>
      <c r="H3497" s="74" t="n"/>
      <c r="I3497" s="74" t="n"/>
      <c r="J3497" s="77" t="n"/>
      <c r="K3497" s="77" t="n"/>
      <c r="L3497" s="74" t="n"/>
      <c r="M3497" s="74" t="n"/>
      <c r="O3497" s="78">
        <f>IF($A3497="","",YEAR($A3497)*100+MONTH($A3497))</f>
        <v/>
      </c>
      <c r="P3497" s="79">
        <f>IF(OR($F3497="",$D3497=""),"",IF($D3497="Receita",$F3497,IF($D3497="Transferência",0,-$F3497)))</f>
        <v/>
      </c>
    </row>
    <row r="3498">
      <c r="A3498" s="73" t="n"/>
      <c r="B3498" s="74" t="n"/>
      <c r="C3498" s="74" t="n"/>
      <c r="D3498" s="75">
        <f>IF($C3498="","",IFERROR(INDEX(CAT_TIPO,MATCH($C3498,CAT_NOME,0)),"Sem categoria"))</f>
        <v/>
      </c>
      <c r="E3498" s="75">
        <f>IF($C3498="","",IFERROR(INDEX(CAT_GRUPO,MATCH($C3498,CAT_NOME,0)),"Sem categoria"))</f>
        <v/>
      </c>
      <c r="F3498" s="76" t="n"/>
      <c r="G3498" s="74" t="n"/>
      <c r="H3498" s="74" t="n"/>
      <c r="I3498" s="74" t="n"/>
      <c r="J3498" s="77" t="n"/>
      <c r="K3498" s="77" t="n"/>
      <c r="L3498" s="74" t="n"/>
      <c r="M3498" s="74" t="n"/>
      <c r="O3498" s="78">
        <f>IF($A3498="","",YEAR($A3498)*100+MONTH($A3498))</f>
        <v/>
      </c>
      <c r="P3498" s="79">
        <f>IF(OR($F3498="",$D3498=""),"",IF($D3498="Receita",$F3498,IF($D3498="Transferência",0,-$F3498)))</f>
        <v/>
      </c>
    </row>
    <row r="3499">
      <c r="A3499" s="73" t="n"/>
      <c r="B3499" s="74" t="n"/>
      <c r="C3499" s="74" t="n"/>
      <c r="D3499" s="75">
        <f>IF($C3499="","",IFERROR(INDEX(CAT_TIPO,MATCH($C3499,CAT_NOME,0)),"Sem categoria"))</f>
        <v/>
      </c>
      <c r="E3499" s="75">
        <f>IF($C3499="","",IFERROR(INDEX(CAT_GRUPO,MATCH($C3499,CAT_NOME,0)),"Sem categoria"))</f>
        <v/>
      </c>
      <c r="F3499" s="76" t="n"/>
      <c r="G3499" s="74" t="n"/>
      <c r="H3499" s="74" t="n"/>
      <c r="I3499" s="74" t="n"/>
      <c r="J3499" s="77" t="n"/>
      <c r="K3499" s="77" t="n"/>
      <c r="L3499" s="74" t="n"/>
      <c r="M3499" s="74" t="n"/>
      <c r="O3499" s="78">
        <f>IF($A3499="","",YEAR($A3499)*100+MONTH($A3499))</f>
        <v/>
      </c>
      <c r="P3499" s="79">
        <f>IF(OR($F3499="",$D3499=""),"",IF($D3499="Receita",$F3499,IF($D3499="Transferência",0,-$F3499)))</f>
        <v/>
      </c>
    </row>
    <row r="3500">
      <c r="A3500" s="73" t="n"/>
      <c r="B3500" s="74" t="n"/>
      <c r="C3500" s="74" t="n"/>
      <c r="D3500" s="75">
        <f>IF($C3500="","",IFERROR(INDEX(CAT_TIPO,MATCH($C3500,CAT_NOME,0)),"Sem categoria"))</f>
        <v/>
      </c>
      <c r="E3500" s="75">
        <f>IF($C3500="","",IFERROR(INDEX(CAT_GRUPO,MATCH($C3500,CAT_NOME,0)),"Sem categoria"))</f>
        <v/>
      </c>
      <c r="F3500" s="76" t="n"/>
      <c r="G3500" s="74" t="n"/>
      <c r="H3500" s="74" t="n"/>
      <c r="I3500" s="74" t="n"/>
      <c r="J3500" s="77" t="n"/>
      <c r="K3500" s="77" t="n"/>
      <c r="L3500" s="74" t="n"/>
      <c r="M3500" s="74" t="n"/>
      <c r="O3500" s="78">
        <f>IF($A3500="","",YEAR($A3500)*100+MONTH($A3500))</f>
        <v/>
      </c>
      <c r="P3500" s="79">
        <f>IF(OR($F3500="",$D3500=""),"",IF($D3500="Receita",$F3500,IF($D3500="Transferência",0,-$F3500)))</f>
        <v/>
      </c>
    </row>
    <row r="3501">
      <c r="A3501" s="73" t="n"/>
      <c r="B3501" s="74" t="n"/>
      <c r="C3501" s="74" t="n"/>
      <c r="D3501" s="75">
        <f>IF($C3501="","",IFERROR(INDEX(CAT_TIPO,MATCH($C3501,CAT_NOME,0)),"Sem categoria"))</f>
        <v/>
      </c>
      <c r="E3501" s="75">
        <f>IF($C3501="","",IFERROR(INDEX(CAT_GRUPO,MATCH($C3501,CAT_NOME,0)),"Sem categoria"))</f>
        <v/>
      </c>
      <c r="F3501" s="76" t="n"/>
      <c r="G3501" s="74" t="n"/>
      <c r="H3501" s="74" t="n"/>
      <c r="I3501" s="74" t="n"/>
      <c r="J3501" s="77" t="n"/>
      <c r="K3501" s="77" t="n"/>
      <c r="L3501" s="74" t="n"/>
      <c r="M3501" s="74" t="n"/>
      <c r="O3501" s="78">
        <f>IF($A3501="","",YEAR($A3501)*100+MONTH($A3501))</f>
        <v/>
      </c>
      <c r="P3501" s="79">
        <f>IF(OR($F3501="",$D3501=""),"",IF($D3501="Receita",$F3501,IF($D3501="Transferência",0,-$F3501)))</f>
        <v/>
      </c>
    </row>
    <row r="3502">
      <c r="A3502" s="73" t="n"/>
      <c r="B3502" s="74" t="n"/>
      <c r="C3502" s="74" t="n"/>
      <c r="D3502" s="75">
        <f>IF($C3502="","",IFERROR(INDEX(CAT_TIPO,MATCH($C3502,CAT_NOME,0)),"Sem categoria"))</f>
        <v/>
      </c>
      <c r="E3502" s="75">
        <f>IF($C3502="","",IFERROR(INDEX(CAT_GRUPO,MATCH($C3502,CAT_NOME,0)),"Sem categoria"))</f>
        <v/>
      </c>
      <c r="F3502" s="76" t="n"/>
      <c r="G3502" s="74" t="n"/>
      <c r="H3502" s="74" t="n"/>
      <c r="I3502" s="74" t="n"/>
      <c r="J3502" s="77" t="n"/>
      <c r="K3502" s="77" t="n"/>
      <c r="L3502" s="74" t="n"/>
      <c r="M3502" s="74" t="n"/>
      <c r="O3502" s="78">
        <f>IF($A3502="","",YEAR($A3502)*100+MONTH($A3502))</f>
        <v/>
      </c>
      <c r="P3502" s="79">
        <f>IF(OR($F3502="",$D3502=""),"",IF($D3502="Receita",$F3502,IF($D3502="Transferência",0,-$F3502)))</f>
        <v/>
      </c>
    </row>
    <row r="3503">
      <c r="A3503" s="73" t="n"/>
      <c r="B3503" s="74" t="n"/>
      <c r="C3503" s="74" t="n"/>
      <c r="D3503" s="75">
        <f>IF($C3503="","",IFERROR(INDEX(CAT_TIPO,MATCH($C3503,CAT_NOME,0)),"Sem categoria"))</f>
        <v/>
      </c>
      <c r="E3503" s="75">
        <f>IF($C3503="","",IFERROR(INDEX(CAT_GRUPO,MATCH($C3503,CAT_NOME,0)),"Sem categoria"))</f>
        <v/>
      </c>
      <c r="F3503" s="76" t="n"/>
      <c r="G3503" s="74" t="n"/>
      <c r="H3503" s="74" t="n"/>
      <c r="I3503" s="74" t="n"/>
      <c r="J3503" s="77" t="n"/>
      <c r="K3503" s="77" t="n"/>
      <c r="L3503" s="74" t="n"/>
      <c r="M3503" s="74" t="n"/>
      <c r="O3503" s="78">
        <f>IF($A3503="","",YEAR($A3503)*100+MONTH($A3503))</f>
        <v/>
      </c>
      <c r="P3503" s="79">
        <f>IF(OR($F3503="",$D3503=""),"",IF($D3503="Receita",$F3503,IF($D3503="Transferência",0,-$F3503)))</f>
        <v/>
      </c>
    </row>
    <row r="3504">
      <c r="A3504" s="73" t="n"/>
      <c r="B3504" s="74" t="n"/>
      <c r="C3504" s="74" t="n"/>
      <c r="D3504" s="75">
        <f>IF($C3504="","",IFERROR(INDEX(CAT_TIPO,MATCH($C3504,CAT_NOME,0)),"Sem categoria"))</f>
        <v/>
      </c>
      <c r="E3504" s="75">
        <f>IF($C3504="","",IFERROR(INDEX(CAT_GRUPO,MATCH($C3504,CAT_NOME,0)),"Sem categoria"))</f>
        <v/>
      </c>
      <c r="F3504" s="76" t="n"/>
      <c r="G3504" s="74" t="n"/>
      <c r="H3504" s="74" t="n"/>
      <c r="I3504" s="74" t="n"/>
      <c r="J3504" s="77" t="n"/>
      <c r="K3504" s="77" t="n"/>
      <c r="L3504" s="74" t="n"/>
      <c r="M3504" s="74" t="n"/>
      <c r="O3504" s="78">
        <f>IF($A3504="","",YEAR($A3504)*100+MONTH($A3504))</f>
        <v/>
      </c>
      <c r="P3504" s="79">
        <f>IF(OR($F3504="",$D3504=""),"",IF($D3504="Receita",$F3504,IF($D3504="Transferência",0,-$F3504)))</f>
        <v/>
      </c>
    </row>
    <row r="3505">
      <c r="A3505" s="73" t="n"/>
      <c r="B3505" s="74" t="n"/>
      <c r="C3505" s="74" t="n"/>
      <c r="D3505" s="75">
        <f>IF($C3505="","",IFERROR(INDEX(CAT_TIPO,MATCH($C3505,CAT_NOME,0)),"Sem categoria"))</f>
        <v/>
      </c>
      <c r="E3505" s="75">
        <f>IF($C3505="","",IFERROR(INDEX(CAT_GRUPO,MATCH($C3505,CAT_NOME,0)),"Sem categoria"))</f>
        <v/>
      </c>
      <c r="F3505" s="76" t="n"/>
      <c r="G3505" s="74" t="n"/>
      <c r="H3505" s="74" t="n"/>
      <c r="I3505" s="74" t="n"/>
      <c r="J3505" s="77" t="n"/>
      <c r="K3505" s="77" t="n"/>
      <c r="L3505" s="74" t="n"/>
      <c r="M3505" s="74" t="n"/>
      <c r="O3505" s="78">
        <f>IF($A3505="","",YEAR($A3505)*100+MONTH($A3505))</f>
        <v/>
      </c>
      <c r="P3505" s="79">
        <f>IF(OR($F3505="",$D3505=""),"",IF($D3505="Receita",$F3505,IF($D3505="Transferência",0,-$F3505)))</f>
        <v/>
      </c>
    </row>
    <row r="3506">
      <c r="A3506" s="73" t="n"/>
      <c r="B3506" s="74" t="n"/>
      <c r="C3506" s="74" t="n"/>
      <c r="D3506" s="75">
        <f>IF($C3506="","",IFERROR(INDEX(CAT_TIPO,MATCH($C3506,CAT_NOME,0)),"Sem categoria"))</f>
        <v/>
      </c>
      <c r="E3506" s="75">
        <f>IF($C3506="","",IFERROR(INDEX(CAT_GRUPO,MATCH($C3506,CAT_NOME,0)),"Sem categoria"))</f>
        <v/>
      </c>
      <c r="F3506" s="76" t="n"/>
      <c r="G3506" s="74" t="n"/>
      <c r="H3506" s="74" t="n"/>
      <c r="I3506" s="74" t="n"/>
      <c r="J3506" s="77" t="n"/>
      <c r="K3506" s="77" t="n"/>
      <c r="L3506" s="74" t="n"/>
      <c r="M3506" s="74" t="n"/>
      <c r="O3506" s="78">
        <f>IF($A3506="","",YEAR($A3506)*100+MONTH($A3506))</f>
        <v/>
      </c>
      <c r="P3506" s="79">
        <f>IF(OR($F3506="",$D3506=""),"",IF($D3506="Receita",$F3506,IF($D3506="Transferência",0,-$F3506)))</f>
        <v/>
      </c>
    </row>
    <row r="3507">
      <c r="A3507" s="73" t="n"/>
      <c r="B3507" s="74" t="n"/>
      <c r="C3507" s="74" t="n"/>
      <c r="D3507" s="75">
        <f>IF($C3507="","",IFERROR(INDEX(CAT_TIPO,MATCH($C3507,CAT_NOME,0)),"Sem categoria"))</f>
        <v/>
      </c>
      <c r="E3507" s="75">
        <f>IF($C3507="","",IFERROR(INDEX(CAT_GRUPO,MATCH($C3507,CAT_NOME,0)),"Sem categoria"))</f>
        <v/>
      </c>
      <c r="F3507" s="76" t="n"/>
      <c r="G3507" s="74" t="n"/>
      <c r="H3507" s="74" t="n"/>
      <c r="I3507" s="74" t="n"/>
      <c r="J3507" s="77" t="n"/>
      <c r="K3507" s="77" t="n"/>
      <c r="L3507" s="74" t="n"/>
      <c r="M3507" s="74" t="n"/>
      <c r="O3507" s="78">
        <f>IF($A3507="","",YEAR($A3507)*100+MONTH($A3507))</f>
        <v/>
      </c>
      <c r="P3507" s="79">
        <f>IF(OR($F3507="",$D3507=""),"",IF($D3507="Receita",$F3507,IF($D3507="Transferência",0,-$F3507)))</f>
        <v/>
      </c>
    </row>
    <row r="3508">
      <c r="A3508" s="73" t="n"/>
      <c r="B3508" s="74" t="n"/>
      <c r="C3508" s="74" t="n"/>
      <c r="D3508" s="75">
        <f>IF($C3508="","",IFERROR(INDEX(CAT_TIPO,MATCH($C3508,CAT_NOME,0)),"Sem categoria"))</f>
        <v/>
      </c>
      <c r="E3508" s="75">
        <f>IF($C3508="","",IFERROR(INDEX(CAT_GRUPO,MATCH($C3508,CAT_NOME,0)),"Sem categoria"))</f>
        <v/>
      </c>
      <c r="F3508" s="76" t="n"/>
      <c r="G3508" s="74" t="n"/>
      <c r="H3508" s="74" t="n"/>
      <c r="I3508" s="74" t="n"/>
      <c r="J3508" s="77" t="n"/>
      <c r="K3508" s="77" t="n"/>
      <c r="L3508" s="74" t="n"/>
      <c r="M3508" s="74" t="n"/>
      <c r="O3508" s="78">
        <f>IF($A3508="","",YEAR($A3508)*100+MONTH($A3508))</f>
        <v/>
      </c>
      <c r="P3508" s="79">
        <f>IF(OR($F3508="",$D3508=""),"",IF($D3508="Receita",$F3508,IF($D3508="Transferência",0,-$F3508)))</f>
        <v/>
      </c>
    </row>
    <row r="3509">
      <c r="A3509" s="73" t="n"/>
      <c r="B3509" s="74" t="n"/>
      <c r="C3509" s="74" t="n"/>
      <c r="D3509" s="75">
        <f>IF($C3509="","",IFERROR(INDEX(CAT_TIPO,MATCH($C3509,CAT_NOME,0)),"Sem categoria"))</f>
        <v/>
      </c>
      <c r="E3509" s="75">
        <f>IF($C3509="","",IFERROR(INDEX(CAT_GRUPO,MATCH($C3509,CAT_NOME,0)),"Sem categoria"))</f>
        <v/>
      </c>
      <c r="F3509" s="76" t="n"/>
      <c r="G3509" s="74" t="n"/>
      <c r="H3509" s="74" t="n"/>
      <c r="I3509" s="74" t="n"/>
      <c r="J3509" s="77" t="n"/>
      <c r="K3509" s="77" t="n"/>
      <c r="L3509" s="74" t="n"/>
      <c r="M3509" s="74" t="n"/>
      <c r="O3509" s="78">
        <f>IF($A3509="","",YEAR($A3509)*100+MONTH($A3509))</f>
        <v/>
      </c>
      <c r="P3509" s="79">
        <f>IF(OR($F3509="",$D3509=""),"",IF($D3509="Receita",$F3509,IF($D3509="Transferência",0,-$F3509)))</f>
        <v/>
      </c>
    </row>
    <row r="3510">
      <c r="A3510" s="73" t="n"/>
      <c r="B3510" s="74" t="n"/>
      <c r="C3510" s="74" t="n"/>
      <c r="D3510" s="75">
        <f>IF($C3510="","",IFERROR(INDEX(CAT_TIPO,MATCH($C3510,CAT_NOME,0)),"Sem categoria"))</f>
        <v/>
      </c>
      <c r="E3510" s="75">
        <f>IF($C3510="","",IFERROR(INDEX(CAT_GRUPO,MATCH($C3510,CAT_NOME,0)),"Sem categoria"))</f>
        <v/>
      </c>
      <c r="F3510" s="76" t="n"/>
      <c r="G3510" s="74" t="n"/>
      <c r="H3510" s="74" t="n"/>
      <c r="I3510" s="74" t="n"/>
      <c r="J3510" s="77" t="n"/>
      <c r="K3510" s="77" t="n"/>
      <c r="L3510" s="74" t="n"/>
      <c r="M3510" s="74" t="n"/>
      <c r="O3510" s="78">
        <f>IF($A3510="","",YEAR($A3510)*100+MONTH($A3510))</f>
        <v/>
      </c>
      <c r="P3510" s="79">
        <f>IF(OR($F3510="",$D3510=""),"",IF($D3510="Receita",$F3510,IF($D3510="Transferência",0,-$F3510)))</f>
        <v/>
      </c>
    </row>
    <row r="3511">
      <c r="A3511" s="73" t="n"/>
      <c r="B3511" s="74" t="n"/>
      <c r="C3511" s="74" t="n"/>
      <c r="D3511" s="75">
        <f>IF($C3511="","",IFERROR(INDEX(CAT_TIPO,MATCH($C3511,CAT_NOME,0)),"Sem categoria"))</f>
        <v/>
      </c>
      <c r="E3511" s="75">
        <f>IF($C3511="","",IFERROR(INDEX(CAT_GRUPO,MATCH($C3511,CAT_NOME,0)),"Sem categoria"))</f>
        <v/>
      </c>
      <c r="F3511" s="76" t="n"/>
      <c r="G3511" s="74" t="n"/>
      <c r="H3511" s="74" t="n"/>
      <c r="I3511" s="74" t="n"/>
      <c r="J3511" s="77" t="n"/>
      <c r="K3511" s="77" t="n"/>
      <c r="L3511" s="74" t="n"/>
      <c r="M3511" s="74" t="n"/>
      <c r="O3511" s="78">
        <f>IF($A3511="","",YEAR($A3511)*100+MONTH($A3511))</f>
        <v/>
      </c>
      <c r="P3511" s="79">
        <f>IF(OR($F3511="",$D3511=""),"",IF($D3511="Receita",$F3511,IF($D3511="Transferência",0,-$F3511)))</f>
        <v/>
      </c>
    </row>
    <row r="3512">
      <c r="A3512" s="73" t="n"/>
      <c r="B3512" s="74" t="n"/>
      <c r="C3512" s="74" t="n"/>
      <c r="D3512" s="75">
        <f>IF($C3512="","",IFERROR(INDEX(CAT_TIPO,MATCH($C3512,CAT_NOME,0)),"Sem categoria"))</f>
        <v/>
      </c>
      <c r="E3512" s="75">
        <f>IF($C3512="","",IFERROR(INDEX(CAT_GRUPO,MATCH($C3512,CAT_NOME,0)),"Sem categoria"))</f>
        <v/>
      </c>
      <c r="F3512" s="76" t="n"/>
      <c r="G3512" s="74" t="n"/>
      <c r="H3512" s="74" t="n"/>
      <c r="I3512" s="74" t="n"/>
      <c r="J3512" s="77" t="n"/>
      <c r="K3512" s="77" t="n"/>
      <c r="L3512" s="74" t="n"/>
      <c r="M3512" s="74" t="n"/>
      <c r="O3512" s="78">
        <f>IF($A3512="","",YEAR($A3512)*100+MONTH($A3512))</f>
        <v/>
      </c>
      <c r="P3512" s="79">
        <f>IF(OR($F3512="",$D3512=""),"",IF($D3512="Receita",$F3512,IF($D3512="Transferência",0,-$F3512)))</f>
        <v/>
      </c>
    </row>
    <row r="3513">
      <c r="A3513" s="73" t="n"/>
      <c r="B3513" s="74" t="n"/>
      <c r="C3513" s="74" t="n"/>
      <c r="D3513" s="75">
        <f>IF($C3513="","",IFERROR(INDEX(CAT_TIPO,MATCH($C3513,CAT_NOME,0)),"Sem categoria"))</f>
        <v/>
      </c>
      <c r="E3513" s="75">
        <f>IF($C3513="","",IFERROR(INDEX(CAT_GRUPO,MATCH($C3513,CAT_NOME,0)),"Sem categoria"))</f>
        <v/>
      </c>
      <c r="F3513" s="76" t="n"/>
      <c r="G3513" s="74" t="n"/>
      <c r="H3513" s="74" t="n"/>
      <c r="I3513" s="74" t="n"/>
      <c r="J3513" s="77" t="n"/>
      <c r="K3513" s="77" t="n"/>
      <c r="L3513" s="74" t="n"/>
      <c r="M3513" s="74" t="n"/>
      <c r="O3513" s="78">
        <f>IF($A3513="","",YEAR($A3513)*100+MONTH($A3513))</f>
        <v/>
      </c>
      <c r="P3513" s="79">
        <f>IF(OR($F3513="",$D3513=""),"",IF($D3513="Receita",$F3513,IF($D3513="Transferência",0,-$F3513)))</f>
        <v/>
      </c>
    </row>
    <row r="3514">
      <c r="A3514" s="73" t="n"/>
      <c r="B3514" s="74" t="n"/>
      <c r="C3514" s="74" t="n"/>
      <c r="D3514" s="75">
        <f>IF($C3514="","",IFERROR(INDEX(CAT_TIPO,MATCH($C3514,CAT_NOME,0)),"Sem categoria"))</f>
        <v/>
      </c>
      <c r="E3514" s="75">
        <f>IF($C3514="","",IFERROR(INDEX(CAT_GRUPO,MATCH($C3514,CAT_NOME,0)),"Sem categoria"))</f>
        <v/>
      </c>
      <c r="F3514" s="76" t="n"/>
      <c r="G3514" s="74" t="n"/>
      <c r="H3514" s="74" t="n"/>
      <c r="I3514" s="74" t="n"/>
      <c r="J3514" s="77" t="n"/>
      <c r="K3514" s="77" t="n"/>
      <c r="L3514" s="74" t="n"/>
      <c r="M3514" s="74" t="n"/>
      <c r="O3514" s="78">
        <f>IF($A3514="","",YEAR($A3514)*100+MONTH($A3514))</f>
        <v/>
      </c>
      <c r="P3514" s="79">
        <f>IF(OR($F3514="",$D3514=""),"",IF($D3514="Receita",$F3514,IF($D3514="Transferência",0,-$F3514)))</f>
        <v/>
      </c>
    </row>
    <row r="3515">
      <c r="A3515" s="73" t="n"/>
      <c r="B3515" s="74" t="n"/>
      <c r="C3515" s="74" t="n"/>
      <c r="D3515" s="75">
        <f>IF($C3515="","",IFERROR(INDEX(CAT_TIPO,MATCH($C3515,CAT_NOME,0)),"Sem categoria"))</f>
        <v/>
      </c>
      <c r="E3515" s="75">
        <f>IF($C3515="","",IFERROR(INDEX(CAT_GRUPO,MATCH($C3515,CAT_NOME,0)),"Sem categoria"))</f>
        <v/>
      </c>
      <c r="F3515" s="76" t="n"/>
      <c r="G3515" s="74" t="n"/>
      <c r="H3515" s="74" t="n"/>
      <c r="I3515" s="74" t="n"/>
      <c r="J3515" s="77" t="n"/>
      <c r="K3515" s="77" t="n"/>
      <c r="L3515" s="74" t="n"/>
      <c r="M3515" s="74" t="n"/>
      <c r="O3515" s="78">
        <f>IF($A3515="","",YEAR($A3515)*100+MONTH($A3515))</f>
        <v/>
      </c>
      <c r="P3515" s="79">
        <f>IF(OR($F3515="",$D3515=""),"",IF($D3515="Receita",$F3515,IF($D3515="Transferência",0,-$F3515)))</f>
        <v/>
      </c>
    </row>
    <row r="3516">
      <c r="A3516" s="73" t="n"/>
      <c r="B3516" s="74" t="n"/>
      <c r="C3516" s="74" t="n"/>
      <c r="D3516" s="75">
        <f>IF($C3516="","",IFERROR(INDEX(CAT_TIPO,MATCH($C3516,CAT_NOME,0)),"Sem categoria"))</f>
        <v/>
      </c>
      <c r="E3516" s="75">
        <f>IF($C3516="","",IFERROR(INDEX(CAT_GRUPO,MATCH($C3516,CAT_NOME,0)),"Sem categoria"))</f>
        <v/>
      </c>
      <c r="F3516" s="76" t="n"/>
      <c r="G3516" s="74" t="n"/>
      <c r="H3516" s="74" t="n"/>
      <c r="I3516" s="74" t="n"/>
      <c r="J3516" s="77" t="n"/>
      <c r="K3516" s="77" t="n"/>
      <c r="L3516" s="74" t="n"/>
      <c r="M3516" s="74" t="n"/>
      <c r="O3516" s="78">
        <f>IF($A3516="","",YEAR($A3516)*100+MONTH($A3516))</f>
        <v/>
      </c>
      <c r="P3516" s="79">
        <f>IF(OR($F3516="",$D3516=""),"",IF($D3516="Receita",$F3516,IF($D3516="Transferência",0,-$F3516)))</f>
        <v/>
      </c>
    </row>
    <row r="3517">
      <c r="A3517" s="73" t="n"/>
      <c r="B3517" s="74" t="n"/>
      <c r="C3517" s="74" t="n"/>
      <c r="D3517" s="75">
        <f>IF($C3517="","",IFERROR(INDEX(CAT_TIPO,MATCH($C3517,CAT_NOME,0)),"Sem categoria"))</f>
        <v/>
      </c>
      <c r="E3517" s="75">
        <f>IF($C3517="","",IFERROR(INDEX(CAT_GRUPO,MATCH($C3517,CAT_NOME,0)),"Sem categoria"))</f>
        <v/>
      </c>
      <c r="F3517" s="76" t="n"/>
      <c r="G3517" s="74" t="n"/>
      <c r="H3517" s="74" t="n"/>
      <c r="I3517" s="74" t="n"/>
      <c r="J3517" s="77" t="n"/>
      <c r="K3517" s="77" t="n"/>
      <c r="L3517" s="74" t="n"/>
      <c r="M3517" s="74" t="n"/>
      <c r="O3517" s="78">
        <f>IF($A3517="","",YEAR($A3517)*100+MONTH($A3517))</f>
        <v/>
      </c>
      <c r="P3517" s="79">
        <f>IF(OR($F3517="",$D3517=""),"",IF($D3517="Receita",$F3517,IF($D3517="Transferência",0,-$F3517)))</f>
        <v/>
      </c>
    </row>
    <row r="3518">
      <c r="A3518" s="73" t="n"/>
      <c r="B3518" s="74" t="n"/>
      <c r="C3518" s="74" t="n"/>
      <c r="D3518" s="75">
        <f>IF($C3518="","",IFERROR(INDEX(CAT_TIPO,MATCH($C3518,CAT_NOME,0)),"Sem categoria"))</f>
        <v/>
      </c>
      <c r="E3518" s="75">
        <f>IF($C3518="","",IFERROR(INDEX(CAT_GRUPO,MATCH($C3518,CAT_NOME,0)),"Sem categoria"))</f>
        <v/>
      </c>
      <c r="F3518" s="76" t="n"/>
      <c r="G3518" s="74" t="n"/>
      <c r="H3518" s="74" t="n"/>
      <c r="I3518" s="74" t="n"/>
      <c r="J3518" s="77" t="n"/>
      <c r="K3518" s="77" t="n"/>
      <c r="L3518" s="74" t="n"/>
      <c r="M3518" s="74" t="n"/>
      <c r="O3518" s="78">
        <f>IF($A3518="","",YEAR($A3518)*100+MONTH($A3518))</f>
        <v/>
      </c>
      <c r="P3518" s="79">
        <f>IF(OR($F3518="",$D3518=""),"",IF($D3518="Receita",$F3518,IF($D3518="Transferência",0,-$F3518)))</f>
        <v/>
      </c>
    </row>
    <row r="3519">
      <c r="A3519" s="73" t="n"/>
      <c r="B3519" s="74" t="n"/>
      <c r="C3519" s="74" t="n"/>
      <c r="D3519" s="75">
        <f>IF($C3519="","",IFERROR(INDEX(CAT_TIPO,MATCH($C3519,CAT_NOME,0)),"Sem categoria"))</f>
        <v/>
      </c>
      <c r="E3519" s="75">
        <f>IF($C3519="","",IFERROR(INDEX(CAT_GRUPO,MATCH($C3519,CAT_NOME,0)),"Sem categoria"))</f>
        <v/>
      </c>
      <c r="F3519" s="76" t="n"/>
      <c r="G3519" s="74" t="n"/>
      <c r="H3519" s="74" t="n"/>
      <c r="I3519" s="74" t="n"/>
      <c r="J3519" s="77" t="n"/>
      <c r="K3519" s="77" t="n"/>
      <c r="L3519" s="74" t="n"/>
      <c r="M3519" s="74" t="n"/>
      <c r="O3519" s="78">
        <f>IF($A3519="","",YEAR($A3519)*100+MONTH($A3519))</f>
        <v/>
      </c>
      <c r="P3519" s="79">
        <f>IF(OR($F3519="",$D3519=""),"",IF($D3519="Receita",$F3519,IF($D3519="Transferência",0,-$F3519)))</f>
        <v/>
      </c>
    </row>
    <row r="3520">
      <c r="A3520" s="73" t="n"/>
      <c r="B3520" s="74" t="n"/>
      <c r="C3520" s="74" t="n"/>
      <c r="D3520" s="75">
        <f>IF($C3520="","",IFERROR(INDEX(CAT_TIPO,MATCH($C3520,CAT_NOME,0)),"Sem categoria"))</f>
        <v/>
      </c>
      <c r="E3520" s="75">
        <f>IF($C3520="","",IFERROR(INDEX(CAT_GRUPO,MATCH($C3520,CAT_NOME,0)),"Sem categoria"))</f>
        <v/>
      </c>
      <c r="F3520" s="76" t="n"/>
      <c r="G3520" s="74" t="n"/>
      <c r="H3520" s="74" t="n"/>
      <c r="I3520" s="74" t="n"/>
      <c r="J3520" s="77" t="n"/>
      <c r="K3520" s="77" t="n"/>
      <c r="L3520" s="74" t="n"/>
      <c r="M3520" s="74" t="n"/>
      <c r="O3520" s="78">
        <f>IF($A3520="","",YEAR($A3520)*100+MONTH($A3520))</f>
        <v/>
      </c>
      <c r="P3520" s="79">
        <f>IF(OR($F3520="",$D3520=""),"",IF($D3520="Receita",$F3520,IF($D3520="Transferência",0,-$F3520)))</f>
        <v/>
      </c>
    </row>
    <row r="3521">
      <c r="A3521" s="73" t="n"/>
      <c r="B3521" s="74" t="n"/>
      <c r="C3521" s="74" t="n"/>
      <c r="D3521" s="75">
        <f>IF($C3521="","",IFERROR(INDEX(CAT_TIPO,MATCH($C3521,CAT_NOME,0)),"Sem categoria"))</f>
        <v/>
      </c>
      <c r="E3521" s="75">
        <f>IF($C3521="","",IFERROR(INDEX(CAT_GRUPO,MATCH($C3521,CAT_NOME,0)),"Sem categoria"))</f>
        <v/>
      </c>
      <c r="F3521" s="76" t="n"/>
      <c r="G3521" s="74" t="n"/>
      <c r="H3521" s="74" t="n"/>
      <c r="I3521" s="74" t="n"/>
      <c r="J3521" s="77" t="n"/>
      <c r="K3521" s="77" t="n"/>
      <c r="L3521" s="74" t="n"/>
      <c r="M3521" s="74" t="n"/>
      <c r="O3521" s="78">
        <f>IF($A3521="","",YEAR($A3521)*100+MONTH($A3521))</f>
        <v/>
      </c>
      <c r="P3521" s="79">
        <f>IF(OR($F3521="",$D3521=""),"",IF($D3521="Receita",$F3521,IF($D3521="Transferência",0,-$F3521)))</f>
        <v/>
      </c>
    </row>
    <row r="3522">
      <c r="A3522" s="73" t="n"/>
      <c r="B3522" s="74" t="n"/>
      <c r="C3522" s="74" t="n"/>
      <c r="D3522" s="75">
        <f>IF($C3522="","",IFERROR(INDEX(CAT_TIPO,MATCH($C3522,CAT_NOME,0)),"Sem categoria"))</f>
        <v/>
      </c>
      <c r="E3522" s="75">
        <f>IF($C3522="","",IFERROR(INDEX(CAT_GRUPO,MATCH($C3522,CAT_NOME,0)),"Sem categoria"))</f>
        <v/>
      </c>
      <c r="F3522" s="76" t="n"/>
      <c r="G3522" s="74" t="n"/>
      <c r="H3522" s="74" t="n"/>
      <c r="I3522" s="74" t="n"/>
      <c r="J3522" s="77" t="n"/>
      <c r="K3522" s="77" t="n"/>
      <c r="L3522" s="74" t="n"/>
      <c r="M3522" s="74" t="n"/>
      <c r="O3522" s="78">
        <f>IF($A3522="","",YEAR($A3522)*100+MONTH($A3522))</f>
        <v/>
      </c>
      <c r="P3522" s="79">
        <f>IF(OR($F3522="",$D3522=""),"",IF($D3522="Receita",$F3522,IF($D3522="Transferência",0,-$F3522)))</f>
        <v/>
      </c>
    </row>
    <row r="3523">
      <c r="A3523" s="73" t="n"/>
      <c r="B3523" s="74" t="n"/>
      <c r="C3523" s="74" t="n"/>
      <c r="D3523" s="75">
        <f>IF($C3523="","",IFERROR(INDEX(CAT_TIPO,MATCH($C3523,CAT_NOME,0)),"Sem categoria"))</f>
        <v/>
      </c>
      <c r="E3523" s="75">
        <f>IF($C3523="","",IFERROR(INDEX(CAT_GRUPO,MATCH($C3523,CAT_NOME,0)),"Sem categoria"))</f>
        <v/>
      </c>
      <c r="F3523" s="76" t="n"/>
      <c r="G3523" s="74" t="n"/>
      <c r="H3523" s="74" t="n"/>
      <c r="I3523" s="74" t="n"/>
      <c r="J3523" s="77" t="n"/>
      <c r="K3523" s="77" t="n"/>
      <c r="L3523" s="74" t="n"/>
      <c r="M3523" s="74" t="n"/>
      <c r="O3523" s="78">
        <f>IF($A3523="","",YEAR($A3523)*100+MONTH($A3523))</f>
        <v/>
      </c>
      <c r="P3523" s="79">
        <f>IF(OR($F3523="",$D3523=""),"",IF($D3523="Receita",$F3523,IF($D3523="Transferência",0,-$F3523)))</f>
        <v/>
      </c>
    </row>
    <row r="3524">
      <c r="A3524" s="73" t="n"/>
      <c r="B3524" s="74" t="n"/>
      <c r="C3524" s="74" t="n"/>
      <c r="D3524" s="75">
        <f>IF($C3524="","",IFERROR(INDEX(CAT_TIPO,MATCH($C3524,CAT_NOME,0)),"Sem categoria"))</f>
        <v/>
      </c>
      <c r="E3524" s="75">
        <f>IF($C3524="","",IFERROR(INDEX(CAT_GRUPO,MATCH($C3524,CAT_NOME,0)),"Sem categoria"))</f>
        <v/>
      </c>
      <c r="F3524" s="76" t="n"/>
      <c r="G3524" s="74" t="n"/>
      <c r="H3524" s="74" t="n"/>
      <c r="I3524" s="74" t="n"/>
      <c r="J3524" s="77" t="n"/>
      <c r="K3524" s="77" t="n"/>
      <c r="L3524" s="74" t="n"/>
      <c r="M3524" s="74" t="n"/>
      <c r="O3524" s="78">
        <f>IF($A3524="","",YEAR($A3524)*100+MONTH($A3524))</f>
        <v/>
      </c>
      <c r="P3524" s="79">
        <f>IF(OR($F3524="",$D3524=""),"",IF($D3524="Receita",$F3524,IF($D3524="Transferência",0,-$F3524)))</f>
        <v/>
      </c>
    </row>
    <row r="3525">
      <c r="A3525" s="73" t="n"/>
      <c r="B3525" s="74" t="n"/>
      <c r="C3525" s="74" t="n"/>
      <c r="D3525" s="75">
        <f>IF($C3525="","",IFERROR(INDEX(CAT_TIPO,MATCH($C3525,CAT_NOME,0)),"Sem categoria"))</f>
        <v/>
      </c>
      <c r="E3525" s="75">
        <f>IF($C3525="","",IFERROR(INDEX(CAT_GRUPO,MATCH($C3525,CAT_NOME,0)),"Sem categoria"))</f>
        <v/>
      </c>
      <c r="F3525" s="76" t="n"/>
      <c r="G3525" s="74" t="n"/>
      <c r="H3525" s="74" t="n"/>
      <c r="I3525" s="74" t="n"/>
      <c r="J3525" s="77" t="n"/>
      <c r="K3525" s="77" t="n"/>
      <c r="L3525" s="74" t="n"/>
      <c r="M3525" s="74" t="n"/>
      <c r="O3525" s="78">
        <f>IF($A3525="","",YEAR($A3525)*100+MONTH($A3525))</f>
        <v/>
      </c>
      <c r="P3525" s="79">
        <f>IF(OR($F3525="",$D3525=""),"",IF($D3525="Receita",$F3525,IF($D3525="Transferência",0,-$F3525)))</f>
        <v/>
      </c>
    </row>
    <row r="3526">
      <c r="A3526" s="73" t="n"/>
      <c r="B3526" s="74" t="n"/>
      <c r="C3526" s="74" t="n"/>
      <c r="D3526" s="75">
        <f>IF($C3526="","",IFERROR(INDEX(CAT_TIPO,MATCH($C3526,CAT_NOME,0)),"Sem categoria"))</f>
        <v/>
      </c>
      <c r="E3526" s="75">
        <f>IF($C3526="","",IFERROR(INDEX(CAT_GRUPO,MATCH($C3526,CAT_NOME,0)),"Sem categoria"))</f>
        <v/>
      </c>
      <c r="F3526" s="76" t="n"/>
      <c r="G3526" s="74" t="n"/>
      <c r="H3526" s="74" t="n"/>
      <c r="I3526" s="74" t="n"/>
      <c r="J3526" s="77" t="n"/>
      <c r="K3526" s="77" t="n"/>
      <c r="L3526" s="74" t="n"/>
      <c r="M3526" s="74" t="n"/>
      <c r="O3526" s="78">
        <f>IF($A3526="","",YEAR($A3526)*100+MONTH($A3526))</f>
        <v/>
      </c>
      <c r="P3526" s="79">
        <f>IF(OR($F3526="",$D3526=""),"",IF($D3526="Receita",$F3526,IF($D3526="Transferência",0,-$F3526)))</f>
        <v/>
      </c>
    </row>
    <row r="3527">
      <c r="A3527" s="73" t="n"/>
      <c r="B3527" s="74" t="n"/>
      <c r="C3527" s="74" t="n"/>
      <c r="D3527" s="75">
        <f>IF($C3527="","",IFERROR(INDEX(CAT_TIPO,MATCH($C3527,CAT_NOME,0)),"Sem categoria"))</f>
        <v/>
      </c>
      <c r="E3527" s="75">
        <f>IF($C3527="","",IFERROR(INDEX(CAT_GRUPO,MATCH($C3527,CAT_NOME,0)),"Sem categoria"))</f>
        <v/>
      </c>
      <c r="F3527" s="76" t="n"/>
      <c r="G3527" s="74" t="n"/>
      <c r="H3527" s="74" t="n"/>
      <c r="I3527" s="74" t="n"/>
      <c r="J3527" s="77" t="n"/>
      <c r="K3527" s="77" t="n"/>
      <c r="L3527" s="74" t="n"/>
      <c r="M3527" s="74" t="n"/>
      <c r="O3527" s="78">
        <f>IF($A3527="","",YEAR($A3527)*100+MONTH($A3527))</f>
        <v/>
      </c>
      <c r="P3527" s="79">
        <f>IF(OR($F3527="",$D3527=""),"",IF($D3527="Receita",$F3527,IF($D3527="Transferência",0,-$F3527)))</f>
        <v/>
      </c>
    </row>
    <row r="3528">
      <c r="A3528" s="73" t="n"/>
      <c r="B3528" s="74" t="n"/>
      <c r="C3528" s="74" t="n"/>
      <c r="D3528" s="75">
        <f>IF($C3528="","",IFERROR(INDEX(CAT_TIPO,MATCH($C3528,CAT_NOME,0)),"Sem categoria"))</f>
        <v/>
      </c>
      <c r="E3528" s="75">
        <f>IF($C3528="","",IFERROR(INDEX(CAT_GRUPO,MATCH($C3528,CAT_NOME,0)),"Sem categoria"))</f>
        <v/>
      </c>
      <c r="F3528" s="76" t="n"/>
      <c r="G3528" s="74" t="n"/>
      <c r="H3528" s="74" t="n"/>
      <c r="I3528" s="74" t="n"/>
      <c r="J3528" s="77" t="n"/>
      <c r="K3528" s="77" t="n"/>
      <c r="L3528" s="74" t="n"/>
      <c r="M3528" s="74" t="n"/>
      <c r="O3528" s="78">
        <f>IF($A3528="","",YEAR($A3528)*100+MONTH($A3528))</f>
        <v/>
      </c>
      <c r="P3528" s="79">
        <f>IF(OR($F3528="",$D3528=""),"",IF($D3528="Receita",$F3528,IF($D3528="Transferência",0,-$F3528)))</f>
        <v/>
      </c>
    </row>
    <row r="3529">
      <c r="A3529" s="73" t="n"/>
      <c r="B3529" s="74" t="n"/>
      <c r="C3529" s="74" t="n"/>
      <c r="D3529" s="75">
        <f>IF($C3529="","",IFERROR(INDEX(CAT_TIPO,MATCH($C3529,CAT_NOME,0)),"Sem categoria"))</f>
        <v/>
      </c>
      <c r="E3529" s="75">
        <f>IF($C3529="","",IFERROR(INDEX(CAT_GRUPO,MATCH($C3529,CAT_NOME,0)),"Sem categoria"))</f>
        <v/>
      </c>
      <c r="F3529" s="76" t="n"/>
      <c r="G3529" s="74" t="n"/>
      <c r="H3529" s="74" t="n"/>
      <c r="I3529" s="74" t="n"/>
      <c r="J3529" s="77" t="n"/>
      <c r="K3529" s="77" t="n"/>
      <c r="L3529" s="74" t="n"/>
      <c r="M3529" s="74" t="n"/>
      <c r="O3529" s="78">
        <f>IF($A3529="","",YEAR($A3529)*100+MONTH($A3529))</f>
        <v/>
      </c>
      <c r="P3529" s="79">
        <f>IF(OR($F3529="",$D3529=""),"",IF($D3529="Receita",$F3529,IF($D3529="Transferência",0,-$F3529)))</f>
        <v/>
      </c>
    </row>
    <row r="3530">
      <c r="A3530" s="73" t="n"/>
      <c r="B3530" s="74" t="n"/>
      <c r="C3530" s="74" t="n"/>
      <c r="D3530" s="75">
        <f>IF($C3530="","",IFERROR(INDEX(CAT_TIPO,MATCH($C3530,CAT_NOME,0)),"Sem categoria"))</f>
        <v/>
      </c>
      <c r="E3530" s="75">
        <f>IF($C3530="","",IFERROR(INDEX(CAT_GRUPO,MATCH($C3530,CAT_NOME,0)),"Sem categoria"))</f>
        <v/>
      </c>
      <c r="F3530" s="76" t="n"/>
      <c r="G3530" s="74" t="n"/>
      <c r="H3530" s="74" t="n"/>
      <c r="I3530" s="74" t="n"/>
      <c r="J3530" s="77" t="n"/>
      <c r="K3530" s="77" t="n"/>
      <c r="L3530" s="74" t="n"/>
      <c r="M3530" s="74" t="n"/>
      <c r="O3530" s="78">
        <f>IF($A3530="","",YEAR($A3530)*100+MONTH($A3530))</f>
        <v/>
      </c>
      <c r="P3530" s="79">
        <f>IF(OR($F3530="",$D3530=""),"",IF($D3530="Receita",$F3530,IF($D3530="Transferência",0,-$F3530)))</f>
        <v/>
      </c>
    </row>
    <row r="3531">
      <c r="A3531" s="73" t="n"/>
      <c r="B3531" s="74" t="n"/>
      <c r="C3531" s="74" t="n"/>
      <c r="D3531" s="75">
        <f>IF($C3531="","",IFERROR(INDEX(CAT_TIPO,MATCH($C3531,CAT_NOME,0)),"Sem categoria"))</f>
        <v/>
      </c>
      <c r="E3531" s="75">
        <f>IF($C3531="","",IFERROR(INDEX(CAT_GRUPO,MATCH($C3531,CAT_NOME,0)),"Sem categoria"))</f>
        <v/>
      </c>
      <c r="F3531" s="76" t="n"/>
      <c r="G3531" s="74" t="n"/>
      <c r="H3531" s="74" t="n"/>
      <c r="I3531" s="74" t="n"/>
      <c r="J3531" s="77" t="n"/>
      <c r="K3531" s="77" t="n"/>
      <c r="L3531" s="74" t="n"/>
      <c r="M3531" s="74" t="n"/>
      <c r="O3531" s="78">
        <f>IF($A3531="","",YEAR($A3531)*100+MONTH($A3531))</f>
        <v/>
      </c>
      <c r="P3531" s="79">
        <f>IF(OR($F3531="",$D3531=""),"",IF($D3531="Receita",$F3531,IF($D3531="Transferência",0,-$F3531)))</f>
        <v/>
      </c>
    </row>
    <row r="3532">
      <c r="A3532" s="73" t="n"/>
      <c r="B3532" s="74" t="n"/>
      <c r="C3532" s="74" t="n"/>
      <c r="D3532" s="75">
        <f>IF($C3532="","",IFERROR(INDEX(CAT_TIPO,MATCH($C3532,CAT_NOME,0)),"Sem categoria"))</f>
        <v/>
      </c>
      <c r="E3532" s="75">
        <f>IF($C3532="","",IFERROR(INDEX(CAT_GRUPO,MATCH($C3532,CAT_NOME,0)),"Sem categoria"))</f>
        <v/>
      </c>
      <c r="F3532" s="76" t="n"/>
      <c r="G3532" s="74" t="n"/>
      <c r="H3532" s="74" t="n"/>
      <c r="I3532" s="74" t="n"/>
      <c r="J3532" s="77" t="n"/>
      <c r="K3532" s="77" t="n"/>
      <c r="L3532" s="74" t="n"/>
      <c r="M3532" s="74" t="n"/>
      <c r="O3532" s="78">
        <f>IF($A3532="","",YEAR($A3532)*100+MONTH($A3532))</f>
        <v/>
      </c>
      <c r="P3532" s="79">
        <f>IF(OR($F3532="",$D3532=""),"",IF($D3532="Receita",$F3532,IF($D3532="Transferência",0,-$F3532)))</f>
        <v/>
      </c>
    </row>
    <row r="3533">
      <c r="A3533" s="73" t="n"/>
      <c r="B3533" s="74" t="n"/>
      <c r="C3533" s="74" t="n"/>
      <c r="D3533" s="75">
        <f>IF($C3533="","",IFERROR(INDEX(CAT_TIPO,MATCH($C3533,CAT_NOME,0)),"Sem categoria"))</f>
        <v/>
      </c>
      <c r="E3533" s="75">
        <f>IF($C3533="","",IFERROR(INDEX(CAT_GRUPO,MATCH($C3533,CAT_NOME,0)),"Sem categoria"))</f>
        <v/>
      </c>
      <c r="F3533" s="76" t="n"/>
      <c r="G3533" s="74" t="n"/>
      <c r="H3533" s="74" t="n"/>
      <c r="I3533" s="74" t="n"/>
      <c r="J3533" s="77" t="n"/>
      <c r="K3533" s="77" t="n"/>
      <c r="L3533" s="74" t="n"/>
      <c r="M3533" s="74" t="n"/>
      <c r="O3533" s="78">
        <f>IF($A3533="","",YEAR($A3533)*100+MONTH($A3533))</f>
        <v/>
      </c>
      <c r="P3533" s="79">
        <f>IF(OR($F3533="",$D3533=""),"",IF($D3533="Receita",$F3533,IF($D3533="Transferência",0,-$F3533)))</f>
        <v/>
      </c>
    </row>
    <row r="3534">
      <c r="A3534" s="73" t="n"/>
      <c r="B3534" s="74" t="n"/>
      <c r="C3534" s="74" t="n"/>
      <c r="D3534" s="75">
        <f>IF($C3534="","",IFERROR(INDEX(CAT_TIPO,MATCH($C3534,CAT_NOME,0)),"Sem categoria"))</f>
        <v/>
      </c>
      <c r="E3534" s="75">
        <f>IF($C3534="","",IFERROR(INDEX(CAT_GRUPO,MATCH($C3534,CAT_NOME,0)),"Sem categoria"))</f>
        <v/>
      </c>
      <c r="F3534" s="76" t="n"/>
      <c r="G3534" s="74" t="n"/>
      <c r="H3534" s="74" t="n"/>
      <c r="I3534" s="74" t="n"/>
      <c r="J3534" s="77" t="n"/>
      <c r="K3534" s="77" t="n"/>
      <c r="L3534" s="74" t="n"/>
      <c r="M3534" s="74" t="n"/>
      <c r="O3534" s="78">
        <f>IF($A3534="","",YEAR($A3534)*100+MONTH($A3534))</f>
        <v/>
      </c>
      <c r="P3534" s="79">
        <f>IF(OR($F3534="",$D3534=""),"",IF($D3534="Receita",$F3534,IF($D3534="Transferência",0,-$F3534)))</f>
        <v/>
      </c>
    </row>
    <row r="3535">
      <c r="A3535" s="73" t="n"/>
      <c r="B3535" s="74" t="n"/>
      <c r="C3535" s="74" t="n"/>
      <c r="D3535" s="75">
        <f>IF($C3535="","",IFERROR(INDEX(CAT_TIPO,MATCH($C3535,CAT_NOME,0)),"Sem categoria"))</f>
        <v/>
      </c>
      <c r="E3535" s="75">
        <f>IF($C3535="","",IFERROR(INDEX(CAT_GRUPO,MATCH($C3535,CAT_NOME,0)),"Sem categoria"))</f>
        <v/>
      </c>
      <c r="F3535" s="76" t="n"/>
      <c r="G3535" s="74" t="n"/>
      <c r="H3535" s="74" t="n"/>
      <c r="I3535" s="74" t="n"/>
      <c r="J3535" s="77" t="n"/>
      <c r="K3535" s="77" t="n"/>
      <c r="L3535" s="74" t="n"/>
      <c r="M3535" s="74" t="n"/>
      <c r="O3535" s="78">
        <f>IF($A3535="","",YEAR($A3535)*100+MONTH($A3535))</f>
        <v/>
      </c>
      <c r="P3535" s="79">
        <f>IF(OR($F3535="",$D3535=""),"",IF($D3535="Receita",$F3535,IF($D3535="Transferência",0,-$F3535)))</f>
        <v/>
      </c>
    </row>
    <row r="3536">
      <c r="A3536" s="73" t="n"/>
      <c r="B3536" s="74" t="n"/>
      <c r="C3536" s="74" t="n"/>
      <c r="D3536" s="75">
        <f>IF($C3536="","",IFERROR(INDEX(CAT_TIPO,MATCH($C3536,CAT_NOME,0)),"Sem categoria"))</f>
        <v/>
      </c>
      <c r="E3536" s="75">
        <f>IF($C3536="","",IFERROR(INDEX(CAT_GRUPO,MATCH($C3536,CAT_NOME,0)),"Sem categoria"))</f>
        <v/>
      </c>
      <c r="F3536" s="76" t="n"/>
      <c r="G3536" s="74" t="n"/>
      <c r="H3536" s="74" t="n"/>
      <c r="I3536" s="74" t="n"/>
      <c r="J3536" s="77" t="n"/>
      <c r="K3536" s="77" t="n"/>
      <c r="L3536" s="74" t="n"/>
      <c r="M3536" s="74" t="n"/>
      <c r="O3536" s="78">
        <f>IF($A3536="","",YEAR($A3536)*100+MONTH($A3536))</f>
        <v/>
      </c>
      <c r="P3536" s="79">
        <f>IF(OR($F3536="",$D3536=""),"",IF($D3536="Receita",$F3536,IF($D3536="Transferência",0,-$F3536)))</f>
        <v/>
      </c>
    </row>
    <row r="3537">
      <c r="A3537" s="73" t="n"/>
      <c r="B3537" s="74" t="n"/>
      <c r="C3537" s="74" t="n"/>
      <c r="D3537" s="75">
        <f>IF($C3537="","",IFERROR(INDEX(CAT_TIPO,MATCH($C3537,CAT_NOME,0)),"Sem categoria"))</f>
        <v/>
      </c>
      <c r="E3537" s="75">
        <f>IF($C3537="","",IFERROR(INDEX(CAT_GRUPO,MATCH($C3537,CAT_NOME,0)),"Sem categoria"))</f>
        <v/>
      </c>
      <c r="F3537" s="76" t="n"/>
      <c r="G3537" s="74" t="n"/>
      <c r="H3537" s="74" t="n"/>
      <c r="I3537" s="74" t="n"/>
      <c r="J3537" s="77" t="n"/>
      <c r="K3537" s="77" t="n"/>
      <c r="L3537" s="74" t="n"/>
      <c r="M3537" s="74" t="n"/>
      <c r="O3537" s="78">
        <f>IF($A3537="","",YEAR($A3537)*100+MONTH($A3537))</f>
        <v/>
      </c>
      <c r="P3537" s="79">
        <f>IF(OR($F3537="",$D3537=""),"",IF($D3537="Receita",$F3537,IF($D3537="Transferência",0,-$F3537)))</f>
        <v/>
      </c>
    </row>
    <row r="3538">
      <c r="A3538" s="73" t="n"/>
      <c r="B3538" s="74" t="n"/>
      <c r="C3538" s="74" t="n"/>
      <c r="D3538" s="75">
        <f>IF($C3538="","",IFERROR(INDEX(CAT_TIPO,MATCH($C3538,CAT_NOME,0)),"Sem categoria"))</f>
        <v/>
      </c>
      <c r="E3538" s="75">
        <f>IF($C3538="","",IFERROR(INDEX(CAT_GRUPO,MATCH($C3538,CAT_NOME,0)),"Sem categoria"))</f>
        <v/>
      </c>
      <c r="F3538" s="76" t="n"/>
      <c r="G3538" s="74" t="n"/>
      <c r="H3538" s="74" t="n"/>
      <c r="I3538" s="74" t="n"/>
      <c r="J3538" s="77" t="n"/>
      <c r="K3538" s="77" t="n"/>
      <c r="L3538" s="74" t="n"/>
      <c r="M3538" s="74" t="n"/>
      <c r="O3538" s="78">
        <f>IF($A3538="","",YEAR($A3538)*100+MONTH($A3538))</f>
        <v/>
      </c>
      <c r="P3538" s="79">
        <f>IF(OR($F3538="",$D3538=""),"",IF($D3538="Receita",$F3538,IF($D3538="Transferência",0,-$F3538)))</f>
        <v/>
      </c>
    </row>
    <row r="3539">
      <c r="A3539" s="73" t="n"/>
      <c r="B3539" s="74" t="n"/>
      <c r="C3539" s="74" t="n"/>
      <c r="D3539" s="75">
        <f>IF($C3539="","",IFERROR(INDEX(CAT_TIPO,MATCH($C3539,CAT_NOME,0)),"Sem categoria"))</f>
        <v/>
      </c>
      <c r="E3539" s="75">
        <f>IF($C3539="","",IFERROR(INDEX(CAT_GRUPO,MATCH($C3539,CAT_NOME,0)),"Sem categoria"))</f>
        <v/>
      </c>
      <c r="F3539" s="76" t="n"/>
      <c r="G3539" s="74" t="n"/>
      <c r="H3539" s="74" t="n"/>
      <c r="I3539" s="74" t="n"/>
      <c r="J3539" s="77" t="n"/>
      <c r="K3539" s="77" t="n"/>
      <c r="L3539" s="74" t="n"/>
      <c r="M3539" s="74" t="n"/>
      <c r="O3539" s="78">
        <f>IF($A3539="","",YEAR($A3539)*100+MONTH($A3539))</f>
        <v/>
      </c>
      <c r="P3539" s="79">
        <f>IF(OR($F3539="",$D3539=""),"",IF($D3539="Receita",$F3539,IF($D3539="Transferência",0,-$F3539)))</f>
        <v/>
      </c>
    </row>
    <row r="3540">
      <c r="A3540" s="73" t="n"/>
      <c r="B3540" s="74" t="n"/>
      <c r="C3540" s="74" t="n"/>
      <c r="D3540" s="75">
        <f>IF($C3540="","",IFERROR(INDEX(CAT_TIPO,MATCH($C3540,CAT_NOME,0)),"Sem categoria"))</f>
        <v/>
      </c>
      <c r="E3540" s="75">
        <f>IF($C3540="","",IFERROR(INDEX(CAT_GRUPO,MATCH($C3540,CAT_NOME,0)),"Sem categoria"))</f>
        <v/>
      </c>
      <c r="F3540" s="76" t="n"/>
      <c r="G3540" s="74" t="n"/>
      <c r="H3540" s="74" t="n"/>
      <c r="I3540" s="74" t="n"/>
      <c r="J3540" s="77" t="n"/>
      <c r="K3540" s="77" t="n"/>
      <c r="L3540" s="74" t="n"/>
      <c r="M3540" s="74" t="n"/>
      <c r="O3540" s="78">
        <f>IF($A3540="","",YEAR($A3540)*100+MONTH($A3540))</f>
        <v/>
      </c>
      <c r="P3540" s="79">
        <f>IF(OR($F3540="",$D3540=""),"",IF($D3540="Receita",$F3540,IF($D3540="Transferência",0,-$F3540)))</f>
        <v/>
      </c>
    </row>
    <row r="3541">
      <c r="A3541" s="73" t="n"/>
      <c r="B3541" s="74" t="n"/>
      <c r="C3541" s="74" t="n"/>
      <c r="D3541" s="75">
        <f>IF($C3541="","",IFERROR(INDEX(CAT_TIPO,MATCH($C3541,CAT_NOME,0)),"Sem categoria"))</f>
        <v/>
      </c>
      <c r="E3541" s="75">
        <f>IF($C3541="","",IFERROR(INDEX(CAT_GRUPO,MATCH($C3541,CAT_NOME,0)),"Sem categoria"))</f>
        <v/>
      </c>
      <c r="F3541" s="76" t="n"/>
      <c r="G3541" s="74" t="n"/>
      <c r="H3541" s="74" t="n"/>
      <c r="I3541" s="74" t="n"/>
      <c r="J3541" s="77" t="n"/>
      <c r="K3541" s="77" t="n"/>
      <c r="L3541" s="74" t="n"/>
      <c r="M3541" s="74" t="n"/>
      <c r="O3541" s="78">
        <f>IF($A3541="","",YEAR($A3541)*100+MONTH($A3541))</f>
        <v/>
      </c>
      <c r="P3541" s="79">
        <f>IF(OR($F3541="",$D3541=""),"",IF($D3541="Receita",$F3541,IF($D3541="Transferência",0,-$F3541)))</f>
        <v/>
      </c>
    </row>
    <row r="3542">
      <c r="A3542" s="73" t="n"/>
      <c r="B3542" s="74" t="n"/>
      <c r="C3542" s="74" t="n"/>
      <c r="D3542" s="75">
        <f>IF($C3542="","",IFERROR(INDEX(CAT_TIPO,MATCH($C3542,CAT_NOME,0)),"Sem categoria"))</f>
        <v/>
      </c>
      <c r="E3542" s="75">
        <f>IF($C3542="","",IFERROR(INDEX(CAT_GRUPO,MATCH($C3542,CAT_NOME,0)),"Sem categoria"))</f>
        <v/>
      </c>
      <c r="F3542" s="76" t="n"/>
      <c r="G3542" s="74" t="n"/>
      <c r="H3542" s="74" t="n"/>
      <c r="I3542" s="74" t="n"/>
      <c r="J3542" s="77" t="n"/>
      <c r="K3542" s="77" t="n"/>
      <c r="L3542" s="74" t="n"/>
      <c r="M3542" s="74" t="n"/>
      <c r="O3542" s="78">
        <f>IF($A3542="","",YEAR($A3542)*100+MONTH($A3542))</f>
        <v/>
      </c>
      <c r="P3542" s="79">
        <f>IF(OR($F3542="",$D3542=""),"",IF($D3542="Receita",$F3542,IF($D3542="Transferência",0,-$F3542)))</f>
        <v/>
      </c>
    </row>
    <row r="3543">
      <c r="A3543" s="73" t="n"/>
      <c r="B3543" s="74" t="n"/>
      <c r="C3543" s="74" t="n"/>
      <c r="D3543" s="75">
        <f>IF($C3543="","",IFERROR(INDEX(CAT_TIPO,MATCH($C3543,CAT_NOME,0)),"Sem categoria"))</f>
        <v/>
      </c>
      <c r="E3543" s="75">
        <f>IF($C3543="","",IFERROR(INDEX(CAT_GRUPO,MATCH($C3543,CAT_NOME,0)),"Sem categoria"))</f>
        <v/>
      </c>
      <c r="F3543" s="76" t="n"/>
      <c r="G3543" s="74" t="n"/>
      <c r="H3543" s="74" t="n"/>
      <c r="I3543" s="74" t="n"/>
      <c r="J3543" s="77" t="n"/>
      <c r="K3543" s="77" t="n"/>
      <c r="L3543" s="74" t="n"/>
      <c r="M3543" s="74" t="n"/>
      <c r="O3543" s="78">
        <f>IF($A3543="","",YEAR($A3543)*100+MONTH($A3543))</f>
        <v/>
      </c>
      <c r="P3543" s="79">
        <f>IF(OR($F3543="",$D3543=""),"",IF($D3543="Receita",$F3543,IF($D3543="Transferência",0,-$F3543)))</f>
        <v/>
      </c>
    </row>
    <row r="3544">
      <c r="A3544" s="73" t="n"/>
      <c r="B3544" s="74" t="n"/>
      <c r="C3544" s="74" t="n"/>
      <c r="D3544" s="75">
        <f>IF($C3544="","",IFERROR(INDEX(CAT_TIPO,MATCH($C3544,CAT_NOME,0)),"Sem categoria"))</f>
        <v/>
      </c>
      <c r="E3544" s="75">
        <f>IF($C3544="","",IFERROR(INDEX(CAT_GRUPO,MATCH($C3544,CAT_NOME,0)),"Sem categoria"))</f>
        <v/>
      </c>
      <c r="F3544" s="76" t="n"/>
      <c r="G3544" s="74" t="n"/>
      <c r="H3544" s="74" t="n"/>
      <c r="I3544" s="74" t="n"/>
      <c r="J3544" s="77" t="n"/>
      <c r="K3544" s="77" t="n"/>
      <c r="L3544" s="74" t="n"/>
      <c r="M3544" s="74" t="n"/>
      <c r="O3544" s="78">
        <f>IF($A3544="","",YEAR($A3544)*100+MONTH($A3544))</f>
        <v/>
      </c>
      <c r="P3544" s="79">
        <f>IF(OR($F3544="",$D3544=""),"",IF($D3544="Receita",$F3544,IF($D3544="Transferência",0,-$F3544)))</f>
        <v/>
      </c>
    </row>
    <row r="3545">
      <c r="A3545" s="73" t="n"/>
      <c r="B3545" s="74" t="n"/>
      <c r="C3545" s="74" t="n"/>
      <c r="D3545" s="75">
        <f>IF($C3545="","",IFERROR(INDEX(CAT_TIPO,MATCH($C3545,CAT_NOME,0)),"Sem categoria"))</f>
        <v/>
      </c>
      <c r="E3545" s="75">
        <f>IF($C3545="","",IFERROR(INDEX(CAT_GRUPO,MATCH($C3545,CAT_NOME,0)),"Sem categoria"))</f>
        <v/>
      </c>
      <c r="F3545" s="76" t="n"/>
      <c r="G3545" s="74" t="n"/>
      <c r="H3545" s="74" t="n"/>
      <c r="I3545" s="74" t="n"/>
      <c r="J3545" s="77" t="n"/>
      <c r="K3545" s="77" t="n"/>
      <c r="L3545" s="74" t="n"/>
      <c r="M3545" s="74" t="n"/>
      <c r="O3545" s="78">
        <f>IF($A3545="","",YEAR($A3545)*100+MONTH($A3545))</f>
        <v/>
      </c>
      <c r="P3545" s="79">
        <f>IF(OR($F3545="",$D3545=""),"",IF($D3545="Receita",$F3545,IF($D3545="Transferência",0,-$F3545)))</f>
        <v/>
      </c>
    </row>
    <row r="3546">
      <c r="A3546" s="73" t="n"/>
      <c r="B3546" s="74" t="n"/>
      <c r="C3546" s="74" t="n"/>
      <c r="D3546" s="75">
        <f>IF($C3546="","",IFERROR(INDEX(CAT_TIPO,MATCH($C3546,CAT_NOME,0)),"Sem categoria"))</f>
        <v/>
      </c>
      <c r="E3546" s="75">
        <f>IF($C3546="","",IFERROR(INDEX(CAT_GRUPO,MATCH($C3546,CAT_NOME,0)),"Sem categoria"))</f>
        <v/>
      </c>
      <c r="F3546" s="76" t="n"/>
      <c r="G3546" s="74" t="n"/>
      <c r="H3546" s="74" t="n"/>
      <c r="I3546" s="74" t="n"/>
      <c r="J3546" s="77" t="n"/>
      <c r="K3546" s="77" t="n"/>
      <c r="L3546" s="74" t="n"/>
      <c r="M3546" s="74" t="n"/>
      <c r="O3546" s="78">
        <f>IF($A3546="","",YEAR($A3546)*100+MONTH($A3546))</f>
        <v/>
      </c>
      <c r="P3546" s="79">
        <f>IF(OR($F3546="",$D3546=""),"",IF($D3546="Receita",$F3546,IF($D3546="Transferência",0,-$F3546)))</f>
        <v/>
      </c>
    </row>
    <row r="3547">
      <c r="A3547" s="73" t="n"/>
      <c r="B3547" s="74" t="n"/>
      <c r="C3547" s="74" t="n"/>
      <c r="D3547" s="75">
        <f>IF($C3547="","",IFERROR(INDEX(CAT_TIPO,MATCH($C3547,CAT_NOME,0)),"Sem categoria"))</f>
        <v/>
      </c>
      <c r="E3547" s="75">
        <f>IF($C3547="","",IFERROR(INDEX(CAT_GRUPO,MATCH($C3547,CAT_NOME,0)),"Sem categoria"))</f>
        <v/>
      </c>
      <c r="F3547" s="76" t="n"/>
      <c r="G3547" s="74" t="n"/>
      <c r="H3547" s="74" t="n"/>
      <c r="I3547" s="74" t="n"/>
      <c r="J3547" s="77" t="n"/>
      <c r="K3547" s="77" t="n"/>
      <c r="L3547" s="74" t="n"/>
      <c r="M3547" s="74" t="n"/>
      <c r="O3547" s="78">
        <f>IF($A3547="","",YEAR($A3547)*100+MONTH($A3547))</f>
        <v/>
      </c>
      <c r="P3547" s="79">
        <f>IF(OR($F3547="",$D3547=""),"",IF($D3547="Receita",$F3547,IF($D3547="Transferência",0,-$F3547)))</f>
        <v/>
      </c>
    </row>
    <row r="3548">
      <c r="A3548" s="73" t="n"/>
      <c r="B3548" s="74" t="n"/>
      <c r="C3548" s="74" t="n"/>
      <c r="D3548" s="75">
        <f>IF($C3548="","",IFERROR(INDEX(CAT_TIPO,MATCH($C3548,CAT_NOME,0)),"Sem categoria"))</f>
        <v/>
      </c>
      <c r="E3548" s="75">
        <f>IF($C3548="","",IFERROR(INDEX(CAT_GRUPO,MATCH($C3548,CAT_NOME,0)),"Sem categoria"))</f>
        <v/>
      </c>
      <c r="F3548" s="76" t="n"/>
      <c r="G3548" s="74" t="n"/>
      <c r="H3548" s="74" t="n"/>
      <c r="I3548" s="74" t="n"/>
      <c r="J3548" s="77" t="n"/>
      <c r="K3548" s="77" t="n"/>
      <c r="L3548" s="74" t="n"/>
      <c r="M3548" s="74" t="n"/>
      <c r="O3548" s="78">
        <f>IF($A3548="","",YEAR($A3548)*100+MONTH($A3548))</f>
        <v/>
      </c>
      <c r="P3548" s="79">
        <f>IF(OR($F3548="",$D3548=""),"",IF($D3548="Receita",$F3548,IF($D3548="Transferência",0,-$F3548)))</f>
        <v/>
      </c>
    </row>
    <row r="3549">
      <c r="A3549" s="73" t="n"/>
      <c r="B3549" s="74" t="n"/>
      <c r="C3549" s="74" t="n"/>
      <c r="D3549" s="75">
        <f>IF($C3549="","",IFERROR(INDEX(CAT_TIPO,MATCH($C3549,CAT_NOME,0)),"Sem categoria"))</f>
        <v/>
      </c>
      <c r="E3549" s="75">
        <f>IF($C3549="","",IFERROR(INDEX(CAT_GRUPO,MATCH($C3549,CAT_NOME,0)),"Sem categoria"))</f>
        <v/>
      </c>
      <c r="F3549" s="76" t="n"/>
      <c r="G3549" s="74" t="n"/>
      <c r="H3549" s="74" t="n"/>
      <c r="I3549" s="74" t="n"/>
      <c r="J3549" s="77" t="n"/>
      <c r="K3549" s="77" t="n"/>
      <c r="L3549" s="74" t="n"/>
      <c r="M3549" s="74" t="n"/>
      <c r="O3549" s="78">
        <f>IF($A3549="","",YEAR($A3549)*100+MONTH($A3549))</f>
        <v/>
      </c>
      <c r="P3549" s="79">
        <f>IF(OR($F3549="",$D3549=""),"",IF($D3549="Receita",$F3549,IF($D3549="Transferência",0,-$F3549)))</f>
        <v/>
      </c>
    </row>
    <row r="3550">
      <c r="A3550" s="73" t="n"/>
      <c r="B3550" s="74" t="n"/>
      <c r="C3550" s="74" t="n"/>
      <c r="D3550" s="75">
        <f>IF($C3550="","",IFERROR(INDEX(CAT_TIPO,MATCH($C3550,CAT_NOME,0)),"Sem categoria"))</f>
        <v/>
      </c>
      <c r="E3550" s="75">
        <f>IF($C3550="","",IFERROR(INDEX(CAT_GRUPO,MATCH($C3550,CAT_NOME,0)),"Sem categoria"))</f>
        <v/>
      </c>
      <c r="F3550" s="76" t="n"/>
      <c r="G3550" s="74" t="n"/>
      <c r="H3550" s="74" t="n"/>
      <c r="I3550" s="74" t="n"/>
      <c r="J3550" s="77" t="n"/>
      <c r="K3550" s="77" t="n"/>
      <c r="L3550" s="74" t="n"/>
      <c r="M3550" s="74" t="n"/>
      <c r="O3550" s="78">
        <f>IF($A3550="","",YEAR($A3550)*100+MONTH($A3550))</f>
        <v/>
      </c>
      <c r="P3550" s="79">
        <f>IF(OR($F3550="",$D3550=""),"",IF($D3550="Receita",$F3550,IF($D3550="Transferência",0,-$F3550)))</f>
        <v/>
      </c>
    </row>
    <row r="3551">
      <c r="A3551" s="73" t="n"/>
      <c r="B3551" s="74" t="n"/>
      <c r="C3551" s="74" t="n"/>
      <c r="D3551" s="75">
        <f>IF($C3551="","",IFERROR(INDEX(CAT_TIPO,MATCH($C3551,CAT_NOME,0)),"Sem categoria"))</f>
        <v/>
      </c>
      <c r="E3551" s="75">
        <f>IF($C3551="","",IFERROR(INDEX(CAT_GRUPO,MATCH($C3551,CAT_NOME,0)),"Sem categoria"))</f>
        <v/>
      </c>
      <c r="F3551" s="76" t="n"/>
      <c r="G3551" s="74" t="n"/>
      <c r="H3551" s="74" t="n"/>
      <c r="I3551" s="74" t="n"/>
      <c r="J3551" s="77" t="n"/>
      <c r="K3551" s="77" t="n"/>
      <c r="L3551" s="74" t="n"/>
      <c r="M3551" s="74" t="n"/>
      <c r="O3551" s="78">
        <f>IF($A3551="","",YEAR($A3551)*100+MONTH($A3551))</f>
        <v/>
      </c>
      <c r="P3551" s="79">
        <f>IF(OR($F3551="",$D3551=""),"",IF($D3551="Receita",$F3551,IF($D3551="Transferência",0,-$F3551)))</f>
        <v/>
      </c>
    </row>
    <row r="3552">
      <c r="A3552" s="73" t="n"/>
      <c r="B3552" s="74" t="n"/>
      <c r="C3552" s="74" t="n"/>
      <c r="D3552" s="75">
        <f>IF($C3552="","",IFERROR(INDEX(CAT_TIPO,MATCH($C3552,CAT_NOME,0)),"Sem categoria"))</f>
        <v/>
      </c>
      <c r="E3552" s="75">
        <f>IF($C3552="","",IFERROR(INDEX(CAT_GRUPO,MATCH($C3552,CAT_NOME,0)),"Sem categoria"))</f>
        <v/>
      </c>
      <c r="F3552" s="76" t="n"/>
      <c r="G3552" s="74" t="n"/>
      <c r="H3552" s="74" t="n"/>
      <c r="I3552" s="74" t="n"/>
      <c r="J3552" s="77" t="n"/>
      <c r="K3552" s="77" t="n"/>
      <c r="L3552" s="74" t="n"/>
      <c r="M3552" s="74" t="n"/>
      <c r="O3552" s="78">
        <f>IF($A3552="","",YEAR($A3552)*100+MONTH($A3552))</f>
        <v/>
      </c>
      <c r="P3552" s="79">
        <f>IF(OR($F3552="",$D3552=""),"",IF($D3552="Receita",$F3552,IF($D3552="Transferência",0,-$F3552)))</f>
        <v/>
      </c>
    </row>
    <row r="3553">
      <c r="A3553" s="73" t="n"/>
      <c r="B3553" s="74" t="n"/>
      <c r="C3553" s="74" t="n"/>
      <c r="D3553" s="75">
        <f>IF($C3553="","",IFERROR(INDEX(CAT_TIPO,MATCH($C3553,CAT_NOME,0)),"Sem categoria"))</f>
        <v/>
      </c>
      <c r="E3553" s="75">
        <f>IF($C3553="","",IFERROR(INDEX(CAT_GRUPO,MATCH($C3553,CAT_NOME,0)),"Sem categoria"))</f>
        <v/>
      </c>
      <c r="F3553" s="76" t="n"/>
      <c r="G3553" s="74" t="n"/>
      <c r="H3553" s="74" t="n"/>
      <c r="I3553" s="74" t="n"/>
      <c r="J3553" s="77" t="n"/>
      <c r="K3553" s="77" t="n"/>
      <c r="L3553" s="74" t="n"/>
      <c r="M3553" s="74" t="n"/>
      <c r="O3553" s="78">
        <f>IF($A3553="","",YEAR($A3553)*100+MONTH($A3553))</f>
        <v/>
      </c>
      <c r="P3553" s="79">
        <f>IF(OR($F3553="",$D3553=""),"",IF($D3553="Receita",$F3553,IF($D3553="Transferência",0,-$F3553)))</f>
        <v/>
      </c>
    </row>
    <row r="3554">
      <c r="A3554" s="73" t="n"/>
      <c r="B3554" s="74" t="n"/>
      <c r="C3554" s="74" t="n"/>
      <c r="D3554" s="75">
        <f>IF($C3554="","",IFERROR(INDEX(CAT_TIPO,MATCH($C3554,CAT_NOME,0)),"Sem categoria"))</f>
        <v/>
      </c>
      <c r="E3554" s="75">
        <f>IF($C3554="","",IFERROR(INDEX(CAT_GRUPO,MATCH($C3554,CAT_NOME,0)),"Sem categoria"))</f>
        <v/>
      </c>
      <c r="F3554" s="76" t="n"/>
      <c r="G3554" s="74" t="n"/>
      <c r="H3554" s="74" t="n"/>
      <c r="I3554" s="74" t="n"/>
      <c r="J3554" s="77" t="n"/>
      <c r="K3554" s="77" t="n"/>
      <c r="L3554" s="74" t="n"/>
      <c r="M3554" s="74" t="n"/>
      <c r="O3554" s="78">
        <f>IF($A3554="","",YEAR($A3554)*100+MONTH($A3554))</f>
        <v/>
      </c>
      <c r="P3554" s="79">
        <f>IF(OR($F3554="",$D3554=""),"",IF($D3554="Receita",$F3554,IF($D3554="Transferência",0,-$F3554)))</f>
        <v/>
      </c>
    </row>
    <row r="3555">
      <c r="A3555" s="73" t="n"/>
      <c r="B3555" s="74" t="n"/>
      <c r="C3555" s="74" t="n"/>
      <c r="D3555" s="75">
        <f>IF($C3555="","",IFERROR(INDEX(CAT_TIPO,MATCH($C3555,CAT_NOME,0)),"Sem categoria"))</f>
        <v/>
      </c>
      <c r="E3555" s="75">
        <f>IF($C3555="","",IFERROR(INDEX(CAT_GRUPO,MATCH($C3555,CAT_NOME,0)),"Sem categoria"))</f>
        <v/>
      </c>
      <c r="F3555" s="76" t="n"/>
      <c r="G3555" s="74" t="n"/>
      <c r="H3555" s="74" t="n"/>
      <c r="I3555" s="74" t="n"/>
      <c r="J3555" s="77" t="n"/>
      <c r="K3555" s="77" t="n"/>
      <c r="L3555" s="74" t="n"/>
      <c r="M3555" s="74" t="n"/>
      <c r="O3555" s="78">
        <f>IF($A3555="","",YEAR($A3555)*100+MONTH($A3555))</f>
        <v/>
      </c>
      <c r="P3555" s="79">
        <f>IF(OR($F3555="",$D3555=""),"",IF($D3555="Receita",$F3555,IF($D3555="Transferência",0,-$F3555)))</f>
        <v/>
      </c>
    </row>
    <row r="3556">
      <c r="A3556" s="73" t="n"/>
      <c r="B3556" s="74" t="n"/>
      <c r="C3556" s="74" t="n"/>
      <c r="D3556" s="75">
        <f>IF($C3556="","",IFERROR(INDEX(CAT_TIPO,MATCH($C3556,CAT_NOME,0)),"Sem categoria"))</f>
        <v/>
      </c>
      <c r="E3556" s="75">
        <f>IF($C3556="","",IFERROR(INDEX(CAT_GRUPO,MATCH($C3556,CAT_NOME,0)),"Sem categoria"))</f>
        <v/>
      </c>
      <c r="F3556" s="76" t="n"/>
      <c r="G3556" s="74" t="n"/>
      <c r="H3556" s="74" t="n"/>
      <c r="I3556" s="74" t="n"/>
      <c r="J3556" s="77" t="n"/>
      <c r="K3556" s="77" t="n"/>
      <c r="L3556" s="74" t="n"/>
      <c r="M3556" s="74" t="n"/>
      <c r="O3556" s="78">
        <f>IF($A3556="","",YEAR($A3556)*100+MONTH($A3556))</f>
        <v/>
      </c>
      <c r="P3556" s="79">
        <f>IF(OR($F3556="",$D3556=""),"",IF($D3556="Receita",$F3556,IF($D3556="Transferência",0,-$F3556)))</f>
        <v/>
      </c>
    </row>
    <row r="3557">
      <c r="A3557" s="73" t="n"/>
      <c r="B3557" s="74" t="n"/>
      <c r="C3557" s="74" t="n"/>
      <c r="D3557" s="75">
        <f>IF($C3557="","",IFERROR(INDEX(CAT_TIPO,MATCH($C3557,CAT_NOME,0)),"Sem categoria"))</f>
        <v/>
      </c>
      <c r="E3557" s="75">
        <f>IF($C3557="","",IFERROR(INDEX(CAT_GRUPO,MATCH($C3557,CAT_NOME,0)),"Sem categoria"))</f>
        <v/>
      </c>
      <c r="F3557" s="76" t="n"/>
      <c r="G3557" s="74" t="n"/>
      <c r="H3557" s="74" t="n"/>
      <c r="I3557" s="74" t="n"/>
      <c r="J3557" s="77" t="n"/>
      <c r="K3557" s="77" t="n"/>
      <c r="L3557" s="74" t="n"/>
      <c r="M3557" s="74" t="n"/>
      <c r="O3557" s="78">
        <f>IF($A3557="","",YEAR($A3557)*100+MONTH($A3557))</f>
        <v/>
      </c>
      <c r="P3557" s="79">
        <f>IF(OR($F3557="",$D3557=""),"",IF($D3557="Receita",$F3557,IF($D3557="Transferência",0,-$F3557)))</f>
        <v/>
      </c>
    </row>
    <row r="3558">
      <c r="A3558" s="73" t="n"/>
      <c r="B3558" s="74" t="n"/>
      <c r="C3558" s="74" t="n"/>
      <c r="D3558" s="75">
        <f>IF($C3558="","",IFERROR(INDEX(CAT_TIPO,MATCH($C3558,CAT_NOME,0)),"Sem categoria"))</f>
        <v/>
      </c>
      <c r="E3558" s="75">
        <f>IF($C3558="","",IFERROR(INDEX(CAT_GRUPO,MATCH($C3558,CAT_NOME,0)),"Sem categoria"))</f>
        <v/>
      </c>
      <c r="F3558" s="76" t="n"/>
      <c r="G3558" s="74" t="n"/>
      <c r="H3558" s="74" t="n"/>
      <c r="I3558" s="74" t="n"/>
      <c r="J3558" s="77" t="n"/>
      <c r="K3558" s="77" t="n"/>
      <c r="L3558" s="74" t="n"/>
      <c r="M3558" s="74" t="n"/>
      <c r="O3558" s="78">
        <f>IF($A3558="","",YEAR($A3558)*100+MONTH($A3558))</f>
        <v/>
      </c>
      <c r="P3558" s="79">
        <f>IF(OR($F3558="",$D3558=""),"",IF($D3558="Receita",$F3558,IF($D3558="Transferência",0,-$F3558)))</f>
        <v/>
      </c>
    </row>
    <row r="3559">
      <c r="A3559" s="73" t="n"/>
      <c r="B3559" s="74" t="n"/>
      <c r="C3559" s="74" t="n"/>
      <c r="D3559" s="75">
        <f>IF($C3559="","",IFERROR(INDEX(CAT_TIPO,MATCH($C3559,CAT_NOME,0)),"Sem categoria"))</f>
        <v/>
      </c>
      <c r="E3559" s="75">
        <f>IF($C3559="","",IFERROR(INDEX(CAT_GRUPO,MATCH($C3559,CAT_NOME,0)),"Sem categoria"))</f>
        <v/>
      </c>
      <c r="F3559" s="76" t="n"/>
      <c r="G3559" s="74" t="n"/>
      <c r="H3559" s="74" t="n"/>
      <c r="I3559" s="74" t="n"/>
      <c r="J3559" s="77" t="n"/>
      <c r="K3559" s="77" t="n"/>
      <c r="L3559" s="74" t="n"/>
      <c r="M3559" s="74" t="n"/>
      <c r="O3559" s="78">
        <f>IF($A3559="","",YEAR($A3559)*100+MONTH($A3559))</f>
        <v/>
      </c>
      <c r="P3559" s="79">
        <f>IF(OR($F3559="",$D3559=""),"",IF($D3559="Receita",$F3559,IF($D3559="Transferência",0,-$F3559)))</f>
        <v/>
      </c>
    </row>
    <row r="3560">
      <c r="A3560" s="73" t="n"/>
      <c r="B3560" s="74" t="n"/>
      <c r="C3560" s="74" t="n"/>
      <c r="D3560" s="75">
        <f>IF($C3560="","",IFERROR(INDEX(CAT_TIPO,MATCH($C3560,CAT_NOME,0)),"Sem categoria"))</f>
        <v/>
      </c>
      <c r="E3560" s="75">
        <f>IF($C3560="","",IFERROR(INDEX(CAT_GRUPO,MATCH($C3560,CAT_NOME,0)),"Sem categoria"))</f>
        <v/>
      </c>
      <c r="F3560" s="76" t="n"/>
      <c r="G3560" s="74" t="n"/>
      <c r="H3560" s="74" t="n"/>
      <c r="I3560" s="74" t="n"/>
      <c r="J3560" s="77" t="n"/>
      <c r="K3560" s="77" t="n"/>
      <c r="L3560" s="74" t="n"/>
      <c r="M3560" s="74" t="n"/>
      <c r="O3560" s="78">
        <f>IF($A3560="","",YEAR($A3560)*100+MONTH($A3560))</f>
        <v/>
      </c>
      <c r="P3560" s="79">
        <f>IF(OR($F3560="",$D3560=""),"",IF($D3560="Receita",$F3560,IF($D3560="Transferência",0,-$F3560)))</f>
        <v/>
      </c>
    </row>
    <row r="3561">
      <c r="A3561" s="73" t="n"/>
      <c r="B3561" s="74" t="n"/>
      <c r="C3561" s="74" t="n"/>
      <c r="D3561" s="75">
        <f>IF($C3561="","",IFERROR(INDEX(CAT_TIPO,MATCH($C3561,CAT_NOME,0)),"Sem categoria"))</f>
        <v/>
      </c>
      <c r="E3561" s="75">
        <f>IF($C3561="","",IFERROR(INDEX(CAT_GRUPO,MATCH($C3561,CAT_NOME,0)),"Sem categoria"))</f>
        <v/>
      </c>
      <c r="F3561" s="76" t="n"/>
      <c r="G3561" s="74" t="n"/>
      <c r="H3561" s="74" t="n"/>
      <c r="I3561" s="74" t="n"/>
      <c r="J3561" s="77" t="n"/>
      <c r="K3561" s="77" t="n"/>
      <c r="L3561" s="74" t="n"/>
      <c r="M3561" s="74" t="n"/>
      <c r="O3561" s="78">
        <f>IF($A3561="","",YEAR($A3561)*100+MONTH($A3561))</f>
        <v/>
      </c>
      <c r="P3561" s="79">
        <f>IF(OR($F3561="",$D3561=""),"",IF($D3561="Receita",$F3561,IF($D3561="Transferência",0,-$F3561)))</f>
        <v/>
      </c>
    </row>
    <row r="3562">
      <c r="A3562" s="73" t="n"/>
      <c r="B3562" s="74" t="n"/>
      <c r="C3562" s="74" t="n"/>
      <c r="D3562" s="75">
        <f>IF($C3562="","",IFERROR(INDEX(CAT_TIPO,MATCH($C3562,CAT_NOME,0)),"Sem categoria"))</f>
        <v/>
      </c>
      <c r="E3562" s="75">
        <f>IF($C3562="","",IFERROR(INDEX(CAT_GRUPO,MATCH($C3562,CAT_NOME,0)),"Sem categoria"))</f>
        <v/>
      </c>
      <c r="F3562" s="76" t="n"/>
      <c r="G3562" s="74" t="n"/>
      <c r="H3562" s="74" t="n"/>
      <c r="I3562" s="74" t="n"/>
      <c r="J3562" s="77" t="n"/>
      <c r="K3562" s="77" t="n"/>
      <c r="L3562" s="74" t="n"/>
      <c r="M3562" s="74" t="n"/>
      <c r="O3562" s="78">
        <f>IF($A3562="","",YEAR($A3562)*100+MONTH($A3562))</f>
        <v/>
      </c>
      <c r="P3562" s="79">
        <f>IF(OR($F3562="",$D3562=""),"",IF($D3562="Receita",$F3562,IF($D3562="Transferência",0,-$F3562)))</f>
        <v/>
      </c>
    </row>
    <row r="3563">
      <c r="A3563" s="73" t="n"/>
      <c r="B3563" s="74" t="n"/>
      <c r="C3563" s="74" t="n"/>
      <c r="D3563" s="75">
        <f>IF($C3563="","",IFERROR(INDEX(CAT_TIPO,MATCH($C3563,CAT_NOME,0)),"Sem categoria"))</f>
        <v/>
      </c>
      <c r="E3563" s="75">
        <f>IF($C3563="","",IFERROR(INDEX(CAT_GRUPO,MATCH($C3563,CAT_NOME,0)),"Sem categoria"))</f>
        <v/>
      </c>
      <c r="F3563" s="76" t="n"/>
      <c r="G3563" s="74" t="n"/>
      <c r="H3563" s="74" t="n"/>
      <c r="I3563" s="74" t="n"/>
      <c r="J3563" s="77" t="n"/>
      <c r="K3563" s="77" t="n"/>
      <c r="L3563" s="74" t="n"/>
      <c r="M3563" s="74" t="n"/>
      <c r="O3563" s="78">
        <f>IF($A3563="","",YEAR($A3563)*100+MONTH($A3563))</f>
        <v/>
      </c>
      <c r="P3563" s="79">
        <f>IF(OR($F3563="",$D3563=""),"",IF($D3563="Receita",$F3563,IF($D3563="Transferência",0,-$F3563)))</f>
        <v/>
      </c>
    </row>
    <row r="3564">
      <c r="A3564" s="73" t="n"/>
      <c r="B3564" s="74" t="n"/>
      <c r="C3564" s="74" t="n"/>
      <c r="D3564" s="75">
        <f>IF($C3564="","",IFERROR(INDEX(CAT_TIPO,MATCH($C3564,CAT_NOME,0)),"Sem categoria"))</f>
        <v/>
      </c>
      <c r="E3564" s="75">
        <f>IF($C3564="","",IFERROR(INDEX(CAT_GRUPO,MATCH($C3564,CAT_NOME,0)),"Sem categoria"))</f>
        <v/>
      </c>
      <c r="F3564" s="76" t="n"/>
      <c r="G3564" s="74" t="n"/>
      <c r="H3564" s="74" t="n"/>
      <c r="I3564" s="74" t="n"/>
      <c r="J3564" s="77" t="n"/>
      <c r="K3564" s="77" t="n"/>
      <c r="L3564" s="74" t="n"/>
      <c r="M3564" s="74" t="n"/>
      <c r="O3564" s="78">
        <f>IF($A3564="","",YEAR($A3564)*100+MONTH($A3564))</f>
        <v/>
      </c>
      <c r="P3564" s="79">
        <f>IF(OR($F3564="",$D3564=""),"",IF($D3564="Receita",$F3564,IF($D3564="Transferência",0,-$F3564)))</f>
        <v/>
      </c>
    </row>
    <row r="3565">
      <c r="A3565" s="73" t="n"/>
      <c r="B3565" s="74" t="n"/>
      <c r="C3565" s="74" t="n"/>
      <c r="D3565" s="75">
        <f>IF($C3565="","",IFERROR(INDEX(CAT_TIPO,MATCH($C3565,CAT_NOME,0)),"Sem categoria"))</f>
        <v/>
      </c>
      <c r="E3565" s="75">
        <f>IF($C3565="","",IFERROR(INDEX(CAT_GRUPO,MATCH($C3565,CAT_NOME,0)),"Sem categoria"))</f>
        <v/>
      </c>
      <c r="F3565" s="76" t="n"/>
      <c r="G3565" s="74" t="n"/>
      <c r="H3565" s="74" t="n"/>
      <c r="I3565" s="74" t="n"/>
      <c r="J3565" s="77" t="n"/>
      <c r="K3565" s="77" t="n"/>
      <c r="L3565" s="74" t="n"/>
      <c r="M3565" s="74" t="n"/>
      <c r="O3565" s="78">
        <f>IF($A3565="","",YEAR($A3565)*100+MONTH($A3565))</f>
        <v/>
      </c>
      <c r="P3565" s="79">
        <f>IF(OR($F3565="",$D3565=""),"",IF($D3565="Receita",$F3565,IF($D3565="Transferência",0,-$F3565)))</f>
        <v/>
      </c>
    </row>
    <row r="3566">
      <c r="A3566" s="73" t="n"/>
      <c r="B3566" s="74" t="n"/>
      <c r="C3566" s="74" t="n"/>
      <c r="D3566" s="75">
        <f>IF($C3566="","",IFERROR(INDEX(CAT_TIPO,MATCH($C3566,CAT_NOME,0)),"Sem categoria"))</f>
        <v/>
      </c>
      <c r="E3566" s="75">
        <f>IF($C3566="","",IFERROR(INDEX(CAT_GRUPO,MATCH($C3566,CAT_NOME,0)),"Sem categoria"))</f>
        <v/>
      </c>
      <c r="F3566" s="76" t="n"/>
      <c r="G3566" s="74" t="n"/>
      <c r="H3566" s="74" t="n"/>
      <c r="I3566" s="74" t="n"/>
      <c r="J3566" s="77" t="n"/>
      <c r="K3566" s="77" t="n"/>
      <c r="L3566" s="74" t="n"/>
      <c r="M3566" s="74" t="n"/>
      <c r="O3566" s="78">
        <f>IF($A3566="","",YEAR($A3566)*100+MONTH($A3566))</f>
        <v/>
      </c>
      <c r="P3566" s="79">
        <f>IF(OR($F3566="",$D3566=""),"",IF($D3566="Receita",$F3566,IF($D3566="Transferência",0,-$F3566)))</f>
        <v/>
      </c>
    </row>
    <row r="3567">
      <c r="A3567" s="73" t="n"/>
      <c r="B3567" s="74" t="n"/>
      <c r="C3567" s="74" t="n"/>
      <c r="D3567" s="75">
        <f>IF($C3567="","",IFERROR(INDEX(CAT_TIPO,MATCH($C3567,CAT_NOME,0)),"Sem categoria"))</f>
        <v/>
      </c>
      <c r="E3567" s="75">
        <f>IF($C3567="","",IFERROR(INDEX(CAT_GRUPO,MATCH($C3567,CAT_NOME,0)),"Sem categoria"))</f>
        <v/>
      </c>
      <c r="F3567" s="76" t="n"/>
      <c r="G3567" s="74" t="n"/>
      <c r="H3567" s="74" t="n"/>
      <c r="I3567" s="74" t="n"/>
      <c r="J3567" s="77" t="n"/>
      <c r="K3567" s="77" t="n"/>
      <c r="L3567" s="74" t="n"/>
      <c r="M3567" s="74" t="n"/>
      <c r="O3567" s="78">
        <f>IF($A3567="","",YEAR($A3567)*100+MONTH($A3567))</f>
        <v/>
      </c>
      <c r="P3567" s="79">
        <f>IF(OR($F3567="",$D3567=""),"",IF($D3567="Receita",$F3567,IF($D3567="Transferência",0,-$F3567)))</f>
        <v/>
      </c>
    </row>
    <row r="3568">
      <c r="A3568" s="73" t="n"/>
      <c r="B3568" s="74" t="n"/>
      <c r="C3568" s="74" t="n"/>
      <c r="D3568" s="75">
        <f>IF($C3568="","",IFERROR(INDEX(CAT_TIPO,MATCH($C3568,CAT_NOME,0)),"Sem categoria"))</f>
        <v/>
      </c>
      <c r="E3568" s="75">
        <f>IF($C3568="","",IFERROR(INDEX(CAT_GRUPO,MATCH($C3568,CAT_NOME,0)),"Sem categoria"))</f>
        <v/>
      </c>
      <c r="F3568" s="76" t="n"/>
      <c r="G3568" s="74" t="n"/>
      <c r="H3568" s="74" t="n"/>
      <c r="I3568" s="74" t="n"/>
      <c r="J3568" s="77" t="n"/>
      <c r="K3568" s="77" t="n"/>
      <c r="L3568" s="74" t="n"/>
      <c r="M3568" s="74" t="n"/>
      <c r="O3568" s="78">
        <f>IF($A3568="","",YEAR($A3568)*100+MONTH($A3568))</f>
        <v/>
      </c>
      <c r="P3568" s="79">
        <f>IF(OR($F3568="",$D3568=""),"",IF($D3568="Receita",$F3568,IF($D3568="Transferência",0,-$F3568)))</f>
        <v/>
      </c>
    </row>
    <row r="3569">
      <c r="A3569" s="73" t="n"/>
      <c r="B3569" s="74" t="n"/>
      <c r="C3569" s="74" t="n"/>
      <c r="D3569" s="75">
        <f>IF($C3569="","",IFERROR(INDEX(CAT_TIPO,MATCH($C3569,CAT_NOME,0)),"Sem categoria"))</f>
        <v/>
      </c>
      <c r="E3569" s="75">
        <f>IF($C3569="","",IFERROR(INDEX(CAT_GRUPO,MATCH($C3569,CAT_NOME,0)),"Sem categoria"))</f>
        <v/>
      </c>
      <c r="F3569" s="76" t="n"/>
      <c r="G3569" s="74" t="n"/>
      <c r="H3569" s="74" t="n"/>
      <c r="I3569" s="74" t="n"/>
      <c r="J3569" s="77" t="n"/>
      <c r="K3569" s="77" t="n"/>
      <c r="L3569" s="74" t="n"/>
      <c r="M3569" s="74" t="n"/>
      <c r="O3569" s="78">
        <f>IF($A3569="","",YEAR($A3569)*100+MONTH($A3569))</f>
        <v/>
      </c>
      <c r="P3569" s="79">
        <f>IF(OR($F3569="",$D3569=""),"",IF($D3569="Receita",$F3569,IF($D3569="Transferência",0,-$F3569)))</f>
        <v/>
      </c>
    </row>
    <row r="3570">
      <c r="A3570" s="73" t="n"/>
      <c r="B3570" s="74" t="n"/>
      <c r="C3570" s="74" t="n"/>
      <c r="D3570" s="75">
        <f>IF($C3570="","",IFERROR(INDEX(CAT_TIPO,MATCH($C3570,CAT_NOME,0)),"Sem categoria"))</f>
        <v/>
      </c>
      <c r="E3570" s="75">
        <f>IF($C3570="","",IFERROR(INDEX(CAT_GRUPO,MATCH($C3570,CAT_NOME,0)),"Sem categoria"))</f>
        <v/>
      </c>
      <c r="F3570" s="76" t="n"/>
      <c r="G3570" s="74" t="n"/>
      <c r="H3570" s="74" t="n"/>
      <c r="I3570" s="74" t="n"/>
      <c r="J3570" s="77" t="n"/>
      <c r="K3570" s="77" t="n"/>
      <c r="L3570" s="74" t="n"/>
      <c r="M3570" s="74" t="n"/>
      <c r="O3570" s="78">
        <f>IF($A3570="","",YEAR($A3570)*100+MONTH($A3570))</f>
        <v/>
      </c>
      <c r="P3570" s="79">
        <f>IF(OR($F3570="",$D3570=""),"",IF($D3570="Receita",$F3570,IF($D3570="Transferência",0,-$F3570)))</f>
        <v/>
      </c>
    </row>
    <row r="3571">
      <c r="A3571" s="73" t="n"/>
      <c r="B3571" s="74" t="n"/>
      <c r="C3571" s="74" t="n"/>
      <c r="D3571" s="75">
        <f>IF($C3571="","",IFERROR(INDEX(CAT_TIPO,MATCH($C3571,CAT_NOME,0)),"Sem categoria"))</f>
        <v/>
      </c>
      <c r="E3571" s="75">
        <f>IF($C3571="","",IFERROR(INDEX(CAT_GRUPO,MATCH($C3571,CAT_NOME,0)),"Sem categoria"))</f>
        <v/>
      </c>
      <c r="F3571" s="76" t="n"/>
      <c r="G3571" s="74" t="n"/>
      <c r="H3571" s="74" t="n"/>
      <c r="I3571" s="74" t="n"/>
      <c r="J3571" s="77" t="n"/>
      <c r="K3571" s="77" t="n"/>
      <c r="L3571" s="74" t="n"/>
      <c r="M3571" s="74" t="n"/>
      <c r="O3571" s="78">
        <f>IF($A3571="","",YEAR($A3571)*100+MONTH($A3571))</f>
        <v/>
      </c>
      <c r="P3571" s="79">
        <f>IF(OR($F3571="",$D3571=""),"",IF($D3571="Receita",$F3571,IF($D3571="Transferência",0,-$F3571)))</f>
        <v/>
      </c>
    </row>
    <row r="3572">
      <c r="A3572" s="73" t="n"/>
      <c r="B3572" s="74" t="n"/>
      <c r="C3572" s="74" t="n"/>
      <c r="D3572" s="75">
        <f>IF($C3572="","",IFERROR(INDEX(CAT_TIPO,MATCH($C3572,CAT_NOME,0)),"Sem categoria"))</f>
        <v/>
      </c>
      <c r="E3572" s="75">
        <f>IF($C3572="","",IFERROR(INDEX(CAT_GRUPO,MATCH($C3572,CAT_NOME,0)),"Sem categoria"))</f>
        <v/>
      </c>
      <c r="F3572" s="76" t="n"/>
      <c r="G3572" s="74" t="n"/>
      <c r="H3572" s="74" t="n"/>
      <c r="I3572" s="74" t="n"/>
      <c r="J3572" s="77" t="n"/>
      <c r="K3572" s="77" t="n"/>
      <c r="L3572" s="74" t="n"/>
      <c r="M3572" s="74" t="n"/>
      <c r="O3572" s="78">
        <f>IF($A3572="","",YEAR($A3572)*100+MONTH($A3572))</f>
        <v/>
      </c>
      <c r="P3572" s="79">
        <f>IF(OR($F3572="",$D3572=""),"",IF($D3572="Receita",$F3572,IF($D3572="Transferência",0,-$F3572)))</f>
        <v/>
      </c>
    </row>
    <row r="3573">
      <c r="A3573" s="73" t="n"/>
      <c r="B3573" s="74" t="n"/>
      <c r="C3573" s="74" t="n"/>
      <c r="D3573" s="75">
        <f>IF($C3573="","",IFERROR(INDEX(CAT_TIPO,MATCH($C3573,CAT_NOME,0)),"Sem categoria"))</f>
        <v/>
      </c>
      <c r="E3573" s="75">
        <f>IF($C3573="","",IFERROR(INDEX(CAT_GRUPO,MATCH($C3573,CAT_NOME,0)),"Sem categoria"))</f>
        <v/>
      </c>
      <c r="F3573" s="76" t="n"/>
      <c r="G3573" s="74" t="n"/>
      <c r="H3573" s="74" t="n"/>
      <c r="I3573" s="74" t="n"/>
      <c r="J3573" s="77" t="n"/>
      <c r="K3573" s="77" t="n"/>
      <c r="L3573" s="74" t="n"/>
      <c r="M3573" s="74" t="n"/>
      <c r="O3573" s="78">
        <f>IF($A3573="","",YEAR($A3573)*100+MONTH($A3573))</f>
        <v/>
      </c>
      <c r="P3573" s="79">
        <f>IF(OR($F3573="",$D3573=""),"",IF($D3573="Receita",$F3573,IF($D3573="Transferência",0,-$F3573)))</f>
        <v/>
      </c>
    </row>
    <row r="3574">
      <c r="A3574" s="73" t="n"/>
      <c r="B3574" s="74" t="n"/>
      <c r="C3574" s="74" t="n"/>
      <c r="D3574" s="75">
        <f>IF($C3574="","",IFERROR(INDEX(CAT_TIPO,MATCH($C3574,CAT_NOME,0)),"Sem categoria"))</f>
        <v/>
      </c>
      <c r="E3574" s="75">
        <f>IF($C3574="","",IFERROR(INDEX(CAT_GRUPO,MATCH($C3574,CAT_NOME,0)),"Sem categoria"))</f>
        <v/>
      </c>
      <c r="F3574" s="76" t="n"/>
      <c r="G3574" s="74" t="n"/>
      <c r="H3574" s="74" t="n"/>
      <c r="I3574" s="74" t="n"/>
      <c r="J3574" s="77" t="n"/>
      <c r="K3574" s="77" t="n"/>
      <c r="L3574" s="74" t="n"/>
      <c r="M3574" s="74" t="n"/>
      <c r="O3574" s="78">
        <f>IF($A3574="","",YEAR($A3574)*100+MONTH($A3574))</f>
        <v/>
      </c>
      <c r="P3574" s="79">
        <f>IF(OR($F3574="",$D3574=""),"",IF($D3574="Receita",$F3574,IF($D3574="Transferência",0,-$F3574)))</f>
        <v/>
      </c>
    </row>
    <row r="3575">
      <c r="A3575" s="73" t="n"/>
      <c r="B3575" s="74" t="n"/>
      <c r="C3575" s="74" t="n"/>
      <c r="D3575" s="75">
        <f>IF($C3575="","",IFERROR(INDEX(CAT_TIPO,MATCH($C3575,CAT_NOME,0)),"Sem categoria"))</f>
        <v/>
      </c>
      <c r="E3575" s="75">
        <f>IF($C3575="","",IFERROR(INDEX(CAT_GRUPO,MATCH($C3575,CAT_NOME,0)),"Sem categoria"))</f>
        <v/>
      </c>
      <c r="F3575" s="76" t="n"/>
      <c r="G3575" s="74" t="n"/>
      <c r="H3575" s="74" t="n"/>
      <c r="I3575" s="74" t="n"/>
      <c r="J3575" s="77" t="n"/>
      <c r="K3575" s="77" t="n"/>
      <c r="L3575" s="74" t="n"/>
      <c r="M3575" s="74" t="n"/>
      <c r="O3575" s="78">
        <f>IF($A3575="","",YEAR($A3575)*100+MONTH($A3575))</f>
        <v/>
      </c>
      <c r="P3575" s="79">
        <f>IF(OR($F3575="",$D3575=""),"",IF($D3575="Receita",$F3575,IF($D3575="Transferência",0,-$F3575)))</f>
        <v/>
      </c>
    </row>
    <row r="3576">
      <c r="A3576" s="73" t="n"/>
      <c r="B3576" s="74" t="n"/>
      <c r="C3576" s="74" t="n"/>
      <c r="D3576" s="75">
        <f>IF($C3576="","",IFERROR(INDEX(CAT_TIPO,MATCH($C3576,CAT_NOME,0)),"Sem categoria"))</f>
        <v/>
      </c>
      <c r="E3576" s="75">
        <f>IF($C3576="","",IFERROR(INDEX(CAT_GRUPO,MATCH($C3576,CAT_NOME,0)),"Sem categoria"))</f>
        <v/>
      </c>
      <c r="F3576" s="76" t="n"/>
      <c r="G3576" s="74" t="n"/>
      <c r="H3576" s="74" t="n"/>
      <c r="I3576" s="74" t="n"/>
      <c r="J3576" s="77" t="n"/>
      <c r="K3576" s="77" t="n"/>
      <c r="L3576" s="74" t="n"/>
      <c r="M3576" s="74" t="n"/>
      <c r="O3576" s="78">
        <f>IF($A3576="","",YEAR($A3576)*100+MONTH($A3576))</f>
        <v/>
      </c>
      <c r="P3576" s="79">
        <f>IF(OR($F3576="",$D3576=""),"",IF($D3576="Receita",$F3576,IF($D3576="Transferência",0,-$F3576)))</f>
        <v/>
      </c>
    </row>
    <row r="3577">
      <c r="A3577" s="73" t="n"/>
      <c r="B3577" s="74" t="n"/>
      <c r="C3577" s="74" t="n"/>
      <c r="D3577" s="75">
        <f>IF($C3577="","",IFERROR(INDEX(CAT_TIPO,MATCH($C3577,CAT_NOME,0)),"Sem categoria"))</f>
        <v/>
      </c>
      <c r="E3577" s="75">
        <f>IF($C3577="","",IFERROR(INDEX(CAT_GRUPO,MATCH($C3577,CAT_NOME,0)),"Sem categoria"))</f>
        <v/>
      </c>
      <c r="F3577" s="76" t="n"/>
      <c r="G3577" s="74" t="n"/>
      <c r="H3577" s="74" t="n"/>
      <c r="I3577" s="74" t="n"/>
      <c r="J3577" s="77" t="n"/>
      <c r="K3577" s="77" t="n"/>
      <c r="L3577" s="74" t="n"/>
      <c r="M3577" s="74" t="n"/>
      <c r="O3577" s="78">
        <f>IF($A3577="","",YEAR($A3577)*100+MONTH($A3577))</f>
        <v/>
      </c>
      <c r="P3577" s="79">
        <f>IF(OR($F3577="",$D3577=""),"",IF($D3577="Receita",$F3577,IF($D3577="Transferência",0,-$F3577)))</f>
        <v/>
      </c>
    </row>
    <row r="3578">
      <c r="A3578" s="73" t="n"/>
      <c r="B3578" s="74" t="n"/>
      <c r="C3578" s="74" t="n"/>
      <c r="D3578" s="75">
        <f>IF($C3578="","",IFERROR(INDEX(CAT_TIPO,MATCH($C3578,CAT_NOME,0)),"Sem categoria"))</f>
        <v/>
      </c>
      <c r="E3578" s="75">
        <f>IF($C3578="","",IFERROR(INDEX(CAT_GRUPO,MATCH($C3578,CAT_NOME,0)),"Sem categoria"))</f>
        <v/>
      </c>
      <c r="F3578" s="76" t="n"/>
      <c r="G3578" s="74" t="n"/>
      <c r="H3578" s="74" t="n"/>
      <c r="I3578" s="74" t="n"/>
      <c r="J3578" s="77" t="n"/>
      <c r="K3578" s="77" t="n"/>
      <c r="L3578" s="74" t="n"/>
      <c r="M3578" s="74" t="n"/>
      <c r="O3578" s="78">
        <f>IF($A3578="","",YEAR($A3578)*100+MONTH($A3578))</f>
        <v/>
      </c>
      <c r="P3578" s="79">
        <f>IF(OR($F3578="",$D3578=""),"",IF($D3578="Receita",$F3578,IF($D3578="Transferência",0,-$F3578)))</f>
        <v/>
      </c>
    </row>
    <row r="3579">
      <c r="A3579" s="73" t="n"/>
      <c r="B3579" s="74" t="n"/>
      <c r="C3579" s="74" t="n"/>
      <c r="D3579" s="75">
        <f>IF($C3579="","",IFERROR(INDEX(CAT_TIPO,MATCH($C3579,CAT_NOME,0)),"Sem categoria"))</f>
        <v/>
      </c>
      <c r="E3579" s="75">
        <f>IF($C3579="","",IFERROR(INDEX(CAT_GRUPO,MATCH($C3579,CAT_NOME,0)),"Sem categoria"))</f>
        <v/>
      </c>
      <c r="F3579" s="76" t="n"/>
      <c r="G3579" s="74" t="n"/>
      <c r="H3579" s="74" t="n"/>
      <c r="I3579" s="74" t="n"/>
      <c r="J3579" s="77" t="n"/>
      <c r="K3579" s="77" t="n"/>
      <c r="L3579" s="74" t="n"/>
      <c r="M3579" s="74" t="n"/>
      <c r="O3579" s="78">
        <f>IF($A3579="","",YEAR($A3579)*100+MONTH($A3579))</f>
        <v/>
      </c>
      <c r="P3579" s="79">
        <f>IF(OR($F3579="",$D3579=""),"",IF($D3579="Receita",$F3579,IF($D3579="Transferência",0,-$F3579)))</f>
        <v/>
      </c>
    </row>
    <row r="3580">
      <c r="A3580" s="73" t="n"/>
      <c r="B3580" s="74" t="n"/>
      <c r="C3580" s="74" t="n"/>
      <c r="D3580" s="75">
        <f>IF($C3580="","",IFERROR(INDEX(CAT_TIPO,MATCH($C3580,CAT_NOME,0)),"Sem categoria"))</f>
        <v/>
      </c>
      <c r="E3580" s="75">
        <f>IF($C3580="","",IFERROR(INDEX(CAT_GRUPO,MATCH($C3580,CAT_NOME,0)),"Sem categoria"))</f>
        <v/>
      </c>
      <c r="F3580" s="76" t="n"/>
      <c r="G3580" s="74" t="n"/>
      <c r="H3580" s="74" t="n"/>
      <c r="I3580" s="74" t="n"/>
      <c r="J3580" s="77" t="n"/>
      <c r="K3580" s="77" t="n"/>
      <c r="L3580" s="74" t="n"/>
      <c r="M3580" s="74" t="n"/>
      <c r="O3580" s="78">
        <f>IF($A3580="","",YEAR($A3580)*100+MONTH($A3580))</f>
        <v/>
      </c>
      <c r="P3580" s="79">
        <f>IF(OR($F3580="",$D3580=""),"",IF($D3580="Receita",$F3580,IF($D3580="Transferência",0,-$F3580)))</f>
        <v/>
      </c>
    </row>
    <row r="3581">
      <c r="A3581" s="73" t="n"/>
      <c r="B3581" s="74" t="n"/>
      <c r="C3581" s="74" t="n"/>
      <c r="D3581" s="75">
        <f>IF($C3581="","",IFERROR(INDEX(CAT_TIPO,MATCH($C3581,CAT_NOME,0)),"Sem categoria"))</f>
        <v/>
      </c>
      <c r="E3581" s="75">
        <f>IF($C3581="","",IFERROR(INDEX(CAT_GRUPO,MATCH($C3581,CAT_NOME,0)),"Sem categoria"))</f>
        <v/>
      </c>
      <c r="F3581" s="76" t="n"/>
      <c r="G3581" s="74" t="n"/>
      <c r="H3581" s="74" t="n"/>
      <c r="I3581" s="74" t="n"/>
      <c r="J3581" s="77" t="n"/>
      <c r="K3581" s="77" t="n"/>
      <c r="L3581" s="74" t="n"/>
      <c r="M3581" s="74" t="n"/>
      <c r="O3581" s="78">
        <f>IF($A3581="","",YEAR($A3581)*100+MONTH($A3581))</f>
        <v/>
      </c>
      <c r="P3581" s="79">
        <f>IF(OR($F3581="",$D3581=""),"",IF($D3581="Receita",$F3581,IF($D3581="Transferência",0,-$F3581)))</f>
        <v/>
      </c>
    </row>
    <row r="3582">
      <c r="A3582" s="73" t="n"/>
      <c r="B3582" s="74" t="n"/>
      <c r="C3582" s="74" t="n"/>
      <c r="D3582" s="75">
        <f>IF($C3582="","",IFERROR(INDEX(CAT_TIPO,MATCH($C3582,CAT_NOME,0)),"Sem categoria"))</f>
        <v/>
      </c>
      <c r="E3582" s="75">
        <f>IF($C3582="","",IFERROR(INDEX(CAT_GRUPO,MATCH($C3582,CAT_NOME,0)),"Sem categoria"))</f>
        <v/>
      </c>
      <c r="F3582" s="76" t="n"/>
      <c r="G3582" s="74" t="n"/>
      <c r="H3582" s="74" t="n"/>
      <c r="I3582" s="74" t="n"/>
      <c r="J3582" s="77" t="n"/>
      <c r="K3582" s="77" t="n"/>
      <c r="L3582" s="74" t="n"/>
      <c r="M3582" s="74" t="n"/>
      <c r="O3582" s="78">
        <f>IF($A3582="","",YEAR($A3582)*100+MONTH($A3582))</f>
        <v/>
      </c>
      <c r="P3582" s="79">
        <f>IF(OR($F3582="",$D3582=""),"",IF($D3582="Receita",$F3582,IF($D3582="Transferência",0,-$F3582)))</f>
        <v/>
      </c>
    </row>
    <row r="3583">
      <c r="A3583" s="73" t="n"/>
      <c r="B3583" s="74" t="n"/>
      <c r="C3583" s="74" t="n"/>
      <c r="D3583" s="75">
        <f>IF($C3583="","",IFERROR(INDEX(CAT_TIPO,MATCH($C3583,CAT_NOME,0)),"Sem categoria"))</f>
        <v/>
      </c>
      <c r="E3583" s="75">
        <f>IF($C3583="","",IFERROR(INDEX(CAT_GRUPO,MATCH($C3583,CAT_NOME,0)),"Sem categoria"))</f>
        <v/>
      </c>
      <c r="F3583" s="76" t="n"/>
      <c r="G3583" s="74" t="n"/>
      <c r="H3583" s="74" t="n"/>
      <c r="I3583" s="74" t="n"/>
      <c r="J3583" s="77" t="n"/>
      <c r="K3583" s="77" t="n"/>
      <c r="L3583" s="74" t="n"/>
      <c r="M3583" s="74" t="n"/>
      <c r="O3583" s="78">
        <f>IF($A3583="","",YEAR($A3583)*100+MONTH($A3583))</f>
        <v/>
      </c>
      <c r="P3583" s="79">
        <f>IF(OR($F3583="",$D3583=""),"",IF($D3583="Receita",$F3583,IF($D3583="Transferência",0,-$F3583)))</f>
        <v/>
      </c>
    </row>
    <row r="3584">
      <c r="A3584" s="73" t="n"/>
      <c r="B3584" s="74" t="n"/>
      <c r="C3584" s="74" t="n"/>
      <c r="D3584" s="75">
        <f>IF($C3584="","",IFERROR(INDEX(CAT_TIPO,MATCH($C3584,CAT_NOME,0)),"Sem categoria"))</f>
        <v/>
      </c>
      <c r="E3584" s="75">
        <f>IF($C3584="","",IFERROR(INDEX(CAT_GRUPO,MATCH($C3584,CAT_NOME,0)),"Sem categoria"))</f>
        <v/>
      </c>
      <c r="F3584" s="76" t="n"/>
      <c r="G3584" s="74" t="n"/>
      <c r="H3584" s="74" t="n"/>
      <c r="I3584" s="74" t="n"/>
      <c r="J3584" s="77" t="n"/>
      <c r="K3584" s="77" t="n"/>
      <c r="L3584" s="74" t="n"/>
      <c r="M3584" s="74" t="n"/>
      <c r="O3584" s="78">
        <f>IF($A3584="","",YEAR($A3584)*100+MONTH($A3584))</f>
        <v/>
      </c>
      <c r="P3584" s="79">
        <f>IF(OR($F3584="",$D3584=""),"",IF($D3584="Receita",$F3584,IF($D3584="Transferência",0,-$F3584)))</f>
        <v/>
      </c>
    </row>
    <row r="3585">
      <c r="A3585" s="73" t="n"/>
      <c r="B3585" s="74" t="n"/>
      <c r="C3585" s="74" t="n"/>
      <c r="D3585" s="75">
        <f>IF($C3585="","",IFERROR(INDEX(CAT_TIPO,MATCH($C3585,CAT_NOME,0)),"Sem categoria"))</f>
        <v/>
      </c>
      <c r="E3585" s="75">
        <f>IF($C3585="","",IFERROR(INDEX(CAT_GRUPO,MATCH($C3585,CAT_NOME,0)),"Sem categoria"))</f>
        <v/>
      </c>
      <c r="F3585" s="76" t="n"/>
      <c r="G3585" s="74" t="n"/>
      <c r="H3585" s="74" t="n"/>
      <c r="I3585" s="74" t="n"/>
      <c r="J3585" s="77" t="n"/>
      <c r="K3585" s="77" t="n"/>
      <c r="L3585" s="74" t="n"/>
      <c r="M3585" s="74" t="n"/>
      <c r="O3585" s="78">
        <f>IF($A3585="","",YEAR($A3585)*100+MONTH($A3585))</f>
        <v/>
      </c>
      <c r="P3585" s="79">
        <f>IF(OR($F3585="",$D3585=""),"",IF($D3585="Receita",$F3585,IF($D3585="Transferência",0,-$F3585)))</f>
        <v/>
      </c>
    </row>
    <row r="3586">
      <c r="A3586" s="73" t="n"/>
      <c r="B3586" s="74" t="n"/>
      <c r="C3586" s="74" t="n"/>
      <c r="D3586" s="75">
        <f>IF($C3586="","",IFERROR(INDEX(CAT_TIPO,MATCH($C3586,CAT_NOME,0)),"Sem categoria"))</f>
        <v/>
      </c>
      <c r="E3586" s="75">
        <f>IF($C3586="","",IFERROR(INDEX(CAT_GRUPO,MATCH($C3586,CAT_NOME,0)),"Sem categoria"))</f>
        <v/>
      </c>
      <c r="F3586" s="76" t="n"/>
      <c r="G3586" s="74" t="n"/>
      <c r="H3586" s="74" t="n"/>
      <c r="I3586" s="74" t="n"/>
      <c r="J3586" s="77" t="n"/>
      <c r="K3586" s="77" t="n"/>
      <c r="L3586" s="74" t="n"/>
      <c r="M3586" s="74" t="n"/>
      <c r="O3586" s="78">
        <f>IF($A3586="","",YEAR($A3586)*100+MONTH($A3586))</f>
        <v/>
      </c>
      <c r="P3586" s="79">
        <f>IF(OR($F3586="",$D3586=""),"",IF($D3586="Receita",$F3586,IF($D3586="Transferência",0,-$F3586)))</f>
        <v/>
      </c>
    </row>
    <row r="3587">
      <c r="A3587" s="73" t="n"/>
      <c r="B3587" s="74" t="n"/>
      <c r="C3587" s="74" t="n"/>
      <c r="D3587" s="75">
        <f>IF($C3587="","",IFERROR(INDEX(CAT_TIPO,MATCH($C3587,CAT_NOME,0)),"Sem categoria"))</f>
        <v/>
      </c>
      <c r="E3587" s="75">
        <f>IF($C3587="","",IFERROR(INDEX(CAT_GRUPO,MATCH($C3587,CAT_NOME,0)),"Sem categoria"))</f>
        <v/>
      </c>
      <c r="F3587" s="76" t="n"/>
      <c r="G3587" s="74" t="n"/>
      <c r="H3587" s="74" t="n"/>
      <c r="I3587" s="74" t="n"/>
      <c r="J3587" s="77" t="n"/>
      <c r="K3587" s="77" t="n"/>
      <c r="L3587" s="74" t="n"/>
      <c r="M3587" s="74" t="n"/>
      <c r="O3587" s="78">
        <f>IF($A3587="","",YEAR($A3587)*100+MONTH($A3587))</f>
        <v/>
      </c>
      <c r="P3587" s="79">
        <f>IF(OR($F3587="",$D3587=""),"",IF($D3587="Receita",$F3587,IF($D3587="Transferência",0,-$F3587)))</f>
        <v/>
      </c>
    </row>
    <row r="3588">
      <c r="A3588" s="73" t="n"/>
      <c r="B3588" s="74" t="n"/>
      <c r="C3588" s="74" t="n"/>
      <c r="D3588" s="75">
        <f>IF($C3588="","",IFERROR(INDEX(CAT_TIPO,MATCH($C3588,CAT_NOME,0)),"Sem categoria"))</f>
        <v/>
      </c>
      <c r="E3588" s="75">
        <f>IF($C3588="","",IFERROR(INDEX(CAT_GRUPO,MATCH($C3588,CAT_NOME,0)),"Sem categoria"))</f>
        <v/>
      </c>
      <c r="F3588" s="76" t="n"/>
      <c r="G3588" s="74" t="n"/>
      <c r="H3588" s="74" t="n"/>
      <c r="I3588" s="74" t="n"/>
      <c r="J3588" s="77" t="n"/>
      <c r="K3588" s="77" t="n"/>
      <c r="L3588" s="74" t="n"/>
      <c r="M3588" s="74" t="n"/>
      <c r="O3588" s="78">
        <f>IF($A3588="","",YEAR($A3588)*100+MONTH($A3588))</f>
        <v/>
      </c>
      <c r="P3588" s="79">
        <f>IF(OR($F3588="",$D3588=""),"",IF($D3588="Receita",$F3588,IF($D3588="Transferência",0,-$F3588)))</f>
        <v/>
      </c>
    </row>
    <row r="3589">
      <c r="A3589" s="73" t="n"/>
      <c r="B3589" s="74" t="n"/>
      <c r="C3589" s="74" t="n"/>
      <c r="D3589" s="75">
        <f>IF($C3589="","",IFERROR(INDEX(CAT_TIPO,MATCH($C3589,CAT_NOME,0)),"Sem categoria"))</f>
        <v/>
      </c>
      <c r="E3589" s="75">
        <f>IF($C3589="","",IFERROR(INDEX(CAT_GRUPO,MATCH($C3589,CAT_NOME,0)),"Sem categoria"))</f>
        <v/>
      </c>
      <c r="F3589" s="76" t="n"/>
      <c r="G3589" s="74" t="n"/>
      <c r="H3589" s="74" t="n"/>
      <c r="I3589" s="74" t="n"/>
      <c r="J3589" s="77" t="n"/>
      <c r="K3589" s="77" t="n"/>
      <c r="L3589" s="74" t="n"/>
      <c r="M3589" s="74" t="n"/>
      <c r="O3589" s="78">
        <f>IF($A3589="","",YEAR($A3589)*100+MONTH($A3589))</f>
        <v/>
      </c>
      <c r="P3589" s="79">
        <f>IF(OR($F3589="",$D3589=""),"",IF($D3589="Receita",$F3589,IF($D3589="Transferência",0,-$F3589)))</f>
        <v/>
      </c>
    </row>
    <row r="3590">
      <c r="A3590" s="73" t="n"/>
      <c r="B3590" s="74" t="n"/>
      <c r="C3590" s="74" t="n"/>
      <c r="D3590" s="75">
        <f>IF($C3590="","",IFERROR(INDEX(CAT_TIPO,MATCH($C3590,CAT_NOME,0)),"Sem categoria"))</f>
        <v/>
      </c>
      <c r="E3590" s="75">
        <f>IF($C3590="","",IFERROR(INDEX(CAT_GRUPO,MATCH($C3590,CAT_NOME,0)),"Sem categoria"))</f>
        <v/>
      </c>
      <c r="F3590" s="76" t="n"/>
      <c r="G3590" s="74" t="n"/>
      <c r="H3590" s="74" t="n"/>
      <c r="I3590" s="74" t="n"/>
      <c r="J3590" s="77" t="n"/>
      <c r="K3590" s="77" t="n"/>
      <c r="L3590" s="74" t="n"/>
      <c r="M3590" s="74" t="n"/>
      <c r="O3590" s="78">
        <f>IF($A3590="","",YEAR($A3590)*100+MONTH($A3590))</f>
        <v/>
      </c>
      <c r="P3590" s="79">
        <f>IF(OR($F3590="",$D3590=""),"",IF($D3590="Receita",$F3590,IF($D3590="Transferência",0,-$F3590)))</f>
        <v/>
      </c>
    </row>
    <row r="3591">
      <c r="A3591" s="73" t="n"/>
      <c r="B3591" s="74" t="n"/>
      <c r="C3591" s="74" t="n"/>
      <c r="D3591" s="75">
        <f>IF($C3591="","",IFERROR(INDEX(CAT_TIPO,MATCH($C3591,CAT_NOME,0)),"Sem categoria"))</f>
        <v/>
      </c>
      <c r="E3591" s="75">
        <f>IF($C3591="","",IFERROR(INDEX(CAT_GRUPO,MATCH($C3591,CAT_NOME,0)),"Sem categoria"))</f>
        <v/>
      </c>
      <c r="F3591" s="76" t="n"/>
      <c r="G3591" s="74" t="n"/>
      <c r="H3591" s="74" t="n"/>
      <c r="I3591" s="74" t="n"/>
      <c r="J3591" s="77" t="n"/>
      <c r="K3591" s="77" t="n"/>
      <c r="L3591" s="74" t="n"/>
      <c r="M3591" s="74" t="n"/>
      <c r="O3591" s="78">
        <f>IF($A3591="","",YEAR($A3591)*100+MONTH($A3591))</f>
        <v/>
      </c>
      <c r="P3591" s="79">
        <f>IF(OR($F3591="",$D3591=""),"",IF($D3591="Receita",$F3591,IF($D3591="Transferência",0,-$F3591)))</f>
        <v/>
      </c>
    </row>
    <row r="3592">
      <c r="A3592" s="73" t="n"/>
      <c r="B3592" s="74" t="n"/>
      <c r="C3592" s="74" t="n"/>
      <c r="D3592" s="75">
        <f>IF($C3592="","",IFERROR(INDEX(CAT_TIPO,MATCH($C3592,CAT_NOME,0)),"Sem categoria"))</f>
        <v/>
      </c>
      <c r="E3592" s="75">
        <f>IF($C3592="","",IFERROR(INDEX(CAT_GRUPO,MATCH($C3592,CAT_NOME,0)),"Sem categoria"))</f>
        <v/>
      </c>
      <c r="F3592" s="76" t="n"/>
      <c r="G3592" s="74" t="n"/>
      <c r="H3592" s="74" t="n"/>
      <c r="I3592" s="74" t="n"/>
      <c r="J3592" s="77" t="n"/>
      <c r="K3592" s="77" t="n"/>
      <c r="L3592" s="74" t="n"/>
      <c r="M3592" s="74" t="n"/>
      <c r="O3592" s="78">
        <f>IF($A3592="","",YEAR($A3592)*100+MONTH($A3592))</f>
        <v/>
      </c>
      <c r="P3592" s="79">
        <f>IF(OR($F3592="",$D3592=""),"",IF($D3592="Receita",$F3592,IF($D3592="Transferência",0,-$F3592)))</f>
        <v/>
      </c>
    </row>
    <row r="3593">
      <c r="A3593" s="73" t="n"/>
      <c r="B3593" s="74" t="n"/>
      <c r="C3593" s="74" t="n"/>
      <c r="D3593" s="75">
        <f>IF($C3593="","",IFERROR(INDEX(CAT_TIPO,MATCH($C3593,CAT_NOME,0)),"Sem categoria"))</f>
        <v/>
      </c>
      <c r="E3593" s="75">
        <f>IF($C3593="","",IFERROR(INDEX(CAT_GRUPO,MATCH($C3593,CAT_NOME,0)),"Sem categoria"))</f>
        <v/>
      </c>
      <c r="F3593" s="76" t="n"/>
      <c r="G3593" s="74" t="n"/>
      <c r="H3593" s="74" t="n"/>
      <c r="I3593" s="74" t="n"/>
      <c r="J3593" s="77" t="n"/>
      <c r="K3593" s="77" t="n"/>
      <c r="L3593" s="74" t="n"/>
      <c r="M3593" s="74" t="n"/>
      <c r="O3593" s="78">
        <f>IF($A3593="","",YEAR($A3593)*100+MONTH($A3593))</f>
        <v/>
      </c>
      <c r="P3593" s="79">
        <f>IF(OR($F3593="",$D3593=""),"",IF($D3593="Receita",$F3593,IF($D3593="Transferência",0,-$F3593)))</f>
        <v/>
      </c>
    </row>
    <row r="3594">
      <c r="A3594" s="73" t="n"/>
      <c r="B3594" s="74" t="n"/>
      <c r="C3594" s="74" t="n"/>
      <c r="D3594" s="75">
        <f>IF($C3594="","",IFERROR(INDEX(CAT_TIPO,MATCH($C3594,CAT_NOME,0)),"Sem categoria"))</f>
        <v/>
      </c>
      <c r="E3594" s="75">
        <f>IF($C3594="","",IFERROR(INDEX(CAT_GRUPO,MATCH($C3594,CAT_NOME,0)),"Sem categoria"))</f>
        <v/>
      </c>
      <c r="F3594" s="76" t="n"/>
      <c r="G3594" s="74" t="n"/>
      <c r="H3594" s="74" t="n"/>
      <c r="I3594" s="74" t="n"/>
      <c r="J3594" s="77" t="n"/>
      <c r="K3594" s="77" t="n"/>
      <c r="L3594" s="74" t="n"/>
      <c r="M3594" s="74" t="n"/>
      <c r="O3594" s="78">
        <f>IF($A3594="","",YEAR($A3594)*100+MONTH($A3594))</f>
        <v/>
      </c>
      <c r="P3594" s="79">
        <f>IF(OR($F3594="",$D3594=""),"",IF($D3594="Receita",$F3594,IF($D3594="Transferência",0,-$F3594)))</f>
        <v/>
      </c>
    </row>
    <row r="3595">
      <c r="A3595" s="73" t="n"/>
      <c r="B3595" s="74" t="n"/>
      <c r="C3595" s="74" t="n"/>
      <c r="D3595" s="75">
        <f>IF($C3595="","",IFERROR(INDEX(CAT_TIPO,MATCH($C3595,CAT_NOME,0)),"Sem categoria"))</f>
        <v/>
      </c>
      <c r="E3595" s="75">
        <f>IF($C3595="","",IFERROR(INDEX(CAT_GRUPO,MATCH($C3595,CAT_NOME,0)),"Sem categoria"))</f>
        <v/>
      </c>
      <c r="F3595" s="76" t="n"/>
      <c r="G3595" s="74" t="n"/>
      <c r="H3595" s="74" t="n"/>
      <c r="I3595" s="74" t="n"/>
      <c r="J3595" s="77" t="n"/>
      <c r="K3595" s="77" t="n"/>
      <c r="L3595" s="74" t="n"/>
      <c r="M3595" s="74" t="n"/>
      <c r="O3595" s="78">
        <f>IF($A3595="","",YEAR($A3595)*100+MONTH($A3595))</f>
        <v/>
      </c>
      <c r="P3595" s="79">
        <f>IF(OR($F3595="",$D3595=""),"",IF($D3595="Receita",$F3595,IF($D3595="Transferência",0,-$F3595)))</f>
        <v/>
      </c>
    </row>
    <row r="3596">
      <c r="A3596" s="73" t="n"/>
      <c r="B3596" s="74" t="n"/>
      <c r="C3596" s="74" t="n"/>
      <c r="D3596" s="75">
        <f>IF($C3596="","",IFERROR(INDEX(CAT_TIPO,MATCH($C3596,CAT_NOME,0)),"Sem categoria"))</f>
        <v/>
      </c>
      <c r="E3596" s="75">
        <f>IF($C3596="","",IFERROR(INDEX(CAT_GRUPO,MATCH($C3596,CAT_NOME,0)),"Sem categoria"))</f>
        <v/>
      </c>
      <c r="F3596" s="76" t="n"/>
      <c r="G3596" s="74" t="n"/>
      <c r="H3596" s="74" t="n"/>
      <c r="I3596" s="74" t="n"/>
      <c r="J3596" s="77" t="n"/>
      <c r="K3596" s="77" t="n"/>
      <c r="L3596" s="74" t="n"/>
      <c r="M3596" s="74" t="n"/>
      <c r="O3596" s="78">
        <f>IF($A3596="","",YEAR($A3596)*100+MONTH($A3596))</f>
        <v/>
      </c>
      <c r="P3596" s="79">
        <f>IF(OR($F3596="",$D3596=""),"",IF($D3596="Receita",$F3596,IF($D3596="Transferência",0,-$F3596)))</f>
        <v/>
      </c>
    </row>
    <row r="3597">
      <c r="A3597" s="73" t="n"/>
      <c r="B3597" s="74" t="n"/>
      <c r="C3597" s="74" t="n"/>
      <c r="D3597" s="75">
        <f>IF($C3597="","",IFERROR(INDEX(CAT_TIPO,MATCH($C3597,CAT_NOME,0)),"Sem categoria"))</f>
        <v/>
      </c>
      <c r="E3597" s="75">
        <f>IF($C3597="","",IFERROR(INDEX(CAT_GRUPO,MATCH($C3597,CAT_NOME,0)),"Sem categoria"))</f>
        <v/>
      </c>
      <c r="F3597" s="76" t="n"/>
      <c r="G3597" s="74" t="n"/>
      <c r="H3597" s="74" t="n"/>
      <c r="I3597" s="74" t="n"/>
      <c r="J3597" s="77" t="n"/>
      <c r="K3597" s="77" t="n"/>
      <c r="L3597" s="74" t="n"/>
      <c r="M3597" s="74" t="n"/>
      <c r="O3597" s="78">
        <f>IF($A3597="","",YEAR($A3597)*100+MONTH($A3597))</f>
        <v/>
      </c>
      <c r="P3597" s="79">
        <f>IF(OR($F3597="",$D3597=""),"",IF($D3597="Receita",$F3597,IF($D3597="Transferência",0,-$F3597)))</f>
        <v/>
      </c>
    </row>
    <row r="3598">
      <c r="A3598" s="73" t="n"/>
      <c r="B3598" s="74" t="n"/>
      <c r="C3598" s="74" t="n"/>
      <c r="D3598" s="75">
        <f>IF($C3598="","",IFERROR(INDEX(CAT_TIPO,MATCH($C3598,CAT_NOME,0)),"Sem categoria"))</f>
        <v/>
      </c>
      <c r="E3598" s="75">
        <f>IF($C3598="","",IFERROR(INDEX(CAT_GRUPO,MATCH($C3598,CAT_NOME,0)),"Sem categoria"))</f>
        <v/>
      </c>
      <c r="F3598" s="76" t="n"/>
      <c r="G3598" s="74" t="n"/>
      <c r="H3598" s="74" t="n"/>
      <c r="I3598" s="74" t="n"/>
      <c r="J3598" s="77" t="n"/>
      <c r="K3598" s="77" t="n"/>
      <c r="L3598" s="74" t="n"/>
      <c r="M3598" s="74" t="n"/>
      <c r="O3598" s="78">
        <f>IF($A3598="","",YEAR($A3598)*100+MONTH($A3598))</f>
        <v/>
      </c>
      <c r="P3598" s="79">
        <f>IF(OR($F3598="",$D3598=""),"",IF($D3598="Receita",$F3598,IF($D3598="Transferência",0,-$F3598)))</f>
        <v/>
      </c>
    </row>
    <row r="3599">
      <c r="A3599" s="73" t="n"/>
      <c r="B3599" s="74" t="n"/>
      <c r="C3599" s="74" t="n"/>
      <c r="D3599" s="75">
        <f>IF($C3599="","",IFERROR(INDEX(CAT_TIPO,MATCH($C3599,CAT_NOME,0)),"Sem categoria"))</f>
        <v/>
      </c>
      <c r="E3599" s="75">
        <f>IF($C3599="","",IFERROR(INDEX(CAT_GRUPO,MATCH($C3599,CAT_NOME,0)),"Sem categoria"))</f>
        <v/>
      </c>
      <c r="F3599" s="76" t="n"/>
      <c r="G3599" s="74" t="n"/>
      <c r="H3599" s="74" t="n"/>
      <c r="I3599" s="74" t="n"/>
      <c r="J3599" s="77" t="n"/>
      <c r="K3599" s="77" t="n"/>
      <c r="L3599" s="74" t="n"/>
      <c r="M3599" s="74" t="n"/>
      <c r="O3599" s="78">
        <f>IF($A3599="","",YEAR($A3599)*100+MONTH($A3599))</f>
        <v/>
      </c>
      <c r="P3599" s="79">
        <f>IF(OR($F3599="",$D3599=""),"",IF($D3599="Receita",$F3599,IF($D3599="Transferência",0,-$F3599)))</f>
        <v/>
      </c>
    </row>
    <row r="3600">
      <c r="A3600" s="73" t="n"/>
      <c r="B3600" s="74" t="n"/>
      <c r="C3600" s="74" t="n"/>
      <c r="D3600" s="75">
        <f>IF($C3600="","",IFERROR(INDEX(CAT_TIPO,MATCH($C3600,CAT_NOME,0)),"Sem categoria"))</f>
        <v/>
      </c>
      <c r="E3600" s="75">
        <f>IF($C3600="","",IFERROR(INDEX(CAT_GRUPO,MATCH($C3600,CAT_NOME,0)),"Sem categoria"))</f>
        <v/>
      </c>
      <c r="F3600" s="76" t="n"/>
      <c r="G3600" s="74" t="n"/>
      <c r="H3600" s="74" t="n"/>
      <c r="I3600" s="74" t="n"/>
      <c r="J3600" s="77" t="n"/>
      <c r="K3600" s="77" t="n"/>
      <c r="L3600" s="74" t="n"/>
      <c r="M3600" s="74" t="n"/>
      <c r="O3600" s="78">
        <f>IF($A3600="","",YEAR($A3600)*100+MONTH($A3600))</f>
        <v/>
      </c>
      <c r="P3600" s="79">
        <f>IF(OR($F3600="",$D3600=""),"",IF($D3600="Receita",$F3600,IF($D3600="Transferência",0,-$F3600)))</f>
        <v/>
      </c>
    </row>
    <row r="3601">
      <c r="A3601" s="73" t="n"/>
      <c r="B3601" s="74" t="n"/>
      <c r="C3601" s="74" t="n"/>
      <c r="D3601" s="75">
        <f>IF($C3601="","",IFERROR(INDEX(CAT_TIPO,MATCH($C3601,CAT_NOME,0)),"Sem categoria"))</f>
        <v/>
      </c>
      <c r="E3601" s="75">
        <f>IF($C3601="","",IFERROR(INDEX(CAT_GRUPO,MATCH($C3601,CAT_NOME,0)),"Sem categoria"))</f>
        <v/>
      </c>
      <c r="F3601" s="76" t="n"/>
      <c r="G3601" s="74" t="n"/>
      <c r="H3601" s="74" t="n"/>
      <c r="I3601" s="74" t="n"/>
      <c r="J3601" s="77" t="n"/>
      <c r="K3601" s="77" t="n"/>
      <c r="L3601" s="74" t="n"/>
      <c r="M3601" s="74" t="n"/>
      <c r="O3601" s="78">
        <f>IF($A3601="","",YEAR($A3601)*100+MONTH($A3601))</f>
        <v/>
      </c>
      <c r="P3601" s="79">
        <f>IF(OR($F3601="",$D3601=""),"",IF($D3601="Receita",$F3601,IF($D3601="Transferência",0,-$F3601)))</f>
        <v/>
      </c>
    </row>
    <row r="3602">
      <c r="A3602" s="73" t="n"/>
      <c r="B3602" s="74" t="n"/>
      <c r="C3602" s="74" t="n"/>
      <c r="D3602" s="75">
        <f>IF($C3602="","",IFERROR(INDEX(CAT_TIPO,MATCH($C3602,CAT_NOME,0)),"Sem categoria"))</f>
        <v/>
      </c>
      <c r="E3602" s="75">
        <f>IF($C3602="","",IFERROR(INDEX(CAT_GRUPO,MATCH($C3602,CAT_NOME,0)),"Sem categoria"))</f>
        <v/>
      </c>
      <c r="F3602" s="76" t="n"/>
      <c r="G3602" s="74" t="n"/>
      <c r="H3602" s="74" t="n"/>
      <c r="I3602" s="74" t="n"/>
      <c r="J3602" s="77" t="n"/>
      <c r="K3602" s="77" t="n"/>
      <c r="L3602" s="74" t="n"/>
      <c r="M3602" s="74" t="n"/>
      <c r="O3602" s="78">
        <f>IF($A3602="","",YEAR($A3602)*100+MONTH($A3602))</f>
        <v/>
      </c>
      <c r="P3602" s="79">
        <f>IF(OR($F3602="",$D3602=""),"",IF($D3602="Receita",$F3602,IF($D3602="Transferência",0,-$F3602)))</f>
        <v/>
      </c>
    </row>
    <row r="3603">
      <c r="A3603" s="73" t="n"/>
      <c r="B3603" s="74" t="n"/>
      <c r="C3603" s="74" t="n"/>
      <c r="D3603" s="75">
        <f>IF($C3603="","",IFERROR(INDEX(CAT_TIPO,MATCH($C3603,CAT_NOME,0)),"Sem categoria"))</f>
        <v/>
      </c>
      <c r="E3603" s="75">
        <f>IF($C3603="","",IFERROR(INDEX(CAT_GRUPO,MATCH($C3603,CAT_NOME,0)),"Sem categoria"))</f>
        <v/>
      </c>
      <c r="F3603" s="76" t="n"/>
      <c r="G3603" s="74" t="n"/>
      <c r="H3603" s="74" t="n"/>
      <c r="I3603" s="74" t="n"/>
      <c r="J3603" s="77" t="n"/>
      <c r="K3603" s="77" t="n"/>
      <c r="L3603" s="74" t="n"/>
      <c r="M3603" s="74" t="n"/>
      <c r="O3603" s="78">
        <f>IF($A3603="","",YEAR($A3603)*100+MONTH($A3603))</f>
        <v/>
      </c>
      <c r="P3603" s="79">
        <f>IF(OR($F3603="",$D3603=""),"",IF($D3603="Receita",$F3603,IF($D3603="Transferência",0,-$F3603)))</f>
        <v/>
      </c>
    </row>
    <row r="3604">
      <c r="A3604" s="73" t="n"/>
      <c r="B3604" s="74" t="n"/>
      <c r="C3604" s="74" t="n"/>
      <c r="D3604" s="75">
        <f>IF($C3604="","",IFERROR(INDEX(CAT_TIPO,MATCH($C3604,CAT_NOME,0)),"Sem categoria"))</f>
        <v/>
      </c>
      <c r="E3604" s="75">
        <f>IF($C3604="","",IFERROR(INDEX(CAT_GRUPO,MATCH($C3604,CAT_NOME,0)),"Sem categoria"))</f>
        <v/>
      </c>
      <c r="F3604" s="76" t="n"/>
      <c r="G3604" s="74" t="n"/>
      <c r="H3604" s="74" t="n"/>
      <c r="I3604" s="74" t="n"/>
      <c r="J3604" s="77" t="n"/>
      <c r="K3604" s="77" t="n"/>
      <c r="L3604" s="74" t="n"/>
      <c r="M3604" s="74" t="n"/>
      <c r="O3604" s="78">
        <f>IF($A3604="","",YEAR($A3604)*100+MONTH($A3604))</f>
        <v/>
      </c>
      <c r="P3604" s="79">
        <f>IF(OR($F3604="",$D3604=""),"",IF($D3604="Receita",$F3604,IF($D3604="Transferência",0,-$F3604)))</f>
        <v/>
      </c>
    </row>
    <row r="3605">
      <c r="A3605" s="73" t="n"/>
      <c r="B3605" s="74" t="n"/>
      <c r="C3605" s="74" t="n"/>
      <c r="D3605" s="75">
        <f>IF($C3605="","",IFERROR(INDEX(CAT_TIPO,MATCH($C3605,CAT_NOME,0)),"Sem categoria"))</f>
        <v/>
      </c>
      <c r="E3605" s="75">
        <f>IF($C3605="","",IFERROR(INDEX(CAT_GRUPO,MATCH($C3605,CAT_NOME,0)),"Sem categoria"))</f>
        <v/>
      </c>
      <c r="F3605" s="76" t="n"/>
      <c r="G3605" s="74" t="n"/>
      <c r="H3605" s="74" t="n"/>
      <c r="I3605" s="74" t="n"/>
      <c r="J3605" s="77" t="n"/>
      <c r="K3605" s="77" t="n"/>
      <c r="L3605" s="74" t="n"/>
      <c r="M3605" s="74" t="n"/>
      <c r="O3605" s="78">
        <f>IF($A3605="","",YEAR($A3605)*100+MONTH($A3605))</f>
        <v/>
      </c>
      <c r="P3605" s="79">
        <f>IF(OR($F3605="",$D3605=""),"",IF($D3605="Receita",$F3605,IF($D3605="Transferência",0,-$F3605)))</f>
        <v/>
      </c>
    </row>
    <row r="3606">
      <c r="A3606" s="73" t="n"/>
      <c r="B3606" s="74" t="n"/>
      <c r="C3606" s="74" t="n"/>
      <c r="D3606" s="75">
        <f>IF($C3606="","",IFERROR(INDEX(CAT_TIPO,MATCH($C3606,CAT_NOME,0)),"Sem categoria"))</f>
        <v/>
      </c>
      <c r="E3606" s="75">
        <f>IF($C3606="","",IFERROR(INDEX(CAT_GRUPO,MATCH($C3606,CAT_NOME,0)),"Sem categoria"))</f>
        <v/>
      </c>
      <c r="F3606" s="76" t="n"/>
      <c r="G3606" s="74" t="n"/>
      <c r="H3606" s="74" t="n"/>
      <c r="I3606" s="74" t="n"/>
      <c r="J3606" s="77" t="n"/>
      <c r="K3606" s="77" t="n"/>
      <c r="L3606" s="74" t="n"/>
      <c r="M3606" s="74" t="n"/>
      <c r="O3606" s="78">
        <f>IF($A3606="","",YEAR($A3606)*100+MONTH($A3606))</f>
        <v/>
      </c>
      <c r="P3606" s="79">
        <f>IF(OR($F3606="",$D3606=""),"",IF($D3606="Receita",$F3606,IF($D3606="Transferência",0,-$F3606)))</f>
        <v/>
      </c>
    </row>
    <row r="3607">
      <c r="A3607" s="73" t="n"/>
      <c r="B3607" s="74" t="n"/>
      <c r="C3607" s="74" t="n"/>
      <c r="D3607" s="75">
        <f>IF($C3607="","",IFERROR(INDEX(CAT_TIPO,MATCH($C3607,CAT_NOME,0)),"Sem categoria"))</f>
        <v/>
      </c>
      <c r="E3607" s="75">
        <f>IF($C3607="","",IFERROR(INDEX(CAT_GRUPO,MATCH($C3607,CAT_NOME,0)),"Sem categoria"))</f>
        <v/>
      </c>
      <c r="F3607" s="76" t="n"/>
      <c r="G3607" s="74" t="n"/>
      <c r="H3607" s="74" t="n"/>
      <c r="I3607" s="74" t="n"/>
      <c r="J3607" s="77" t="n"/>
      <c r="K3607" s="77" t="n"/>
      <c r="L3607" s="74" t="n"/>
      <c r="M3607" s="74" t="n"/>
      <c r="O3607" s="78">
        <f>IF($A3607="","",YEAR($A3607)*100+MONTH($A3607))</f>
        <v/>
      </c>
      <c r="P3607" s="79">
        <f>IF(OR($F3607="",$D3607=""),"",IF($D3607="Receita",$F3607,IF($D3607="Transferência",0,-$F3607)))</f>
        <v/>
      </c>
    </row>
    <row r="3608">
      <c r="A3608" s="73" t="n"/>
      <c r="B3608" s="74" t="n"/>
      <c r="C3608" s="74" t="n"/>
      <c r="D3608" s="75">
        <f>IF($C3608="","",IFERROR(INDEX(CAT_TIPO,MATCH($C3608,CAT_NOME,0)),"Sem categoria"))</f>
        <v/>
      </c>
      <c r="E3608" s="75">
        <f>IF($C3608="","",IFERROR(INDEX(CAT_GRUPO,MATCH($C3608,CAT_NOME,0)),"Sem categoria"))</f>
        <v/>
      </c>
      <c r="F3608" s="76" t="n"/>
      <c r="G3608" s="74" t="n"/>
      <c r="H3608" s="74" t="n"/>
      <c r="I3608" s="74" t="n"/>
      <c r="J3608" s="77" t="n"/>
      <c r="K3608" s="77" t="n"/>
      <c r="L3608" s="74" t="n"/>
      <c r="M3608" s="74" t="n"/>
      <c r="O3608" s="78">
        <f>IF($A3608="","",YEAR($A3608)*100+MONTH($A3608))</f>
        <v/>
      </c>
      <c r="P3608" s="79">
        <f>IF(OR($F3608="",$D3608=""),"",IF($D3608="Receita",$F3608,IF($D3608="Transferência",0,-$F3608)))</f>
        <v/>
      </c>
    </row>
    <row r="3609">
      <c r="A3609" s="73" t="n"/>
      <c r="B3609" s="74" t="n"/>
      <c r="C3609" s="74" t="n"/>
      <c r="D3609" s="75">
        <f>IF($C3609="","",IFERROR(INDEX(CAT_TIPO,MATCH($C3609,CAT_NOME,0)),"Sem categoria"))</f>
        <v/>
      </c>
      <c r="E3609" s="75">
        <f>IF($C3609="","",IFERROR(INDEX(CAT_GRUPO,MATCH($C3609,CAT_NOME,0)),"Sem categoria"))</f>
        <v/>
      </c>
      <c r="F3609" s="76" t="n"/>
      <c r="G3609" s="74" t="n"/>
      <c r="H3609" s="74" t="n"/>
      <c r="I3609" s="74" t="n"/>
      <c r="J3609" s="77" t="n"/>
      <c r="K3609" s="77" t="n"/>
      <c r="L3609" s="74" t="n"/>
      <c r="M3609" s="74" t="n"/>
      <c r="O3609" s="78">
        <f>IF($A3609="","",YEAR($A3609)*100+MONTH($A3609))</f>
        <v/>
      </c>
      <c r="P3609" s="79">
        <f>IF(OR($F3609="",$D3609=""),"",IF($D3609="Receita",$F3609,IF($D3609="Transferência",0,-$F3609)))</f>
        <v/>
      </c>
    </row>
    <row r="3610">
      <c r="A3610" s="73" t="n"/>
      <c r="B3610" s="74" t="n"/>
      <c r="C3610" s="74" t="n"/>
      <c r="D3610" s="75">
        <f>IF($C3610="","",IFERROR(INDEX(CAT_TIPO,MATCH($C3610,CAT_NOME,0)),"Sem categoria"))</f>
        <v/>
      </c>
      <c r="E3610" s="75">
        <f>IF($C3610="","",IFERROR(INDEX(CAT_GRUPO,MATCH($C3610,CAT_NOME,0)),"Sem categoria"))</f>
        <v/>
      </c>
      <c r="F3610" s="76" t="n"/>
      <c r="G3610" s="74" t="n"/>
      <c r="H3610" s="74" t="n"/>
      <c r="I3610" s="74" t="n"/>
      <c r="J3610" s="77" t="n"/>
      <c r="K3610" s="77" t="n"/>
      <c r="L3610" s="74" t="n"/>
      <c r="M3610" s="74" t="n"/>
      <c r="O3610" s="78">
        <f>IF($A3610="","",YEAR($A3610)*100+MONTH($A3610))</f>
        <v/>
      </c>
      <c r="P3610" s="79">
        <f>IF(OR($F3610="",$D3610=""),"",IF($D3610="Receita",$F3610,IF($D3610="Transferência",0,-$F3610)))</f>
        <v/>
      </c>
    </row>
    <row r="3611">
      <c r="A3611" s="73" t="n"/>
      <c r="B3611" s="74" t="n"/>
      <c r="C3611" s="74" t="n"/>
      <c r="D3611" s="75">
        <f>IF($C3611="","",IFERROR(INDEX(CAT_TIPO,MATCH($C3611,CAT_NOME,0)),"Sem categoria"))</f>
        <v/>
      </c>
      <c r="E3611" s="75">
        <f>IF($C3611="","",IFERROR(INDEX(CAT_GRUPO,MATCH($C3611,CAT_NOME,0)),"Sem categoria"))</f>
        <v/>
      </c>
      <c r="F3611" s="76" t="n"/>
      <c r="G3611" s="74" t="n"/>
      <c r="H3611" s="74" t="n"/>
      <c r="I3611" s="74" t="n"/>
      <c r="J3611" s="77" t="n"/>
      <c r="K3611" s="77" t="n"/>
      <c r="L3611" s="74" t="n"/>
      <c r="M3611" s="74" t="n"/>
      <c r="O3611" s="78">
        <f>IF($A3611="","",YEAR($A3611)*100+MONTH($A3611))</f>
        <v/>
      </c>
      <c r="P3611" s="79">
        <f>IF(OR($F3611="",$D3611=""),"",IF($D3611="Receita",$F3611,IF($D3611="Transferência",0,-$F3611)))</f>
        <v/>
      </c>
    </row>
    <row r="3612">
      <c r="A3612" s="73" t="n"/>
      <c r="B3612" s="74" t="n"/>
      <c r="C3612" s="74" t="n"/>
      <c r="D3612" s="75">
        <f>IF($C3612="","",IFERROR(INDEX(CAT_TIPO,MATCH($C3612,CAT_NOME,0)),"Sem categoria"))</f>
        <v/>
      </c>
      <c r="E3612" s="75">
        <f>IF($C3612="","",IFERROR(INDEX(CAT_GRUPO,MATCH($C3612,CAT_NOME,0)),"Sem categoria"))</f>
        <v/>
      </c>
      <c r="F3612" s="76" t="n"/>
      <c r="G3612" s="74" t="n"/>
      <c r="H3612" s="74" t="n"/>
      <c r="I3612" s="74" t="n"/>
      <c r="J3612" s="77" t="n"/>
      <c r="K3612" s="77" t="n"/>
      <c r="L3612" s="74" t="n"/>
      <c r="M3612" s="74" t="n"/>
      <c r="O3612" s="78">
        <f>IF($A3612="","",YEAR($A3612)*100+MONTH($A3612))</f>
        <v/>
      </c>
      <c r="P3612" s="79">
        <f>IF(OR($F3612="",$D3612=""),"",IF($D3612="Receita",$F3612,IF($D3612="Transferência",0,-$F3612)))</f>
        <v/>
      </c>
    </row>
    <row r="3613">
      <c r="A3613" s="73" t="n"/>
      <c r="B3613" s="74" t="n"/>
      <c r="C3613" s="74" t="n"/>
      <c r="D3613" s="75">
        <f>IF($C3613="","",IFERROR(INDEX(CAT_TIPO,MATCH($C3613,CAT_NOME,0)),"Sem categoria"))</f>
        <v/>
      </c>
      <c r="E3613" s="75">
        <f>IF($C3613="","",IFERROR(INDEX(CAT_GRUPO,MATCH($C3613,CAT_NOME,0)),"Sem categoria"))</f>
        <v/>
      </c>
      <c r="F3613" s="76" t="n"/>
      <c r="G3613" s="74" t="n"/>
      <c r="H3613" s="74" t="n"/>
      <c r="I3613" s="74" t="n"/>
      <c r="J3613" s="77" t="n"/>
      <c r="K3613" s="77" t="n"/>
      <c r="L3613" s="74" t="n"/>
      <c r="M3613" s="74" t="n"/>
      <c r="O3613" s="78">
        <f>IF($A3613="","",YEAR($A3613)*100+MONTH($A3613))</f>
        <v/>
      </c>
      <c r="P3613" s="79">
        <f>IF(OR($F3613="",$D3613=""),"",IF($D3613="Receita",$F3613,IF($D3613="Transferência",0,-$F3613)))</f>
        <v/>
      </c>
    </row>
    <row r="3614">
      <c r="A3614" s="73" t="n"/>
      <c r="B3614" s="74" t="n"/>
      <c r="C3614" s="74" t="n"/>
      <c r="D3614" s="75">
        <f>IF($C3614="","",IFERROR(INDEX(CAT_TIPO,MATCH($C3614,CAT_NOME,0)),"Sem categoria"))</f>
        <v/>
      </c>
      <c r="E3614" s="75">
        <f>IF($C3614="","",IFERROR(INDEX(CAT_GRUPO,MATCH($C3614,CAT_NOME,0)),"Sem categoria"))</f>
        <v/>
      </c>
      <c r="F3614" s="76" t="n"/>
      <c r="G3614" s="74" t="n"/>
      <c r="H3614" s="74" t="n"/>
      <c r="I3614" s="74" t="n"/>
      <c r="J3614" s="77" t="n"/>
      <c r="K3614" s="77" t="n"/>
      <c r="L3614" s="74" t="n"/>
      <c r="M3614" s="74" t="n"/>
      <c r="O3614" s="78">
        <f>IF($A3614="","",YEAR($A3614)*100+MONTH($A3614))</f>
        <v/>
      </c>
      <c r="P3614" s="79">
        <f>IF(OR($F3614="",$D3614=""),"",IF($D3614="Receita",$F3614,IF($D3614="Transferência",0,-$F3614)))</f>
        <v/>
      </c>
    </row>
    <row r="3615">
      <c r="A3615" s="73" t="n"/>
      <c r="B3615" s="74" t="n"/>
      <c r="C3615" s="74" t="n"/>
      <c r="D3615" s="75">
        <f>IF($C3615="","",IFERROR(INDEX(CAT_TIPO,MATCH($C3615,CAT_NOME,0)),"Sem categoria"))</f>
        <v/>
      </c>
      <c r="E3615" s="75">
        <f>IF($C3615="","",IFERROR(INDEX(CAT_GRUPO,MATCH($C3615,CAT_NOME,0)),"Sem categoria"))</f>
        <v/>
      </c>
      <c r="F3615" s="76" t="n"/>
      <c r="G3615" s="74" t="n"/>
      <c r="H3615" s="74" t="n"/>
      <c r="I3615" s="74" t="n"/>
      <c r="J3615" s="77" t="n"/>
      <c r="K3615" s="77" t="n"/>
      <c r="L3615" s="74" t="n"/>
      <c r="M3615" s="74" t="n"/>
      <c r="O3615" s="78">
        <f>IF($A3615="","",YEAR($A3615)*100+MONTH($A3615))</f>
        <v/>
      </c>
      <c r="P3615" s="79">
        <f>IF(OR($F3615="",$D3615=""),"",IF($D3615="Receita",$F3615,IF($D3615="Transferência",0,-$F3615)))</f>
        <v/>
      </c>
    </row>
    <row r="3616">
      <c r="A3616" s="73" t="n"/>
      <c r="B3616" s="74" t="n"/>
      <c r="C3616" s="74" t="n"/>
      <c r="D3616" s="75">
        <f>IF($C3616="","",IFERROR(INDEX(CAT_TIPO,MATCH($C3616,CAT_NOME,0)),"Sem categoria"))</f>
        <v/>
      </c>
      <c r="E3616" s="75">
        <f>IF($C3616="","",IFERROR(INDEX(CAT_GRUPO,MATCH($C3616,CAT_NOME,0)),"Sem categoria"))</f>
        <v/>
      </c>
      <c r="F3616" s="76" t="n"/>
      <c r="G3616" s="74" t="n"/>
      <c r="H3616" s="74" t="n"/>
      <c r="I3616" s="74" t="n"/>
      <c r="J3616" s="77" t="n"/>
      <c r="K3616" s="77" t="n"/>
      <c r="L3616" s="74" t="n"/>
      <c r="M3616" s="74" t="n"/>
      <c r="O3616" s="78">
        <f>IF($A3616="","",YEAR($A3616)*100+MONTH($A3616))</f>
        <v/>
      </c>
      <c r="P3616" s="79">
        <f>IF(OR($F3616="",$D3616=""),"",IF($D3616="Receita",$F3616,IF($D3616="Transferência",0,-$F3616)))</f>
        <v/>
      </c>
    </row>
    <row r="3617">
      <c r="A3617" s="73" t="n"/>
      <c r="B3617" s="74" t="n"/>
      <c r="C3617" s="74" t="n"/>
      <c r="D3617" s="75">
        <f>IF($C3617="","",IFERROR(INDEX(CAT_TIPO,MATCH($C3617,CAT_NOME,0)),"Sem categoria"))</f>
        <v/>
      </c>
      <c r="E3617" s="75">
        <f>IF($C3617="","",IFERROR(INDEX(CAT_GRUPO,MATCH($C3617,CAT_NOME,0)),"Sem categoria"))</f>
        <v/>
      </c>
      <c r="F3617" s="76" t="n"/>
      <c r="G3617" s="74" t="n"/>
      <c r="H3617" s="74" t="n"/>
      <c r="I3617" s="74" t="n"/>
      <c r="J3617" s="77" t="n"/>
      <c r="K3617" s="77" t="n"/>
      <c r="L3617" s="74" t="n"/>
      <c r="M3617" s="74" t="n"/>
      <c r="O3617" s="78">
        <f>IF($A3617="","",YEAR($A3617)*100+MONTH($A3617))</f>
        <v/>
      </c>
      <c r="P3617" s="79">
        <f>IF(OR($F3617="",$D3617=""),"",IF($D3617="Receita",$F3617,IF($D3617="Transferência",0,-$F3617)))</f>
        <v/>
      </c>
    </row>
    <row r="3618">
      <c r="A3618" s="73" t="n"/>
      <c r="B3618" s="74" t="n"/>
      <c r="C3618" s="74" t="n"/>
      <c r="D3618" s="75">
        <f>IF($C3618="","",IFERROR(INDEX(CAT_TIPO,MATCH($C3618,CAT_NOME,0)),"Sem categoria"))</f>
        <v/>
      </c>
      <c r="E3618" s="75">
        <f>IF($C3618="","",IFERROR(INDEX(CAT_GRUPO,MATCH($C3618,CAT_NOME,0)),"Sem categoria"))</f>
        <v/>
      </c>
      <c r="F3618" s="76" t="n"/>
      <c r="G3618" s="74" t="n"/>
      <c r="H3618" s="74" t="n"/>
      <c r="I3618" s="74" t="n"/>
      <c r="J3618" s="77" t="n"/>
      <c r="K3618" s="77" t="n"/>
      <c r="L3618" s="74" t="n"/>
      <c r="M3618" s="74" t="n"/>
      <c r="O3618" s="78">
        <f>IF($A3618="","",YEAR($A3618)*100+MONTH($A3618))</f>
        <v/>
      </c>
      <c r="P3618" s="79">
        <f>IF(OR($F3618="",$D3618=""),"",IF($D3618="Receita",$F3618,IF($D3618="Transferência",0,-$F3618)))</f>
        <v/>
      </c>
    </row>
    <row r="3619">
      <c r="A3619" s="73" t="n"/>
      <c r="B3619" s="74" t="n"/>
      <c r="C3619" s="74" t="n"/>
      <c r="D3619" s="75">
        <f>IF($C3619="","",IFERROR(INDEX(CAT_TIPO,MATCH($C3619,CAT_NOME,0)),"Sem categoria"))</f>
        <v/>
      </c>
      <c r="E3619" s="75">
        <f>IF($C3619="","",IFERROR(INDEX(CAT_GRUPO,MATCH($C3619,CAT_NOME,0)),"Sem categoria"))</f>
        <v/>
      </c>
      <c r="F3619" s="76" t="n"/>
      <c r="G3619" s="74" t="n"/>
      <c r="H3619" s="74" t="n"/>
      <c r="I3619" s="74" t="n"/>
      <c r="J3619" s="77" t="n"/>
      <c r="K3619" s="77" t="n"/>
      <c r="L3619" s="74" t="n"/>
      <c r="M3619" s="74" t="n"/>
      <c r="O3619" s="78">
        <f>IF($A3619="","",YEAR($A3619)*100+MONTH($A3619))</f>
        <v/>
      </c>
      <c r="P3619" s="79">
        <f>IF(OR($F3619="",$D3619=""),"",IF($D3619="Receita",$F3619,IF($D3619="Transferência",0,-$F3619)))</f>
        <v/>
      </c>
    </row>
    <row r="3620">
      <c r="A3620" s="73" t="n"/>
      <c r="B3620" s="74" t="n"/>
      <c r="C3620" s="74" t="n"/>
      <c r="D3620" s="75">
        <f>IF($C3620="","",IFERROR(INDEX(CAT_TIPO,MATCH($C3620,CAT_NOME,0)),"Sem categoria"))</f>
        <v/>
      </c>
      <c r="E3620" s="75">
        <f>IF($C3620="","",IFERROR(INDEX(CAT_GRUPO,MATCH($C3620,CAT_NOME,0)),"Sem categoria"))</f>
        <v/>
      </c>
      <c r="F3620" s="76" t="n"/>
      <c r="G3620" s="74" t="n"/>
      <c r="H3620" s="74" t="n"/>
      <c r="I3620" s="74" t="n"/>
      <c r="J3620" s="77" t="n"/>
      <c r="K3620" s="77" t="n"/>
      <c r="L3620" s="74" t="n"/>
      <c r="M3620" s="74" t="n"/>
      <c r="O3620" s="78">
        <f>IF($A3620="","",YEAR($A3620)*100+MONTH($A3620))</f>
        <v/>
      </c>
      <c r="P3620" s="79">
        <f>IF(OR($F3620="",$D3620=""),"",IF($D3620="Receita",$F3620,IF($D3620="Transferência",0,-$F3620)))</f>
        <v/>
      </c>
    </row>
    <row r="3621">
      <c r="A3621" s="73" t="n"/>
      <c r="B3621" s="74" t="n"/>
      <c r="C3621" s="74" t="n"/>
      <c r="D3621" s="75">
        <f>IF($C3621="","",IFERROR(INDEX(CAT_TIPO,MATCH($C3621,CAT_NOME,0)),"Sem categoria"))</f>
        <v/>
      </c>
      <c r="E3621" s="75">
        <f>IF($C3621="","",IFERROR(INDEX(CAT_GRUPO,MATCH($C3621,CAT_NOME,0)),"Sem categoria"))</f>
        <v/>
      </c>
      <c r="F3621" s="76" t="n"/>
      <c r="G3621" s="74" t="n"/>
      <c r="H3621" s="74" t="n"/>
      <c r="I3621" s="74" t="n"/>
      <c r="J3621" s="77" t="n"/>
      <c r="K3621" s="77" t="n"/>
      <c r="L3621" s="74" t="n"/>
      <c r="M3621" s="74" t="n"/>
      <c r="O3621" s="78">
        <f>IF($A3621="","",YEAR($A3621)*100+MONTH($A3621))</f>
        <v/>
      </c>
      <c r="P3621" s="79">
        <f>IF(OR($F3621="",$D3621=""),"",IF($D3621="Receita",$F3621,IF($D3621="Transferência",0,-$F3621)))</f>
        <v/>
      </c>
    </row>
    <row r="3622">
      <c r="A3622" s="73" t="n"/>
      <c r="B3622" s="74" t="n"/>
      <c r="C3622" s="74" t="n"/>
      <c r="D3622" s="75">
        <f>IF($C3622="","",IFERROR(INDEX(CAT_TIPO,MATCH($C3622,CAT_NOME,0)),"Sem categoria"))</f>
        <v/>
      </c>
      <c r="E3622" s="75">
        <f>IF($C3622="","",IFERROR(INDEX(CAT_GRUPO,MATCH($C3622,CAT_NOME,0)),"Sem categoria"))</f>
        <v/>
      </c>
      <c r="F3622" s="76" t="n"/>
      <c r="G3622" s="74" t="n"/>
      <c r="H3622" s="74" t="n"/>
      <c r="I3622" s="74" t="n"/>
      <c r="J3622" s="77" t="n"/>
      <c r="K3622" s="77" t="n"/>
      <c r="L3622" s="74" t="n"/>
      <c r="M3622" s="74" t="n"/>
      <c r="O3622" s="78">
        <f>IF($A3622="","",YEAR($A3622)*100+MONTH($A3622))</f>
        <v/>
      </c>
      <c r="P3622" s="79">
        <f>IF(OR($F3622="",$D3622=""),"",IF($D3622="Receita",$F3622,IF($D3622="Transferência",0,-$F3622)))</f>
        <v/>
      </c>
    </row>
    <row r="3623">
      <c r="A3623" s="73" t="n"/>
      <c r="B3623" s="74" t="n"/>
      <c r="C3623" s="74" t="n"/>
      <c r="D3623" s="75">
        <f>IF($C3623="","",IFERROR(INDEX(CAT_TIPO,MATCH($C3623,CAT_NOME,0)),"Sem categoria"))</f>
        <v/>
      </c>
      <c r="E3623" s="75">
        <f>IF($C3623="","",IFERROR(INDEX(CAT_GRUPO,MATCH($C3623,CAT_NOME,0)),"Sem categoria"))</f>
        <v/>
      </c>
      <c r="F3623" s="76" t="n"/>
      <c r="G3623" s="74" t="n"/>
      <c r="H3623" s="74" t="n"/>
      <c r="I3623" s="74" t="n"/>
      <c r="J3623" s="77" t="n"/>
      <c r="K3623" s="77" t="n"/>
      <c r="L3623" s="74" t="n"/>
      <c r="M3623" s="74" t="n"/>
      <c r="O3623" s="78">
        <f>IF($A3623="","",YEAR($A3623)*100+MONTH($A3623))</f>
        <v/>
      </c>
      <c r="P3623" s="79">
        <f>IF(OR($F3623="",$D3623=""),"",IF($D3623="Receita",$F3623,IF($D3623="Transferência",0,-$F3623)))</f>
        <v/>
      </c>
    </row>
    <row r="3624">
      <c r="A3624" s="73" t="n"/>
      <c r="B3624" s="74" t="n"/>
      <c r="C3624" s="74" t="n"/>
      <c r="D3624" s="75">
        <f>IF($C3624="","",IFERROR(INDEX(CAT_TIPO,MATCH($C3624,CAT_NOME,0)),"Sem categoria"))</f>
        <v/>
      </c>
      <c r="E3624" s="75">
        <f>IF($C3624="","",IFERROR(INDEX(CAT_GRUPO,MATCH($C3624,CAT_NOME,0)),"Sem categoria"))</f>
        <v/>
      </c>
      <c r="F3624" s="76" t="n"/>
      <c r="G3624" s="74" t="n"/>
      <c r="H3624" s="74" t="n"/>
      <c r="I3624" s="74" t="n"/>
      <c r="J3624" s="77" t="n"/>
      <c r="K3624" s="77" t="n"/>
      <c r="L3624" s="74" t="n"/>
      <c r="M3624" s="74" t="n"/>
      <c r="O3624" s="78">
        <f>IF($A3624="","",YEAR($A3624)*100+MONTH($A3624))</f>
        <v/>
      </c>
      <c r="P3624" s="79">
        <f>IF(OR($F3624="",$D3624=""),"",IF($D3624="Receita",$F3624,IF($D3624="Transferência",0,-$F3624)))</f>
        <v/>
      </c>
    </row>
    <row r="3625">
      <c r="A3625" s="73" t="n"/>
      <c r="B3625" s="74" t="n"/>
      <c r="C3625" s="74" t="n"/>
      <c r="D3625" s="75">
        <f>IF($C3625="","",IFERROR(INDEX(CAT_TIPO,MATCH($C3625,CAT_NOME,0)),"Sem categoria"))</f>
        <v/>
      </c>
      <c r="E3625" s="75">
        <f>IF($C3625="","",IFERROR(INDEX(CAT_GRUPO,MATCH($C3625,CAT_NOME,0)),"Sem categoria"))</f>
        <v/>
      </c>
      <c r="F3625" s="76" t="n"/>
      <c r="G3625" s="74" t="n"/>
      <c r="H3625" s="74" t="n"/>
      <c r="I3625" s="74" t="n"/>
      <c r="J3625" s="77" t="n"/>
      <c r="K3625" s="77" t="n"/>
      <c r="L3625" s="74" t="n"/>
      <c r="M3625" s="74" t="n"/>
      <c r="O3625" s="78">
        <f>IF($A3625="","",YEAR($A3625)*100+MONTH($A3625))</f>
        <v/>
      </c>
      <c r="P3625" s="79">
        <f>IF(OR($F3625="",$D3625=""),"",IF($D3625="Receita",$F3625,IF($D3625="Transferência",0,-$F3625)))</f>
        <v/>
      </c>
    </row>
    <row r="3626">
      <c r="A3626" s="73" t="n"/>
      <c r="B3626" s="74" t="n"/>
      <c r="C3626" s="74" t="n"/>
      <c r="D3626" s="75">
        <f>IF($C3626="","",IFERROR(INDEX(CAT_TIPO,MATCH($C3626,CAT_NOME,0)),"Sem categoria"))</f>
        <v/>
      </c>
      <c r="E3626" s="75">
        <f>IF($C3626="","",IFERROR(INDEX(CAT_GRUPO,MATCH($C3626,CAT_NOME,0)),"Sem categoria"))</f>
        <v/>
      </c>
      <c r="F3626" s="76" t="n"/>
      <c r="G3626" s="74" t="n"/>
      <c r="H3626" s="74" t="n"/>
      <c r="I3626" s="74" t="n"/>
      <c r="J3626" s="77" t="n"/>
      <c r="K3626" s="77" t="n"/>
      <c r="L3626" s="74" t="n"/>
      <c r="M3626" s="74" t="n"/>
      <c r="O3626" s="78">
        <f>IF($A3626="","",YEAR($A3626)*100+MONTH($A3626))</f>
        <v/>
      </c>
      <c r="P3626" s="79">
        <f>IF(OR($F3626="",$D3626=""),"",IF($D3626="Receita",$F3626,IF($D3626="Transferência",0,-$F3626)))</f>
        <v/>
      </c>
    </row>
    <row r="3627">
      <c r="A3627" s="73" t="n"/>
      <c r="B3627" s="74" t="n"/>
      <c r="C3627" s="74" t="n"/>
      <c r="D3627" s="75">
        <f>IF($C3627="","",IFERROR(INDEX(CAT_TIPO,MATCH($C3627,CAT_NOME,0)),"Sem categoria"))</f>
        <v/>
      </c>
      <c r="E3627" s="75">
        <f>IF($C3627="","",IFERROR(INDEX(CAT_GRUPO,MATCH($C3627,CAT_NOME,0)),"Sem categoria"))</f>
        <v/>
      </c>
      <c r="F3627" s="76" t="n"/>
      <c r="G3627" s="74" t="n"/>
      <c r="H3627" s="74" t="n"/>
      <c r="I3627" s="74" t="n"/>
      <c r="J3627" s="77" t="n"/>
      <c r="K3627" s="77" t="n"/>
      <c r="L3627" s="74" t="n"/>
      <c r="M3627" s="74" t="n"/>
      <c r="O3627" s="78">
        <f>IF($A3627="","",YEAR($A3627)*100+MONTH($A3627))</f>
        <v/>
      </c>
      <c r="P3627" s="79">
        <f>IF(OR($F3627="",$D3627=""),"",IF($D3627="Receita",$F3627,IF($D3627="Transferência",0,-$F3627)))</f>
        <v/>
      </c>
    </row>
    <row r="3628">
      <c r="A3628" s="73" t="n"/>
      <c r="B3628" s="74" t="n"/>
      <c r="C3628" s="74" t="n"/>
      <c r="D3628" s="75">
        <f>IF($C3628="","",IFERROR(INDEX(CAT_TIPO,MATCH($C3628,CAT_NOME,0)),"Sem categoria"))</f>
        <v/>
      </c>
      <c r="E3628" s="75">
        <f>IF($C3628="","",IFERROR(INDEX(CAT_GRUPO,MATCH($C3628,CAT_NOME,0)),"Sem categoria"))</f>
        <v/>
      </c>
      <c r="F3628" s="76" t="n"/>
      <c r="G3628" s="74" t="n"/>
      <c r="H3628" s="74" t="n"/>
      <c r="I3628" s="74" t="n"/>
      <c r="J3628" s="77" t="n"/>
      <c r="K3628" s="77" t="n"/>
      <c r="L3628" s="74" t="n"/>
      <c r="M3628" s="74" t="n"/>
      <c r="O3628" s="78">
        <f>IF($A3628="","",YEAR($A3628)*100+MONTH($A3628))</f>
        <v/>
      </c>
      <c r="P3628" s="79">
        <f>IF(OR($F3628="",$D3628=""),"",IF($D3628="Receita",$F3628,IF($D3628="Transferência",0,-$F3628)))</f>
        <v/>
      </c>
    </row>
    <row r="3629">
      <c r="A3629" s="73" t="n"/>
      <c r="B3629" s="74" t="n"/>
      <c r="C3629" s="74" t="n"/>
      <c r="D3629" s="75">
        <f>IF($C3629="","",IFERROR(INDEX(CAT_TIPO,MATCH($C3629,CAT_NOME,0)),"Sem categoria"))</f>
        <v/>
      </c>
      <c r="E3629" s="75">
        <f>IF($C3629="","",IFERROR(INDEX(CAT_GRUPO,MATCH($C3629,CAT_NOME,0)),"Sem categoria"))</f>
        <v/>
      </c>
      <c r="F3629" s="76" t="n"/>
      <c r="G3629" s="74" t="n"/>
      <c r="H3629" s="74" t="n"/>
      <c r="I3629" s="74" t="n"/>
      <c r="J3629" s="77" t="n"/>
      <c r="K3629" s="77" t="n"/>
      <c r="L3629" s="74" t="n"/>
      <c r="M3629" s="74" t="n"/>
      <c r="O3629" s="78">
        <f>IF($A3629="","",YEAR($A3629)*100+MONTH($A3629))</f>
        <v/>
      </c>
      <c r="P3629" s="79">
        <f>IF(OR($F3629="",$D3629=""),"",IF($D3629="Receita",$F3629,IF($D3629="Transferência",0,-$F3629)))</f>
        <v/>
      </c>
    </row>
    <row r="3630">
      <c r="A3630" s="73" t="n"/>
      <c r="B3630" s="74" t="n"/>
      <c r="C3630" s="74" t="n"/>
      <c r="D3630" s="75">
        <f>IF($C3630="","",IFERROR(INDEX(CAT_TIPO,MATCH($C3630,CAT_NOME,0)),"Sem categoria"))</f>
        <v/>
      </c>
      <c r="E3630" s="75">
        <f>IF($C3630="","",IFERROR(INDEX(CAT_GRUPO,MATCH($C3630,CAT_NOME,0)),"Sem categoria"))</f>
        <v/>
      </c>
      <c r="F3630" s="76" t="n"/>
      <c r="G3630" s="74" t="n"/>
      <c r="H3630" s="74" t="n"/>
      <c r="I3630" s="74" t="n"/>
      <c r="J3630" s="77" t="n"/>
      <c r="K3630" s="77" t="n"/>
      <c r="L3630" s="74" t="n"/>
      <c r="M3630" s="74" t="n"/>
      <c r="O3630" s="78">
        <f>IF($A3630="","",YEAR($A3630)*100+MONTH($A3630))</f>
        <v/>
      </c>
      <c r="P3630" s="79">
        <f>IF(OR($F3630="",$D3630=""),"",IF($D3630="Receita",$F3630,IF($D3630="Transferência",0,-$F3630)))</f>
        <v/>
      </c>
    </row>
    <row r="3631">
      <c r="A3631" s="73" t="n"/>
      <c r="B3631" s="74" t="n"/>
      <c r="C3631" s="74" t="n"/>
      <c r="D3631" s="75">
        <f>IF($C3631="","",IFERROR(INDEX(CAT_TIPO,MATCH($C3631,CAT_NOME,0)),"Sem categoria"))</f>
        <v/>
      </c>
      <c r="E3631" s="75">
        <f>IF($C3631="","",IFERROR(INDEX(CAT_GRUPO,MATCH($C3631,CAT_NOME,0)),"Sem categoria"))</f>
        <v/>
      </c>
      <c r="F3631" s="76" t="n"/>
      <c r="G3631" s="74" t="n"/>
      <c r="H3631" s="74" t="n"/>
      <c r="I3631" s="74" t="n"/>
      <c r="J3631" s="77" t="n"/>
      <c r="K3631" s="77" t="n"/>
      <c r="L3631" s="74" t="n"/>
      <c r="M3631" s="74" t="n"/>
      <c r="O3631" s="78">
        <f>IF($A3631="","",YEAR($A3631)*100+MONTH($A3631))</f>
        <v/>
      </c>
      <c r="P3631" s="79">
        <f>IF(OR($F3631="",$D3631=""),"",IF($D3631="Receita",$F3631,IF($D3631="Transferência",0,-$F3631)))</f>
        <v/>
      </c>
    </row>
    <row r="3632">
      <c r="A3632" s="73" t="n"/>
      <c r="B3632" s="74" t="n"/>
      <c r="C3632" s="74" t="n"/>
      <c r="D3632" s="75">
        <f>IF($C3632="","",IFERROR(INDEX(CAT_TIPO,MATCH($C3632,CAT_NOME,0)),"Sem categoria"))</f>
        <v/>
      </c>
      <c r="E3632" s="75">
        <f>IF($C3632="","",IFERROR(INDEX(CAT_GRUPO,MATCH($C3632,CAT_NOME,0)),"Sem categoria"))</f>
        <v/>
      </c>
      <c r="F3632" s="76" t="n"/>
      <c r="G3632" s="74" t="n"/>
      <c r="H3632" s="74" t="n"/>
      <c r="I3632" s="74" t="n"/>
      <c r="J3632" s="77" t="n"/>
      <c r="K3632" s="77" t="n"/>
      <c r="L3632" s="74" t="n"/>
      <c r="M3632" s="74" t="n"/>
      <c r="O3632" s="78">
        <f>IF($A3632="","",YEAR($A3632)*100+MONTH($A3632))</f>
        <v/>
      </c>
      <c r="P3632" s="79">
        <f>IF(OR($F3632="",$D3632=""),"",IF($D3632="Receita",$F3632,IF($D3632="Transferência",0,-$F3632)))</f>
        <v/>
      </c>
    </row>
    <row r="3633">
      <c r="A3633" s="73" t="n"/>
      <c r="B3633" s="74" t="n"/>
      <c r="C3633" s="74" t="n"/>
      <c r="D3633" s="75">
        <f>IF($C3633="","",IFERROR(INDEX(CAT_TIPO,MATCH($C3633,CAT_NOME,0)),"Sem categoria"))</f>
        <v/>
      </c>
      <c r="E3633" s="75">
        <f>IF($C3633="","",IFERROR(INDEX(CAT_GRUPO,MATCH($C3633,CAT_NOME,0)),"Sem categoria"))</f>
        <v/>
      </c>
      <c r="F3633" s="76" t="n"/>
      <c r="G3633" s="74" t="n"/>
      <c r="H3633" s="74" t="n"/>
      <c r="I3633" s="74" t="n"/>
      <c r="J3633" s="77" t="n"/>
      <c r="K3633" s="77" t="n"/>
      <c r="L3633" s="74" t="n"/>
      <c r="M3633" s="74" t="n"/>
      <c r="O3633" s="78">
        <f>IF($A3633="","",YEAR($A3633)*100+MONTH($A3633))</f>
        <v/>
      </c>
      <c r="P3633" s="79">
        <f>IF(OR($F3633="",$D3633=""),"",IF($D3633="Receita",$F3633,IF($D3633="Transferência",0,-$F3633)))</f>
        <v/>
      </c>
    </row>
    <row r="3634">
      <c r="A3634" s="73" t="n"/>
      <c r="B3634" s="74" t="n"/>
      <c r="C3634" s="74" t="n"/>
      <c r="D3634" s="75">
        <f>IF($C3634="","",IFERROR(INDEX(CAT_TIPO,MATCH($C3634,CAT_NOME,0)),"Sem categoria"))</f>
        <v/>
      </c>
      <c r="E3634" s="75">
        <f>IF($C3634="","",IFERROR(INDEX(CAT_GRUPO,MATCH($C3634,CAT_NOME,0)),"Sem categoria"))</f>
        <v/>
      </c>
      <c r="F3634" s="76" t="n"/>
      <c r="G3634" s="74" t="n"/>
      <c r="H3634" s="74" t="n"/>
      <c r="I3634" s="74" t="n"/>
      <c r="J3634" s="77" t="n"/>
      <c r="K3634" s="77" t="n"/>
      <c r="L3634" s="74" t="n"/>
      <c r="M3634" s="74" t="n"/>
      <c r="O3634" s="78">
        <f>IF($A3634="","",YEAR($A3634)*100+MONTH($A3634))</f>
        <v/>
      </c>
      <c r="P3634" s="79">
        <f>IF(OR($F3634="",$D3634=""),"",IF($D3634="Receita",$F3634,IF($D3634="Transferência",0,-$F3634)))</f>
        <v/>
      </c>
    </row>
    <row r="3635">
      <c r="A3635" s="73" t="n"/>
      <c r="B3635" s="74" t="n"/>
      <c r="C3635" s="74" t="n"/>
      <c r="D3635" s="75">
        <f>IF($C3635="","",IFERROR(INDEX(CAT_TIPO,MATCH($C3635,CAT_NOME,0)),"Sem categoria"))</f>
        <v/>
      </c>
      <c r="E3635" s="75">
        <f>IF($C3635="","",IFERROR(INDEX(CAT_GRUPO,MATCH($C3635,CAT_NOME,0)),"Sem categoria"))</f>
        <v/>
      </c>
      <c r="F3635" s="76" t="n"/>
      <c r="G3635" s="74" t="n"/>
      <c r="H3635" s="74" t="n"/>
      <c r="I3635" s="74" t="n"/>
      <c r="J3635" s="77" t="n"/>
      <c r="K3635" s="77" t="n"/>
      <c r="L3635" s="74" t="n"/>
      <c r="M3635" s="74" t="n"/>
      <c r="O3635" s="78">
        <f>IF($A3635="","",YEAR($A3635)*100+MONTH($A3635))</f>
        <v/>
      </c>
      <c r="P3635" s="79">
        <f>IF(OR($F3635="",$D3635=""),"",IF($D3635="Receita",$F3635,IF($D3635="Transferência",0,-$F3635)))</f>
        <v/>
      </c>
    </row>
    <row r="3636">
      <c r="A3636" s="73" t="n"/>
      <c r="B3636" s="74" t="n"/>
      <c r="C3636" s="74" t="n"/>
      <c r="D3636" s="75">
        <f>IF($C3636="","",IFERROR(INDEX(CAT_TIPO,MATCH($C3636,CAT_NOME,0)),"Sem categoria"))</f>
        <v/>
      </c>
      <c r="E3636" s="75">
        <f>IF($C3636="","",IFERROR(INDEX(CAT_GRUPO,MATCH($C3636,CAT_NOME,0)),"Sem categoria"))</f>
        <v/>
      </c>
      <c r="F3636" s="76" t="n"/>
      <c r="G3636" s="74" t="n"/>
      <c r="H3636" s="74" t="n"/>
      <c r="I3636" s="74" t="n"/>
      <c r="J3636" s="77" t="n"/>
      <c r="K3636" s="77" t="n"/>
      <c r="L3636" s="74" t="n"/>
      <c r="M3636" s="74" t="n"/>
      <c r="O3636" s="78">
        <f>IF($A3636="","",YEAR($A3636)*100+MONTH($A3636))</f>
        <v/>
      </c>
      <c r="P3636" s="79">
        <f>IF(OR($F3636="",$D3636=""),"",IF($D3636="Receita",$F3636,IF($D3636="Transferência",0,-$F3636)))</f>
        <v/>
      </c>
    </row>
    <row r="3637">
      <c r="A3637" s="73" t="n"/>
      <c r="B3637" s="74" t="n"/>
      <c r="C3637" s="74" t="n"/>
      <c r="D3637" s="75">
        <f>IF($C3637="","",IFERROR(INDEX(CAT_TIPO,MATCH($C3637,CAT_NOME,0)),"Sem categoria"))</f>
        <v/>
      </c>
      <c r="E3637" s="75">
        <f>IF($C3637="","",IFERROR(INDEX(CAT_GRUPO,MATCH($C3637,CAT_NOME,0)),"Sem categoria"))</f>
        <v/>
      </c>
      <c r="F3637" s="76" t="n"/>
      <c r="G3637" s="74" t="n"/>
      <c r="H3637" s="74" t="n"/>
      <c r="I3637" s="74" t="n"/>
      <c r="J3637" s="77" t="n"/>
      <c r="K3637" s="77" t="n"/>
      <c r="L3637" s="74" t="n"/>
      <c r="M3637" s="74" t="n"/>
      <c r="O3637" s="78">
        <f>IF($A3637="","",YEAR($A3637)*100+MONTH($A3637))</f>
        <v/>
      </c>
      <c r="P3637" s="79">
        <f>IF(OR($F3637="",$D3637=""),"",IF($D3637="Receita",$F3637,IF($D3637="Transferência",0,-$F3637)))</f>
        <v/>
      </c>
    </row>
    <row r="3638">
      <c r="A3638" s="73" t="n"/>
      <c r="B3638" s="74" t="n"/>
      <c r="C3638" s="74" t="n"/>
      <c r="D3638" s="75">
        <f>IF($C3638="","",IFERROR(INDEX(CAT_TIPO,MATCH($C3638,CAT_NOME,0)),"Sem categoria"))</f>
        <v/>
      </c>
      <c r="E3638" s="75">
        <f>IF($C3638="","",IFERROR(INDEX(CAT_GRUPO,MATCH($C3638,CAT_NOME,0)),"Sem categoria"))</f>
        <v/>
      </c>
      <c r="F3638" s="76" t="n"/>
      <c r="G3638" s="74" t="n"/>
      <c r="H3638" s="74" t="n"/>
      <c r="I3638" s="74" t="n"/>
      <c r="J3638" s="77" t="n"/>
      <c r="K3638" s="77" t="n"/>
      <c r="L3638" s="74" t="n"/>
      <c r="M3638" s="74" t="n"/>
      <c r="O3638" s="78">
        <f>IF($A3638="","",YEAR($A3638)*100+MONTH($A3638))</f>
        <v/>
      </c>
      <c r="P3638" s="79">
        <f>IF(OR($F3638="",$D3638=""),"",IF($D3638="Receita",$F3638,IF($D3638="Transferência",0,-$F3638)))</f>
        <v/>
      </c>
    </row>
    <row r="3639">
      <c r="A3639" s="73" t="n"/>
      <c r="B3639" s="74" t="n"/>
      <c r="C3639" s="74" t="n"/>
      <c r="D3639" s="75">
        <f>IF($C3639="","",IFERROR(INDEX(CAT_TIPO,MATCH($C3639,CAT_NOME,0)),"Sem categoria"))</f>
        <v/>
      </c>
      <c r="E3639" s="75">
        <f>IF($C3639="","",IFERROR(INDEX(CAT_GRUPO,MATCH($C3639,CAT_NOME,0)),"Sem categoria"))</f>
        <v/>
      </c>
      <c r="F3639" s="76" t="n"/>
      <c r="G3639" s="74" t="n"/>
      <c r="H3639" s="74" t="n"/>
      <c r="I3639" s="74" t="n"/>
      <c r="J3639" s="77" t="n"/>
      <c r="K3639" s="77" t="n"/>
      <c r="L3639" s="74" t="n"/>
      <c r="M3639" s="74" t="n"/>
      <c r="O3639" s="78">
        <f>IF($A3639="","",YEAR($A3639)*100+MONTH($A3639))</f>
        <v/>
      </c>
      <c r="P3639" s="79">
        <f>IF(OR($F3639="",$D3639=""),"",IF($D3639="Receita",$F3639,IF($D3639="Transferência",0,-$F3639)))</f>
        <v/>
      </c>
    </row>
    <row r="3640">
      <c r="A3640" s="73" t="n"/>
      <c r="B3640" s="74" t="n"/>
      <c r="C3640" s="74" t="n"/>
      <c r="D3640" s="75">
        <f>IF($C3640="","",IFERROR(INDEX(CAT_TIPO,MATCH($C3640,CAT_NOME,0)),"Sem categoria"))</f>
        <v/>
      </c>
      <c r="E3640" s="75">
        <f>IF($C3640="","",IFERROR(INDEX(CAT_GRUPO,MATCH($C3640,CAT_NOME,0)),"Sem categoria"))</f>
        <v/>
      </c>
      <c r="F3640" s="76" t="n"/>
      <c r="G3640" s="74" t="n"/>
      <c r="H3640" s="74" t="n"/>
      <c r="I3640" s="74" t="n"/>
      <c r="J3640" s="77" t="n"/>
      <c r="K3640" s="77" t="n"/>
      <c r="L3640" s="74" t="n"/>
      <c r="M3640" s="74" t="n"/>
      <c r="O3640" s="78">
        <f>IF($A3640="","",YEAR($A3640)*100+MONTH($A3640))</f>
        <v/>
      </c>
      <c r="P3640" s="79">
        <f>IF(OR($F3640="",$D3640=""),"",IF($D3640="Receita",$F3640,IF($D3640="Transferência",0,-$F3640)))</f>
        <v/>
      </c>
    </row>
    <row r="3641">
      <c r="A3641" s="73" t="n"/>
      <c r="B3641" s="74" t="n"/>
      <c r="C3641" s="74" t="n"/>
      <c r="D3641" s="75">
        <f>IF($C3641="","",IFERROR(INDEX(CAT_TIPO,MATCH($C3641,CAT_NOME,0)),"Sem categoria"))</f>
        <v/>
      </c>
      <c r="E3641" s="75">
        <f>IF($C3641="","",IFERROR(INDEX(CAT_GRUPO,MATCH($C3641,CAT_NOME,0)),"Sem categoria"))</f>
        <v/>
      </c>
      <c r="F3641" s="76" t="n"/>
      <c r="G3641" s="74" t="n"/>
      <c r="H3641" s="74" t="n"/>
      <c r="I3641" s="74" t="n"/>
      <c r="J3641" s="77" t="n"/>
      <c r="K3641" s="77" t="n"/>
      <c r="L3641" s="74" t="n"/>
      <c r="M3641" s="74" t="n"/>
      <c r="O3641" s="78">
        <f>IF($A3641="","",YEAR($A3641)*100+MONTH($A3641))</f>
        <v/>
      </c>
      <c r="P3641" s="79">
        <f>IF(OR($F3641="",$D3641=""),"",IF($D3641="Receita",$F3641,IF($D3641="Transferência",0,-$F3641)))</f>
        <v/>
      </c>
    </row>
    <row r="3642">
      <c r="A3642" s="73" t="n"/>
      <c r="B3642" s="74" t="n"/>
      <c r="C3642" s="74" t="n"/>
      <c r="D3642" s="75">
        <f>IF($C3642="","",IFERROR(INDEX(CAT_TIPO,MATCH($C3642,CAT_NOME,0)),"Sem categoria"))</f>
        <v/>
      </c>
      <c r="E3642" s="75">
        <f>IF($C3642="","",IFERROR(INDEX(CAT_GRUPO,MATCH($C3642,CAT_NOME,0)),"Sem categoria"))</f>
        <v/>
      </c>
      <c r="F3642" s="76" t="n"/>
      <c r="G3642" s="74" t="n"/>
      <c r="H3642" s="74" t="n"/>
      <c r="I3642" s="74" t="n"/>
      <c r="J3642" s="77" t="n"/>
      <c r="K3642" s="77" t="n"/>
      <c r="L3642" s="74" t="n"/>
      <c r="M3642" s="74" t="n"/>
      <c r="O3642" s="78">
        <f>IF($A3642="","",YEAR($A3642)*100+MONTH($A3642))</f>
        <v/>
      </c>
      <c r="P3642" s="79">
        <f>IF(OR($F3642="",$D3642=""),"",IF($D3642="Receita",$F3642,IF($D3642="Transferência",0,-$F3642)))</f>
        <v/>
      </c>
    </row>
    <row r="3643">
      <c r="A3643" s="73" t="n"/>
      <c r="B3643" s="74" t="n"/>
      <c r="C3643" s="74" t="n"/>
      <c r="D3643" s="75">
        <f>IF($C3643="","",IFERROR(INDEX(CAT_TIPO,MATCH($C3643,CAT_NOME,0)),"Sem categoria"))</f>
        <v/>
      </c>
      <c r="E3643" s="75">
        <f>IF($C3643="","",IFERROR(INDEX(CAT_GRUPO,MATCH($C3643,CAT_NOME,0)),"Sem categoria"))</f>
        <v/>
      </c>
      <c r="F3643" s="76" t="n"/>
      <c r="G3643" s="74" t="n"/>
      <c r="H3643" s="74" t="n"/>
      <c r="I3643" s="74" t="n"/>
      <c r="J3643" s="77" t="n"/>
      <c r="K3643" s="77" t="n"/>
      <c r="L3643" s="74" t="n"/>
      <c r="M3643" s="74" t="n"/>
      <c r="O3643" s="78">
        <f>IF($A3643="","",YEAR($A3643)*100+MONTH($A3643))</f>
        <v/>
      </c>
      <c r="P3643" s="79">
        <f>IF(OR($F3643="",$D3643=""),"",IF($D3643="Receita",$F3643,IF($D3643="Transferência",0,-$F3643)))</f>
        <v/>
      </c>
    </row>
    <row r="3644">
      <c r="A3644" s="73" t="n"/>
      <c r="B3644" s="74" t="n"/>
      <c r="C3644" s="74" t="n"/>
      <c r="D3644" s="75">
        <f>IF($C3644="","",IFERROR(INDEX(CAT_TIPO,MATCH($C3644,CAT_NOME,0)),"Sem categoria"))</f>
        <v/>
      </c>
      <c r="E3644" s="75">
        <f>IF($C3644="","",IFERROR(INDEX(CAT_GRUPO,MATCH($C3644,CAT_NOME,0)),"Sem categoria"))</f>
        <v/>
      </c>
      <c r="F3644" s="76" t="n"/>
      <c r="G3644" s="74" t="n"/>
      <c r="H3644" s="74" t="n"/>
      <c r="I3644" s="74" t="n"/>
      <c r="J3644" s="77" t="n"/>
      <c r="K3644" s="77" t="n"/>
      <c r="L3644" s="74" t="n"/>
      <c r="M3644" s="74" t="n"/>
      <c r="O3644" s="78">
        <f>IF($A3644="","",YEAR($A3644)*100+MONTH($A3644))</f>
        <v/>
      </c>
      <c r="P3644" s="79">
        <f>IF(OR($F3644="",$D3644=""),"",IF($D3644="Receita",$F3644,IF($D3644="Transferência",0,-$F3644)))</f>
        <v/>
      </c>
    </row>
    <row r="3645">
      <c r="A3645" s="73" t="n"/>
      <c r="B3645" s="74" t="n"/>
      <c r="C3645" s="74" t="n"/>
      <c r="D3645" s="75">
        <f>IF($C3645="","",IFERROR(INDEX(CAT_TIPO,MATCH($C3645,CAT_NOME,0)),"Sem categoria"))</f>
        <v/>
      </c>
      <c r="E3645" s="75">
        <f>IF($C3645="","",IFERROR(INDEX(CAT_GRUPO,MATCH($C3645,CAT_NOME,0)),"Sem categoria"))</f>
        <v/>
      </c>
      <c r="F3645" s="76" t="n"/>
      <c r="G3645" s="74" t="n"/>
      <c r="H3645" s="74" t="n"/>
      <c r="I3645" s="74" t="n"/>
      <c r="J3645" s="77" t="n"/>
      <c r="K3645" s="77" t="n"/>
      <c r="L3645" s="74" t="n"/>
      <c r="M3645" s="74" t="n"/>
      <c r="O3645" s="78">
        <f>IF($A3645="","",YEAR($A3645)*100+MONTH($A3645))</f>
        <v/>
      </c>
      <c r="P3645" s="79">
        <f>IF(OR($F3645="",$D3645=""),"",IF($D3645="Receita",$F3645,IF($D3645="Transferência",0,-$F3645)))</f>
        <v/>
      </c>
    </row>
    <row r="3646">
      <c r="A3646" s="73" t="n"/>
      <c r="B3646" s="74" t="n"/>
      <c r="C3646" s="74" t="n"/>
      <c r="D3646" s="75">
        <f>IF($C3646="","",IFERROR(INDEX(CAT_TIPO,MATCH($C3646,CAT_NOME,0)),"Sem categoria"))</f>
        <v/>
      </c>
      <c r="E3646" s="75">
        <f>IF($C3646="","",IFERROR(INDEX(CAT_GRUPO,MATCH($C3646,CAT_NOME,0)),"Sem categoria"))</f>
        <v/>
      </c>
      <c r="F3646" s="76" t="n"/>
      <c r="G3646" s="74" t="n"/>
      <c r="H3646" s="74" t="n"/>
      <c r="I3646" s="74" t="n"/>
      <c r="J3646" s="77" t="n"/>
      <c r="K3646" s="77" t="n"/>
      <c r="L3646" s="74" t="n"/>
      <c r="M3646" s="74" t="n"/>
      <c r="O3646" s="78">
        <f>IF($A3646="","",YEAR($A3646)*100+MONTH($A3646))</f>
        <v/>
      </c>
      <c r="P3646" s="79">
        <f>IF(OR($F3646="",$D3646=""),"",IF($D3646="Receita",$F3646,IF($D3646="Transferência",0,-$F3646)))</f>
        <v/>
      </c>
    </row>
    <row r="3647">
      <c r="A3647" s="73" t="n"/>
      <c r="B3647" s="74" t="n"/>
      <c r="C3647" s="74" t="n"/>
      <c r="D3647" s="75">
        <f>IF($C3647="","",IFERROR(INDEX(CAT_TIPO,MATCH($C3647,CAT_NOME,0)),"Sem categoria"))</f>
        <v/>
      </c>
      <c r="E3647" s="75">
        <f>IF($C3647="","",IFERROR(INDEX(CAT_GRUPO,MATCH($C3647,CAT_NOME,0)),"Sem categoria"))</f>
        <v/>
      </c>
      <c r="F3647" s="76" t="n"/>
      <c r="G3647" s="74" t="n"/>
      <c r="H3647" s="74" t="n"/>
      <c r="I3647" s="74" t="n"/>
      <c r="J3647" s="77" t="n"/>
      <c r="K3647" s="77" t="n"/>
      <c r="L3647" s="74" t="n"/>
      <c r="M3647" s="74" t="n"/>
      <c r="O3647" s="78">
        <f>IF($A3647="","",YEAR($A3647)*100+MONTH($A3647))</f>
        <v/>
      </c>
      <c r="P3647" s="79">
        <f>IF(OR($F3647="",$D3647=""),"",IF($D3647="Receita",$F3647,IF($D3647="Transferência",0,-$F3647)))</f>
        <v/>
      </c>
    </row>
    <row r="3648">
      <c r="A3648" s="73" t="n"/>
      <c r="B3648" s="74" t="n"/>
      <c r="C3648" s="74" t="n"/>
      <c r="D3648" s="75">
        <f>IF($C3648="","",IFERROR(INDEX(CAT_TIPO,MATCH($C3648,CAT_NOME,0)),"Sem categoria"))</f>
        <v/>
      </c>
      <c r="E3648" s="75">
        <f>IF($C3648="","",IFERROR(INDEX(CAT_GRUPO,MATCH($C3648,CAT_NOME,0)),"Sem categoria"))</f>
        <v/>
      </c>
      <c r="F3648" s="76" t="n"/>
      <c r="G3648" s="74" t="n"/>
      <c r="H3648" s="74" t="n"/>
      <c r="I3648" s="74" t="n"/>
      <c r="J3648" s="77" t="n"/>
      <c r="K3648" s="77" t="n"/>
      <c r="L3648" s="74" t="n"/>
      <c r="M3648" s="74" t="n"/>
      <c r="O3648" s="78">
        <f>IF($A3648="","",YEAR($A3648)*100+MONTH($A3648))</f>
        <v/>
      </c>
      <c r="P3648" s="79">
        <f>IF(OR($F3648="",$D3648=""),"",IF($D3648="Receita",$F3648,IF($D3648="Transferência",0,-$F3648)))</f>
        <v/>
      </c>
    </row>
    <row r="3649">
      <c r="A3649" s="73" t="n"/>
      <c r="B3649" s="74" t="n"/>
      <c r="C3649" s="74" t="n"/>
      <c r="D3649" s="75">
        <f>IF($C3649="","",IFERROR(INDEX(CAT_TIPO,MATCH($C3649,CAT_NOME,0)),"Sem categoria"))</f>
        <v/>
      </c>
      <c r="E3649" s="75">
        <f>IF($C3649="","",IFERROR(INDEX(CAT_GRUPO,MATCH($C3649,CAT_NOME,0)),"Sem categoria"))</f>
        <v/>
      </c>
      <c r="F3649" s="76" t="n"/>
      <c r="G3649" s="74" t="n"/>
      <c r="H3649" s="74" t="n"/>
      <c r="I3649" s="74" t="n"/>
      <c r="J3649" s="77" t="n"/>
      <c r="K3649" s="77" t="n"/>
      <c r="L3649" s="74" t="n"/>
      <c r="M3649" s="74" t="n"/>
      <c r="O3649" s="78">
        <f>IF($A3649="","",YEAR($A3649)*100+MONTH($A3649))</f>
        <v/>
      </c>
      <c r="P3649" s="79">
        <f>IF(OR($F3649="",$D3649=""),"",IF($D3649="Receita",$F3649,IF($D3649="Transferência",0,-$F3649)))</f>
        <v/>
      </c>
    </row>
    <row r="3650">
      <c r="A3650" s="73" t="n"/>
      <c r="B3650" s="74" t="n"/>
      <c r="C3650" s="74" t="n"/>
      <c r="D3650" s="75">
        <f>IF($C3650="","",IFERROR(INDEX(CAT_TIPO,MATCH($C3650,CAT_NOME,0)),"Sem categoria"))</f>
        <v/>
      </c>
      <c r="E3650" s="75">
        <f>IF($C3650="","",IFERROR(INDEX(CAT_GRUPO,MATCH($C3650,CAT_NOME,0)),"Sem categoria"))</f>
        <v/>
      </c>
      <c r="F3650" s="76" t="n"/>
      <c r="G3650" s="74" t="n"/>
      <c r="H3650" s="74" t="n"/>
      <c r="I3650" s="74" t="n"/>
      <c r="J3650" s="77" t="n"/>
      <c r="K3650" s="77" t="n"/>
      <c r="L3650" s="74" t="n"/>
      <c r="M3650" s="74" t="n"/>
      <c r="O3650" s="78">
        <f>IF($A3650="","",YEAR($A3650)*100+MONTH($A3650))</f>
        <v/>
      </c>
      <c r="P3650" s="79">
        <f>IF(OR($F3650="",$D3650=""),"",IF($D3650="Receita",$F3650,IF($D3650="Transferência",0,-$F3650)))</f>
        <v/>
      </c>
    </row>
    <row r="3651">
      <c r="A3651" s="73" t="n"/>
      <c r="B3651" s="74" t="n"/>
      <c r="C3651" s="74" t="n"/>
      <c r="D3651" s="75">
        <f>IF($C3651="","",IFERROR(INDEX(CAT_TIPO,MATCH($C3651,CAT_NOME,0)),"Sem categoria"))</f>
        <v/>
      </c>
      <c r="E3651" s="75">
        <f>IF($C3651="","",IFERROR(INDEX(CAT_GRUPO,MATCH($C3651,CAT_NOME,0)),"Sem categoria"))</f>
        <v/>
      </c>
      <c r="F3651" s="76" t="n"/>
      <c r="G3651" s="74" t="n"/>
      <c r="H3651" s="74" t="n"/>
      <c r="I3651" s="74" t="n"/>
      <c r="J3651" s="77" t="n"/>
      <c r="K3651" s="77" t="n"/>
      <c r="L3651" s="74" t="n"/>
      <c r="M3651" s="74" t="n"/>
      <c r="O3651" s="78">
        <f>IF($A3651="","",YEAR($A3651)*100+MONTH($A3651))</f>
        <v/>
      </c>
      <c r="P3651" s="79">
        <f>IF(OR($F3651="",$D3651=""),"",IF($D3651="Receita",$F3651,IF($D3651="Transferência",0,-$F3651)))</f>
        <v/>
      </c>
    </row>
    <row r="3652">
      <c r="A3652" s="73" t="n"/>
      <c r="B3652" s="74" t="n"/>
      <c r="C3652" s="74" t="n"/>
      <c r="D3652" s="75">
        <f>IF($C3652="","",IFERROR(INDEX(CAT_TIPO,MATCH($C3652,CAT_NOME,0)),"Sem categoria"))</f>
        <v/>
      </c>
      <c r="E3652" s="75">
        <f>IF($C3652="","",IFERROR(INDEX(CAT_GRUPO,MATCH($C3652,CAT_NOME,0)),"Sem categoria"))</f>
        <v/>
      </c>
      <c r="F3652" s="76" t="n"/>
      <c r="G3652" s="74" t="n"/>
      <c r="H3652" s="74" t="n"/>
      <c r="I3652" s="74" t="n"/>
      <c r="J3652" s="77" t="n"/>
      <c r="K3652" s="77" t="n"/>
      <c r="L3652" s="74" t="n"/>
      <c r="M3652" s="74" t="n"/>
      <c r="O3652" s="78">
        <f>IF($A3652="","",YEAR($A3652)*100+MONTH($A3652))</f>
        <v/>
      </c>
      <c r="P3652" s="79">
        <f>IF(OR($F3652="",$D3652=""),"",IF($D3652="Receita",$F3652,IF($D3652="Transferência",0,-$F3652)))</f>
        <v/>
      </c>
    </row>
    <row r="3653">
      <c r="A3653" s="73" t="n"/>
      <c r="B3653" s="74" t="n"/>
      <c r="C3653" s="74" t="n"/>
      <c r="D3653" s="75">
        <f>IF($C3653="","",IFERROR(INDEX(CAT_TIPO,MATCH($C3653,CAT_NOME,0)),"Sem categoria"))</f>
        <v/>
      </c>
      <c r="E3653" s="75">
        <f>IF($C3653="","",IFERROR(INDEX(CAT_GRUPO,MATCH($C3653,CAT_NOME,0)),"Sem categoria"))</f>
        <v/>
      </c>
      <c r="F3653" s="76" t="n"/>
      <c r="G3653" s="74" t="n"/>
      <c r="H3653" s="74" t="n"/>
      <c r="I3653" s="74" t="n"/>
      <c r="J3653" s="77" t="n"/>
      <c r="K3653" s="77" t="n"/>
      <c r="L3653" s="74" t="n"/>
      <c r="M3653" s="74" t="n"/>
      <c r="O3653" s="78">
        <f>IF($A3653="","",YEAR($A3653)*100+MONTH($A3653))</f>
        <v/>
      </c>
      <c r="P3653" s="79">
        <f>IF(OR($F3653="",$D3653=""),"",IF($D3653="Receita",$F3653,IF($D3653="Transferência",0,-$F3653)))</f>
        <v/>
      </c>
    </row>
    <row r="3654">
      <c r="A3654" s="73" t="n"/>
      <c r="B3654" s="74" t="n"/>
      <c r="C3654" s="74" t="n"/>
      <c r="D3654" s="75">
        <f>IF($C3654="","",IFERROR(INDEX(CAT_TIPO,MATCH($C3654,CAT_NOME,0)),"Sem categoria"))</f>
        <v/>
      </c>
      <c r="E3654" s="75">
        <f>IF($C3654="","",IFERROR(INDEX(CAT_GRUPO,MATCH($C3654,CAT_NOME,0)),"Sem categoria"))</f>
        <v/>
      </c>
      <c r="F3654" s="76" t="n"/>
      <c r="G3654" s="74" t="n"/>
      <c r="H3654" s="74" t="n"/>
      <c r="I3654" s="74" t="n"/>
      <c r="J3654" s="77" t="n"/>
      <c r="K3654" s="77" t="n"/>
      <c r="L3654" s="74" t="n"/>
      <c r="M3654" s="74" t="n"/>
      <c r="O3654" s="78">
        <f>IF($A3654="","",YEAR($A3654)*100+MONTH($A3654))</f>
        <v/>
      </c>
      <c r="P3654" s="79">
        <f>IF(OR($F3654="",$D3654=""),"",IF($D3654="Receita",$F3654,IF($D3654="Transferência",0,-$F3654)))</f>
        <v/>
      </c>
    </row>
    <row r="3655">
      <c r="A3655" s="73" t="n"/>
      <c r="B3655" s="74" t="n"/>
      <c r="C3655" s="74" t="n"/>
      <c r="D3655" s="75">
        <f>IF($C3655="","",IFERROR(INDEX(CAT_TIPO,MATCH($C3655,CAT_NOME,0)),"Sem categoria"))</f>
        <v/>
      </c>
      <c r="E3655" s="75">
        <f>IF($C3655="","",IFERROR(INDEX(CAT_GRUPO,MATCH($C3655,CAT_NOME,0)),"Sem categoria"))</f>
        <v/>
      </c>
      <c r="F3655" s="76" t="n"/>
      <c r="G3655" s="74" t="n"/>
      <c r="H3655" s="74" t="n"/>
      <c r="I3655" s="74" t="n"/>
      <c r="J3655" s="77" t="n"/>
      <c r="K3655" s="77" t="n"/>
      <c r="L3655" s="74" t="n"/>
      <c r="M3655" s="74" t="n"/>
      <c r="O3655" s="78">
        <f>IF($A3655="","",YEAR($A3655)*100+MONTH($A3655))</f>
        <v/>
      </c>
      <c r="P3655" s="79">
        <f>IF(OR($F3655="",$D3655=""),"",IF($D3655="Receita",$F3655,IF($D3655="Transferência",0,-$F3655)))</f>
        <v/>
      </c>
    </row>
    <row r="3656">
      <c r="A3656" s="73" t="n"/>
      <c r="B3656" s="74" t="n"/>
      <c r="C3656" s="74" t="n"/>
      <c r="D3656" s="75">
        <f>IF($C3656="","",IFERROR(INDEX(CAT_TIPO,MATCH($C3656,CAT_NOME,0)),"Sem categoria"))</f>
        <v/>
      </c>
      <c r="E3656" s="75">
        <f>IF($C3656="","",IFERROR(INDEX(CAT_GRUPO,MATCH($C3656,CAT_NOME,0)),"Sem categoria"))</f>
        <v/>
      </c>
      <c r="F3656" s="76" t="n"/>
      <c r="G3656" s="74" t="n"/>
      <c r="H3656" s="74" t="n"/>
      <c r="I3656" s="74" t="n"/>
      <c r="J3656" s="77" t="n"/>
      <c r="K3656" s="77" t="n"/>
      <c r="L3656" s="74" t="n"/>
      <c r="M3656" s="74" t="n"/>
      <c r="O3656" s="78">
        <f>IF($A3656="","",YEAR($A3656)*100+MONTH($A3656))</f>
        <v/>
      </c>
      <c r="P3656" s="79">
        <f>IF(OR($F3656="",$D3656=""),"",IF($D3656="Receita",$F3656,IF($D3656="Transferência",0,-$F3656)))</f>
        <v/>
      </c>
    </row>
    <row r="3657">
      <c r="A3657" s="73" t="n"/>
      <c r="B3657" s="74" t="n"/>
      <c r="C3657" s="74" t="n"/>
      <c r="D3657" s="75">
        <f>IF($C3657="","",IFERROR(INDEX(CAT_TIPO,MATCH($C3657,CAT_NOME,0)),"Sem categoria"))</f>
        <v/>
      </c>
      <c r="E3657" s="75">
        <f>IF($C3657="","",IFERROR(INDEX(CAT_GRUPO,MATCH($C3657,CAT_NOME,0)),"Sem categoria"))</f>
        <v/>
      </c>
      <c r="F3657" s="76" t="n"/>
      <c r="G3657" s="74" t="n"/>
      <c r="H3657" s="74" t="n"/>
      <c r="I3657" s="74" t="n"/>
      <c r="J3657" s="77" t="n"/>
      <c r="K3657" s="77" t="n"/>
      <c r="L3657" s="74" t="n"/>
      <c r="M3657" s="74" t="n"/>
      <c r="O3657" s="78">
        <f>IF($A3657="","",YEAR($A3657)*100+MONTH($A3657))</f>
        <v/>
      </c>
      <c r="P3657" s="79">
        <f>IF(OR($F3657="",$D3657=""),"",IF($D3657="Receita",$F3657,IF($D3657="Transferência",0,-$F3657)))</f>
        <v/>
      </c>
    </row>
    <row r="3658">
      <c r="A3658" s="73" t="n"/>
      <c r="B3658" s="74" t="n"/>
      <c r="C3658" s="74" t="n"/>
      <c r="D3658" s="75">
        <f>IF($C3658="","",IFERROR(INDEX(CAT_TIPO,MATCH($C3658,CAT_NOME,0)),"Sem categoria"))</f>
        <v/>
      </c>
      <c r="E3658" s="75">
        <f>IF($C3658="","",IFERROR(INDEX(CAT_GRUPO,MATCH($C3658,CAT_NOME,0)),"Sem categoria"))</f>
        <v/>
      </c>
      <c r="F3658" s="76" t="n"/>
      <c r="G3658" s="74" t="n"/>
      <c r="H3658" s="74" t="n"/>
      <c r="I3658" s="74" t="n"/>
      <c r="J3658" s="77" t="n"/>
      <c r="K3658" s="77" t="n"/>
      <c r="L3658" s="74" t="n"/>
      <c r="M3658" s="74" t="n"/>
      <c r="O3658" s="78">
        <f>IF($A3658="","",YEAR($A3658)*100+MONTH($A3658))</f>
        <v/>
      </c>
      <c r="P3658" s="79">
        <f>IF(OR($F3658="",$D3658=""),"",IF($D3658="Receita",$F3658,IF($D3658="Transferência",0,-$F3658)))</f>
        <v/>
      </c>
    </row>
    <row r="3659">
      <c r="A3659" s="73" t="n"/>
      <c r="B3659" s="74" t="n"/>
      <c r="C3659" s="74" t="n"/>
      <c r="D3659" s="75">
        <f>IF($C3659="","",IFERROR(INDEX(CAT_TIPO,MATCH($C3659,CAT_NOME,0)),"Sem categoria"))</f>
        <v/>
      </c>
      <c r="E3659" s="75">
        <f>IF($C3659="","",IFERROR(INDEX(CAT_GRUPO,MATCH($C3659,CAT_NOME,0)),"Sem categoria"))</f>
        <v/>
      </c>
      <c r="F3659" s="76" t="n"/>
      <c r="G3659" s="74" t="n"/>
      <c r="H3659" s="74" t="n"/>
      <c r="I3659" s="74" t="n"/>
      <c r="J3659" s="77" t="n"/>
      <c r="K3659" s="77" t="n"/>
      <c r="L3659" s="74" t="n"/>
      <c r="M3659" s="74" t="n"/>
      <c r="O3659" s="78">
        <f>IF($A3659="","",YEAR($A3659)*100+MONTH($A3659))</f>
        <v/>
      </c>
      <c r="P3659" s="79">
        <f>IF(OR($F3659="",$D3659=""),"",IF($D3659="Receita",$F3659,IF($D3659="Transferência",0,-$F3659)))</f>
        <v/>
      </c>
    </row>
    <row r="3660">
      <c r="A3660" s="73" t="n"/>
      <c r="B3660" s="74" t="n"/>
      <c r="C3660" s="74" t="n"/>
      <c r="D3660" s="75">
        <f>IF($C3660="","",IFERROR(INDEX(CAT_TIPO,MATCH($C3660,CAT_NOME,0)),"Sem categoria"))</f>
        <v/>
      </c>
      <c r="E3660" s="75">
        <f>IF($C3660="","",IFERROR(INDEX(CAT_GRUPO,MATCH($C3660,CAT_NOME,0)),"Sem categoria"))</f>
        <v/>
      </c>
      <c r="F3660" s="76" t="n"/>
      <c r="G3660" s="74" t="n"/>
      <c r="H3660" s="74" t="n"/>
      <c r="I3660" s="74" t="n"/>
      <c r="J3660" s="77" t="n"/>
      <c r="K3660" s="77" t="n"/>
      <c r="L3660" s="74" t="n"/>
      <c r="M3660" s="74" t="n"/>
      <c r="O3660" s="78">
        <f>IF($A3660="","",YEAR($A3660)*100+MONTH($A3660))</f>
        <v/>
      </c>
      <c r="P3660" s="79">
        <f>IF(OR($F3660="",$D3660=""),"",IF($D3660="Receita",$F3660,IF($D3660="Transferência",0,-$F3660)))</f>
        <v/>
      </c>
    </row>
    <row r="3661">
      <c r="A3661" s="73" t="n"/>
      <c r="B3661" s="74" t="n"/>
      <c r="C3661" s="74" t="n"/>
      <c r="D3661" s="75">
        <f>IF($C3661="","",IFERROR(INDEX(CAT_TIPO,MATCH($C3661,CAT_NOME,0)),"Sem categoria"))</f>
        <v/>
      </c>
      <c r="E3661" s="75">
        <f>IF($C3661="","",IFERROR(INDEX(CAT_GRUPO,MATCH($C3661,CAT_NOME,0)),"Sem categoria"))</f>
        <v/>
      </c>
      <c r="F3661" s="76" t="n"/>
      <c r="G3661" s="74" t="n"/>
      <c r="H3661" s="74" t="n"/>
      <c r="I3661" s="74" t="n"/>
      <c r="J3661" s="77" t="n"/>
      <c r="K3661" s="77" t="n"/>
      <c r="L3661" s="74" t="n"/>
      <c r="M3661" s="74" t="n"/>
      <c r="O3661" s="78">
        <f>IF($A3661="","",YEAR($A3661)*100+MONTH($A3661))</f>
        <v/>
      </c>
      <c r="P3661" s="79">
        <f>IF(OR($F3661="",$D3661=""),"",IF($D3661="Receita",$F3661,IF($D3661="Transferência",0,-$F3661)))</f>
        <v/>
      </c>
    </row>
    <row r="3662">
      <c r="A3662" s="73" t="n"/>
      <c r="B3662" s="74" t="n"/>
      <c r="C3662" s="74" t="n"/>
      <c r="D3662" s="75">
        <f>IF($C3662="","",IFERROR(INDEX(CAT_TIPO,MATCH($C3662,CAT_NOME,0)),"Sem categoria"))</f>
        <v/>
      </c>
      <c r="E3662" s="75">
        <f>IF($C3662="","",IFERROR(INDEX(CAT_GRUPO,MATCH($C3662,CAT_NOME,0)),"Sem categoria"))</f>
        <v/>
      </c>
      <c r="F3662" s="76" t="n"/>
      <c r="G3662" s="74" t="n"/>
      <c r="H3662" s="74" t="n"/>
      <c r="I3662" s="74" t="n"/>
      <c r="J3662" s="77" t="n"/>
      <c r="K3662" s="77" t="n"/>
      <c r="L3662" s="74" t="n"/>
      <c r="M3662" s="74" t="n"/>
      <c r="O3662" s="78">
        <f>IF($A3662="","",YEAR($A3662)*100+MONTH($A3662))</f>
        <v/>
      </c>
      <c r="P3662" s="79">
        <f>IF(OR($F3662="",$D3662=""),"",IF($D3662="Receita",$F3662,IF($D3662="Transferência",0,-$F3662)))</f>
        <v/>
      </c>
    </row>
    <row r="3663">
      <c r="A3663" s="73" t="n"/>
      <c r="B3663" s="74" t="n"/>
      <c r="C3663" s="74" t="n"/>
      <c r="D3663" s="75">
        <f>IF($C3663="","",IFERROR(INDEX(CAT_TIPO,MATCH($C3663,CAT_NOME,0)),"Sem categoria"))</f>
        <v/>
      </c>
      <c r="E3663" s="75">
        <f>IF($C3663="","",IFERROR(INDEX(CAT_GRUPO,MATCH($C3663,CAT_NOME,0)),"Sem categoria"))</f>
        <v/>
      </c>
      <c r="F3663" s="76" t="n"/>
      <c r="G3663" s="74" t="n"/>
      <c r="H3663" s="74" t="n"/>
      <c r="I3663" s="74" t="n"/>
      <c r="J3663" s="77" t="n"/>
      <c r="K3663" s="77" t="n"/>
      <c r="L3663" s="74" t="n"/>
      <c r="M3663" s="74" t="n"/>
      <c r="O3663" s="78">
        <f>IF($A3663="","",YEAR($A3663)*100+MONTH($A3663))</f>
        <v/>
      </c>
      <c r="P3663" s="79">
        <f>IF(OR($F3663="",$D3663=""),"",IF($D3663="Receita",$F3663,IF($D3663="Transferência",0,-$F3663)))</f>
        <v/>
      </c>
    </row>
    <row r="3664">
      <c r="A3664" s="73" t="n"/>
      <c r="B3664" s="74" t="n"/>
      <c r="C3664" s="74" t="n"/>
      <c r="D3664" s="75">
        <f>IF($C3664="","",IFERROR(INDEX(CAT_TIPO,MATCH($C3664,CAT_NOME,0)),"Sem categoria"))</f>
        <v/>
      </c>
      <c r="E3664" s="75">
        <f>IF($C3664="","",IFERROR(INDEX(CAT_GRUPO,MATCH($C3664,CAT_NOME,0)),"Sem categoria"))</f>
        <v/>
      </c>
      <c r="F3664" s="76" t="n"/>
      <c r="G3664" s="74" t="n"/>
      <c r="H3664" s="74" t="n"/>
      <c r="I3664" s="74" t="n"/>
      <c r="J3664" s="77" t="n"/>
      <c r="K3664" s="77" t="n"/>
      <c r="L3664" s="74" t="n"/>
      <c r="M3664" s="74" t="n"/>
      <c r="O3664" s="78">
        <f>IF($A3664="","",YEAR($A3664)*100+MONTH($A3664))</f>
        <v/>
      </c>
      <c r="P3664" s="79">
        <f>IF(OR($F3664="",$D3664=""),"",IF($D3664="Receita",$F3664,IF($D3664="Transferência",0,-$F3664)))</f>
        <v/>
      </c>
    </row>
    <row r="3665">
      <c r="A3665" s="73" t="n"/>
      <c r="B3665" s="74" t="n"/>
      <c r="C3665" s="74" t="n"/>
      <c r="D3665" s="75">
        <f>IF($C3665="","",IFERROR(INDEX(CAT_TIPO,MATCH($C3665,CAT_NOME,0)),"Sem categoria"))</f>
        <v/>
      </c>
      <c r="E3665" s="75">
        <f>IF($C3665="","",IFERROR(INDEX(CAT_GRUPO,MATCH($C3665,CAT_NOME,0)),"Sem categoria"))</f>
        <v/>
      </c>
      <c r="F3665" s="76" t="n"/>
      <c r="G3665" s="74" t="n"/>
      <c r="H3665" s="74" t="n"/>
      <c r="I3665" s="74" t="n"/>
      <c r="J3665" s="77" t="n"/>
      <c r="K3665" s="77" t="n"/>
      <c r="L3665" s="74" t="n"/>
      <c r="M3665" s="74" t="n"/>
      <c r="O3665" s="78">
        <f>IF($A3665="","",YEAR($A3665)*100+MONTH($A3665))</f>
        <v/>
      </c>
      <c r="P3665" s="79">
        <f>IF(OR($F3665="",$D3665=""),"",IF($D3665="Receita",$F3665,IF($D3665="Transferência",0,-$F3665)))</f>
        <v/>
      </c>
    </row>
    <row r="3666">
      <c r="A3666" s="73" t="n"/>
      <c r="B3666" s="74" t="n"/>
      <c r="C3666" s="74" t="n"/>
      <c r="D3666" s="75">
        <f>IF($C3666="","",IFERROR(INDEX(CAT_TIPO,MATCH($C3666,CAT_NOME,0)),"Sem categoria"))</f>
        <v/>
      </c>
      <c r="E3666" s="75">
        <f>IF($C3666="","",IFERROR(INDEX(CAT_GRUPO,MATCH($C3666,CAT_NOME,0)),"Sem categoria"))</f>
        <v/>
      </c>
      <c r="F3666" s="76" t="n"/>
      <c r="G3666" s="74" t="n"/>
      <c r="H3666" s="74" t="n"/>
      <c r="I3666" s="74" t="n"/>
      <c r="J3666" s="77" t="n"/>
      <c r="K3666" s="77" t="n"/>
      <c r="L3666" s="74" t="n"/>
      <c r="M3666" s="74" t="n"/>
      <c r="O3666" s="78">
        <f>IF($A3666="","",YEAR($A3666)*100+MONTH($A3666))</f>
        <v/>
      </c>
      <c r="P3666" s="79">
        <f>IF(OR($F3666="",$D3666=""),"",IF($D3666="Receita",$F3666,IF($D3666="Transferência",0,-$F3666)))</f>
        <v/>
      </c>
    </row>
    <row r="3667">
      <c r="A3667" s="73" t="n"/>
      <c r="B3667" s="74" t="n"/>
      <c r="C3667" s="74" t="n"/>
      <c r="D3667" s="75">
        <f>IF($C3667="","",IFERROR(INDEX(CAT_TIPO,MATCH($C3667,CAT_NOME,0)),"Sem categoria"))</f>
        <v/>
      </c>
      <c r="E3667" s="75">
        <f>IF($C3667="","",IFERROR(INDEX(CAT_GRUPO,MATCH($C3667,CAT_NOME,0)),"Sem categoria"))</f>
        <v/>
      </c>
      <c r="F3667" s="76" t="n"/>
      <c r="G3667" s="74" t="n"/>
      <c r="H3667" s="74" t="n"/>
      <c r="I3667" s="74" t="n"/>
      <c r="J3667" s="77" t="n"/>
      <c r="K3667" s="77" t="n"/>
      <c r="L3667" s="74" t="n"/>
      <c r="M3667" s="74" t="n"/>
      <c r="O3667" s="78">
        <f>IF($A3667="","",YEAR($A3667)*100+MONTH($A3667))</f>
        <v/>
      </c>
      <c r="P3667" s="79">
        <f>IF(OR($F3667="",$D3667=""),"",IF($D3667="Receita",$F3667,IF($D3667="Transferência",0,-$F3667)))</f>
        <v/>
      </c>
    </row>
    <row r="3668">
      <c r="A3668" s="73" t="n"/>
      <c r="B3668" s="74" t="n"/>
      <c r="C3668" s="74" t="n"/>
      <c r="D3668" s="75">
        <f>IF($C3668="","",IFERROR(INDEX(CAT_TIPO,MATCH($C3668,CAT_NOME,0)),"Sem categoria"))</f>
        <v/>
      </c>
      <c r="E3668" s="75">
        <f>IF($C3668="","",IFERROR(INDEX(CAT_GRUPO,MATCH($C3668,CAT_NOME,0)),"Sem categoria"))</f>
        <v/>
      </c>
      <c r="F3668" s="76" t="n"/>
      <c r="G3668" s="74" t="n"/>
      <c r="H3668" s="74" t="n"/>
      <c r="I3668" s="74" t="n"/>
      <c r="J3668" s="77" t="n"/>
      <c r="K3668" s="77" t="n"/>
      <c r="L3668" s="74" t="n"/>
      <c r="M3668" s="74" t="n"/>
      <c r="O3668" s="78">
        <f>IF($A3668="","",YEAR($A3668)*100+MONTH($A3668))</f>
        <v/>
      </c>
      <c r="P3668" s="79">
        <f>IF(OR($F3668="",$D3668=""),"",IF($D3668="Receita",$F3668,IF($D3668="Transferência",0,-$F3668)))</f>
        <v/>
      </c>
    </row>
    <row r="3669">
      <c r="A3669" s="73" t="n"/>
      <c r="B3669" s="74" t="n"/>
      <c r="C3669" s="74" t="n"/>
      <c r="D3669" s="75">
        <f>IF($C3669="","",IFERROR(INDEX(CAT_TIPO,MATCH($C3669,CAT_NOME,0)),"Sem categoria"))</f>
        <v/>
      </c>
      <c r="E3669" s="75">
        <f>IF($C3669="","",IFERROR(INDEX(CAT_GRUPO,MATCH($C3669,CAT_NOME,0)),"Sem categoria"))</f>
        <v/>
      </c>
      <c r="F3669" s="76" t="n"/>
      <c r="G3669" s="74" t="n"/>
      <c r="H3669" s="74" t="n"/>
      <c r="I3669" s="74" t="n"/>
      <c r="J3669" s="77" t="n"/>
      <c r="K3669" s="77" t="n"/>
      <c r="L3669" s="74" t="n"/>
      <c r="M3669" s="74" t="n"/>
      <c r="O3669" s="78">
        <f>IF($A3669="","",YEAR($A3669)*100+MONTH($A3669))</f>
        <v/>
      </c>
      <c r="P3669" s="79">
        <f>IF(OR($F3669="",$D3669=""),"",IF($D3669="Receita",$F3669,IF($D3669="Transferência",0,-$F3669)))</f>
        <v/>
      </c>
    </row>
    <row r="3670">
      <c r="A3670" s="73" t="n"/>
      <c r="B3670" s="74" t="n"/>
      <c r="C3670" s="74" t="n"/>
      <c r="D3670" s="75">
        <f>IF($C3670="","",IFERROR(INDEX(CAT_TIPO,MATCH($C3670,CAT_NOME,0)),"Sem categoria"))</f>
        <v/>
      </c>
      <c r="E3670" s="75">
        <f>IF($C3670="","",IFERROR(INDEX(CAT_GRUPO,MATCH($C3670,CAT_NOME,0)),"Sem categoria"))</f>
        <v/>
      </c>
      <c r="F3670" s="76" t="n"/>
      <c r="G3670" s="74" t="n"/>
      <c r="H3670" s="74" t="n"/>
      <c r="I3670" s="74" t="n"/>
      <c r="J3670" s="77" t="n"/>
      <c r="K3670" s="77" t="n"/>
      <c r="L3670" s="74" t="n"/>
      <c r="M3670" s="74" t="n"/>
      <c r="O3670" s="78">
        <f>IF($A3670="","",YEAR($A3670)*100+MONTH($A3670))</f>
        <v/>
      </c>
      <c r="P3670" s="79">
        <f>IF(OR($F3670="",$D3670=""),"",IF($D3670="Receita",$F3670,IF($D3670="Transferência",0,-$F3670)))</f>
        <v/>
      </c>
    </row>
    <row r="3671">
      <c r="A3671" s="73" t="n"/>
      <c r="B3671" s="74" t="n"/>
      <c r="C3671" s="74" t="n"/>
      <c r="D3671" s="75">
        <f>IF($C3671="","",IFERROR(INDEX(CAT_TIPO,MATCH($C3671,CAT_NOME,0)),"Sem categoria"))</f>
        <v/>
      </c>
      <c r="E3671" s="75">
        <f>IF($C3671="","",IFERROR(INDEX(CAT_GRUPO,MATCH($C3671,CAT_NOME,0)),"Sem categoria"))</f>
        <v/>
      </c>
      <c r="F3671" s="76" t="n"/>
      <c r="G3671" s="74" t="n"/>
      <c r="H3671" s="74" t="n"/>
      <c r="I3671" s="74" t="n"/>
      <c r="J3671" s="77" t="n"/>
      <c r="K3671" s="77" t="n"/>
      <c r="L3671" s="74" t="n"/>
      <c r="M3671" s="74" t="n"/>
      <c r="O3671" s="78">
        <f>IF($A3671="","",YEAR($A3671)*100+MONTH($A3671))</f>
        <v/>
      </c>
      <c r="P3671" s="79">
        <f>IF(OR($F3671="",$D3671=""),"",IF($D3671="Receita",$F3671,IF($D3671="Transferência",0,-$F3671)))</f>
        <v/>
      </c>
    </row>
    <row r="3672">
      <c r="A3672" s="73" t="n"/>
      <c r="B3672" s="74" t="n"/>
      <c r="C3672" s="74" t="n"/>
      <c r="D3672" s="75">
        <f>IF($C3672="","",IFERROR(INDEX(CAT_TIPO,MATCH($C3672,CAT_NOME,0)),"Sem categoria"))</f>
        <v/>
      </c>
      <c r="E3672" s="75">
        <f>IF($C3672="","",IFERROR(INDEX(CAT_GRUPO,MATCH($C3672,CAT_NOME,0)),"Sem categoria"))</f>
        <v/>
      </c>
      <c r="F3672" s="76" t="n"/>
      <c r="G3672" s="74" t="n"/>
      <c r="H3672" s="74" t="n"/>
      <c r="I3672" s="74" t="n"/>
      <c r="J3672" s="77" t="n"/>
      <c r="K3672" s="77" t="n"/>
      <c r="L3672" s="74" t="n"/>
      <c r="M3672" s="74" t="n"/>
      <c r="O3672" s="78">
        <f>IF($A3672="","",YEAR($A3672)*100+MONTH($A3672))</f>
        <v/>
      </c>
      <c r="P3672" s="79">
        <f>IF(OR($F3672="",$D3672=""),"",IF($D3672="Receita",$F3672,IF($D3672="Transferência",0,-$F3672)))</f>
        <v/>
      </c>
    </row>
    <row r="3673">
      <c r="A3673" s="73" t="n"/>
      <c r="B3673" s="74" t="n"/>
      <c r="C3673" s="74" t="n"/>
      <c r="D3673" s="75">
        <f>IF($C3673="","",IFERROR(INDEX(CAT_TIPO,MATCH($C3673,CAT_NOME,0)),"Sem categoria"))</f>
        <v/>
      </c>
      <c r="E3673" s="75">
        <f>IF($C3673="","",IFERROR(INDEX(CAT_GRUPO,MATCH($C3673,CAT_NOME,0)),"Sem categoria"))</f>
        <v/>
      </c>
      <c r="F3673" s="76" t="n"/>
      <c r="G3673" s="74" t="n"/>
      <c r="H3673" s="74" t="n"/>
      <c r="I3673" s="74" t="n"/>
      <c r="J3673" s="77" t="n"/>
      <c r="K3673" s="77" t="n"/>
      <c r="L3673" s="74" t="n"/>
      <c r="M3673" s="74" t="n"/>
      <c r="O3673" s="78">
        <f>IF($A3673="","",YEAR($A3673)*100+MONTH($A3673))</f>
        <v/>
      </c>
      <c r="P3673" s="79">
        <f>IF(OR($F3673="",$D3673=""),"",IF($D3673="Receita",$F3673,IF($D3673="Transferência",0,-$F3673)))</f>
        <v/>
      </c>
    </row>
    <row r="3674">
      <c r="A3674" s="73" t="n"/>
      <c r="B3674" s="74" t="n"/>
      <c r="C3674" s="74" t="n"/>
      <c r="D3674" s="75">
        <f>IF($C3674="","",IFERROR(INDEX(CAT_TIPO,MATCH($C3674,CAT_NOME,0)),"Sem categoria"))</f>
        <v/>
      </c>
      <c r="E3674" s="75">
        <f>IF($C3674="","",IFERROR(INDEX(CAT_GRUPO,MATCH($C3674,CAT_NOME,0)),"Sem categoria"))</f>
        <v/>
      </c>
      <c r="F3674" s="76" t="n"/>
      <c r="G3674" s="74" t="n"/>
      <c r="H3674" s="74" t="n"/>
      <c r="I3674" s="74" t="n"/>
      <c r="J3674" s="77" t="n"/>
      <c r="K3674" s="77" t="n"/>
      <c r="L3674" s="74" t="n"/>
      <c r="M3674" s="74" t="n"/>
      <c r="O3674" s="78">
        <f>IF($A3674="","",YEAR($A3674)*100+MONTH($A3674))</f>
        <v/>
      </c>
      <c r="P3674" s="79">
        <f>IF(OR($F3674="",$D3674=""),"",IF($D3674="Receita",$F3674,IF($D3674="Transferência",0,-$F3674)))</f>
        <v/>
      </c>
    </row>
    <row r="3675">
      <c r="A3675" s="73" t="n"/>
      <c r="B3675" s="74" t="n"/>
      <c r="C3675" s="74" t="n"/>
      <c r="D3675" s="75">
        <f>IF($C3675="","",IFERROR(INDEX(CAT_TIPO,MATCH($C3675,CAT_NOME,0)),"Sem categoria"))</f>
        <v/>
      </c>
      <c r="E3675" s="75">
        <f>IF($C3675="","",IFERROR(INDEX(CAT_GRUPO,MATCH($C3675,CAT_NOME,0)),"Sem categoria"))</f>
        <v/>
      </c>
      <c r="F3675" s="76" t="n"/>
      <c r="G3675" s="74" t="n"/>
      <c r="H3675" s="74" t="n"/>
      <c r="I3675" s="74" t="n"/>
      <c r="J3675" s="77" t="n"/>
      <c r="K3675" s="77" t="n"/>
      <c r="L3675" s="74" t="n"/>
      <c r="M3675" s="74" t="n"/>
      <c r="O3675" s="78">
        <f>IF($A3675="","",YEAR($A3675)*100+MONTH($A3675))</f>
        <v/>
      </c>
      <c r="P3675" s="79">
        <f>IF(OR($F3675="",$D3675=""),"",IF($D3675="Receita",$F3675,IF($D3675="Transferência",0,-$F3675)))</f>
        <v/>
      </c>
    </row>
    <row r="3676">
      <c r="A3676" s="73" t="n"/>
      <c r="B3676" s="74" t="n"/>
      <c r="C3676" s="74" t="n"/>
      <c r="D3676" s="75">
        <f>IF($C3676="","",IFERROR(INDEX(CAT_TIPO,MATCH($C3676,CAT_NOME,0)),"Sem categoria"))</f>
        <v/>
      </c>
      <c r="E3676" s="75">
        <f>IF($C3676="","",IFERROR(INDEX(CAT_GRUPO,MATCH($C3676,CAT_NOME,0)),"Sem categoria"))</f>
        <v/>
      </c>
      <c r="F3676" s="76" t="n"/>
      <c r="G3676" s="74" t="n"/>
      <c r="H3676" s="74" t="n"/>
      <c r="I3676" s="74" t="n"/>
      <c r="J3676" s="77" t="n"/>
      <c r="K3676" s="77" t="n"/>
      <c r="L3676" s="74" t="n"/>
      <c r="M3676" s="74" t="n"/>
      <c r="O3676" s="78">
        <f>IF($A3676="","",YEAR($A3676)*100+MONTH($A3676))</f>
        <v/>
      </c>
      <c r="P3676" s="79">
        <f>IF(OR($F3676="",$D3676=""),"",IF($D3676="Receita",$F3676,IF($D3676="Transferência",0,-$F3676)))</f>
        <v/>
      </c>
    </row>
    <row r="3677">
      <c r="A3677" s="73" t="n"/>
      <c r="B3677" s="74" t="n"/>
      <c r="C3677" s="74" t="n"/>
      <c r="D3677" s="75">
        <f>IF($C3677="","",IFERROR(INDEX(CAT_TIPO,MATCH($C3677,CAT_NOME,0)),"Sem categoria"))</f>
        <v/>
      </c>
      <c r="E3677" s="75">
        <f>IF($C3677="","",IFERROR(INDEX(CAT_GRUPO,MATCH($C3677,CAT_NOME,0)),"Sem categoria"))</f>
        <v/>
      </c>
      <c r="F3677" s="76" t="n"/>
      <c r="G3677" s="74" t="n"/>
      <c r="H3677" s="74" t="n"/>
      <c r="I3677" s="74" t="n"/>
      <c r="J3677" s="77" t="n"/>
      <c r="K3677" s="77" t="n"/>
      <c r="L3677" s="74" t="n"/>
      <c r="M3677" s="74" t="n"/>
      <c r="O3677" s="78">
        <f>IF($A3677="","",YEAR($A3677)*100+MONTH($A3677))</f>
        <v/>
      </c>
      <c r="P3677" s="79">
        <f>IF(OR($F3677="",$D3677=""),"",IF($D3677="Receita",$F3677,IF($D3677="Transferência",0,-$F3677)))</f>
        <v/>
      </c>
    </row>
    <row r="3678">
      <c r="A3678" s="73" t="n"/>
      <c r="B3678" s="74" t="n"/>
      <c r="C3678" s="74" t="n"/>
      <c r="D3678" s="75">
        <f>IF($C3678="","",IFERROR(INDEX(CAT_TIPO,MATCH($C3678,CAT_NOME,0)),"Sem categoria"))</f>
        <v/>
      </c>
      <c r="E3678" s="75">
        <f>IF($C3678="","",IFERROR(INDEX(CAT_GRUPO,MATCH($C3678,CAT_NOME,0)),"Sem categoria"))</f>
        <v/>
      </c>
      <c r="F3678" s="76" t="n"/>
      <c r="G3678" s="74" t="n"/>
      <c r="H3678" s="74" t="n"/>
      <c r="I3678" s="74" t="n"/>
      <c r="J3678" s="77" t="n"/>
      <c r="K3678" s="77" t="n"/>
      <c r="L3678" s="74" t="n"/>
      <c r="M3678" s="74" t="n"/>
      <c r="O3678" s="78">
        <f>IF($A3678="","",YEAR($A3678)*100+MONTH($A3678))</f>
        <v/>
      </c>
      <c r="P3678" s="79">
        <f>IF(OR($F3678="",$D3678=""),"",IF($D3678="Receita",$F3678,IF($D3678="Transferência",0,-$F3678)))</f>
        <v/>
      </c>
    </row>
    <row r="3679">
      <c r="A3679" s="73" t="n"/>
      <c r="B3679" s="74" t="n"/>
      <c r="C3679" s="74" t="n"/>
      <c r="D3679" s="75">
        <f>IF($C3679="","",IFERROR(INDEX(CAT_TIPO,MATCH($C3679,CAT_NOME,0)),"Sem categoria"))</f>
        <v/>
      </c>
      <c r="E3679" s="75">
        <f>IF($C3679="","",IFERROR(INDEX(CAT_GRUPO,MATCH($C3679,CAT_NOME,0)),"Sem categoria"))</f>
        <v/>
      </c>
      <c r="F3679" s="76" t="n"/>
      <c r="G3679" s="74" t="n"/>
      <c r="H3679" s="74" t="n"/>
      <c r="I3679" s="74" t="n"/>
      <c r="J3679" s="77" t="n"/>
      <c r="K3679" s="77" t="n"/>
      <c r="L3679" s="74" t="n"/>
      <c r="M3679" s="74" t="n"/>
      <c r="O3679" s="78">
        <f>IF($A3679="","",YEAR($A3679)*100+MONTH($A3679))</f>
        <v/>
      </c>
      <c r="P3679" s="79">
        <f>IF(OR($F3679="",$D3679=""),"",IF($D3679="Receita",$F3679,IF($D3679="Transferência",0,-$F3679)))</f>
        <v/>
      </c>
    </row>
    <row r="3680">
      <c r="A3680" s="73" t="n"/>
      <c r="B3680" s="74" t="n"/>
      <c r="C3680" s="74" t="n"/>
      <c r="D3680" s="75">
        <f>IF($C3680="","",IFERROR(INDEX(CAT_TIPO,MATCH($C3680,CAT_NOME,0)),"Sem categoria"))</f>
        <v/>
      </c>
      <c r="E3680" s="75">
        <f>IF($C3680="","",IFERROR(INDEX(CAT_GRUPO,MATCH($C3680,CAT_NOME,0)),"Sem categoria"))</f>
        <v/>
      </c>
      <c r="F3680" s="76" t="n"/>
      <c r="G3680" s="74" t="n"/>
      <c r="H3680" s="74" t="n"/>
      <c r="I3680" s="74" t="n"/>
      <c r="J3680" s="77" t="n"/>
      <c r="K3680" s="77" t="n"/>
      <c r="L3680" s="74" t="n"/>
      <c r="M3680" s="74" t="n"/>
      <c r="O3680" s="78">
        <f>IF($A3680="","",YEAR($A3680)*100+MONTH($A3680))</f>
        <v/>
      </c>
      <c r="P3680" s="79">
        <f>IF(OR($F3680="",$D3680=""),"",IF($D3680="Receita",$F3680,IF($D3680="Transferência",0,-$F3680)))</f>
        <v/>
      </c>
    </row>
    <row r="3681">
      <c r="A3681" s="73" t="n"/>
      <c r="B3681" s="74" t="n"/>
      <c r="C3681" s="74" t="n"/>
      <c r="D3681" s="75">
        <f>IF($C3681="","",IFERROR(INDEX(CAT_TIPO,MATCH($C3681,CAT_NOME,0)),"Sem categoria"))</f>
        <v/>
      </c>
      <c r="E3681" s="75">
        <f>IF($C3681="","",IFERROR(INDEX(CAT_GRUPO,MATCH($C3681,CAT_NOME,0)),"Sem categoria"))</f>
        <v/>
      </c>
      <c r="F3681" s="76" t="n"/>
      <c r="G3681" s="74" t="n"/>
      <c r="H3681" s="74" t="n"/>
      <c r="I3681" s="74" t="n"/>
      <c r="J3681" s="77" t="n"/>
      <c r="K3681" s="77" t="n"/>
      <c r="L3681" s="74" t="n"/>
      <c r="M3681" s="74" t="n"/>
      <c r="O3681" s="78">
        <f>IF($A3681="","",YEAR($A3681)*100+MONTH($A3681))</f>
        <v/>
      </c>
      <c r="P3681" s="79">
        <f>IF(OR($F3681="",$D3681=""),"",IF($D3681="Receita",$F3681,IF($D3681="Transferência",0,-$F3681)))</f>
        <v/>
      </c>
    </row>
    <row r="3682">
      <c r="A3682" s="73" t="n"/>
      <c r="B3682" s="74" t="n"/>
      <c r="C3682" s="74" t="n"/>
      <c r="D3682" s="75">
        <f>IF($C3682="","",IFERROR(INDEX(CAT_TIPO,MATCH($C3682,CAT_NOME,0)),"Sem categoria"))</f>
        <v/>
      </c>
      <c r="E3682" s="75">
        <f>IF($C3682="","",IFERROR(INDEX(CAT_GRUPO,MATCH($C3682,CAT_NOME,0)),"Sem categoria"))</f>
        <v/>
      </c>
      <c r="F3682" s="76" t="n"/>
      <c r="G3682" s="74" t="n"/>
      <c r="H3682" s="74" t="n"/>
      <c r="I3682" s="74" t="n"/>
      <c r="J3682" s="77" t="n"/>
      <c r="K3682" s="77" t="n"/>
      <c r="L3682" s="74" t="n"/>
      <c r="M3682" s="74" t="n"/>
      <c r="O3682" s="78">
        <f>IF($A3682="","",YEAR($A3682)*100+MONTH($A3682))</f>
        <v/>
      </c>
      <c r="P3682" s="79">
        <f>IF(OR($F3682="",$D3682=""),"",IF($D3682="Receita",$F3682,IF($D3682="Transferência",0,-$F3682)))</f>
        <v/>
      </c>
    </row>
    <row r="3683">
      <c r="A3683" s="73" t="n"/>
      <c r="B3683" s="74" t="n"/>
      <c r="C3683" s="74" t="n"/>
      <c r="D3683" s="75">
        <f>IF($C3683="","",IFERROR(INDEX(CAT_TIPO,MATCH($C3683,CAT_NOME,0)),"Sem categoria"))</f>
        <v/>
      </c>
      <c r="E3683" s="75">
        <f>IF($C3683="","",IFERROR(INDEX(CAT_GRUPO,MATCH($C3683,CAT_NOME,0)),"Sem categoria"))</f>
        <v/>
      </c>
      <c r="F3683" s="76" t="n"/>
      <c r="G3683" s="74" t="n"/>
      <c r="H3683" s="74" t="n"/>
      <c r="I3683" s="74" t="n"/>
      <c r="J3683" s="77" t="n"/>
      <c r="K3683" s="77" t="n"/>
      <c r="L3683" s="74" t="n"/>
      <c r="M3683" s="74" t="n"/>
      <c r="O3683" s="78">
        <f>IF($A3683="","",YEAR($A3683)*100+MONTH($A3683))</f>
        <v/>
      </c>
      <c r="P3683" s="79">
        <f>IF(OR($F3683="",$D3683=""),"",IF($D3683="Receita",$F3683,IF($D3683="Transferência",0,-$F3683)))</f>
        <v/>
      </c>
    </row>
    <row r="3684">
      <c r="A3684" s="73" t="n"/>
      <c r="B3684" s="74" t="n"/>
      <c r="C3684" s="74" t="n"/>
      <c r="D3684" s="75">
        <f>IF($C3684="","",IFERROR(INDEX(CAT_TIPO,MATCH($C3684,CAT_NOME,0)),"Sem categoria"))</f>
        <v/>
      </c>
      <c r="E3684" s="75">
        <f>IF($C3684="","",IFERROR(INDEX(CAT_GRUPO,MATCH($C3684,CAT_NOME,0)),"Sem categoria"))</f>
        <v/>
      </c>
      <c r="F3684" s="76" t="n"/>
      <c r="G3684" s="74" t="n"/>
      <c r="H3684" s="74" t="n"/>
      <c r="I3684" s="74" t="n"/>
      <c r="J3684" s="77" t="n"/>
      <c r="K3684" s="77" t="n"/>
      <c r="L3684" s="74" t="n"/>
      <c r="M3684" s="74" t="n"/>
      <c r="O3684" s="78">
        <f>IF($A3684="","",YEAR($A3684)*100+MONTH($A3684))</f>
        <v/>
      </c>
      <c r="P3684" s="79">
        <f>IF(OR($F3684="",$D3684=""),"",IF($D3684="Receita",$F3684,IF($D3684="Transferência",0,-$F3684)))</f>
        <v/>
      </c>
    </row>
    <row r="3685">
      <c r="A3685" s="73" t="n"/>
      <c r="B3685" s="74" t="n"/>
      <c r="C3685" s="74" t="n"/>
      <c r="D3685" s="75">
        <f>IF($C3685="","",IFERROR(INDEX(CAT_TIPO,MATCH($C3685,CAT_NOME,0)),"Sem categoria"))</f>
        <v/>
      </c>
      <c r="E3685" s="75">
        <f>IF($C3685="","",IFERROR(INDEX(CAT_GRUPO,MATCH($C3685,CAT_NOME,0)),"Sem categoria"))</f>
        <v/>
      </c>
      <c r="F3685" s="76" t="n"/>
      <c r="G3685" s="74" t="n"/>
      <c r="H3685" s="74" t="n"/>
      <c r="I3685" s="74" t="n"/>
      <c r="J3685" s="77" t="n"/>
      <c r="K3685" s="77" t="n"/>
      <c r="L3685" s="74" t="n"/>
      <c r="M3685" s="74" t="n"/>
      <c r="O3685" s="78">
        <f>IF($A3685="","",YEAR($A3685)*100+MONTH($A3685))</f>
        <v/>
      </c>
      <c r="P3685" s="79">
        <f>IF(OR($F3685="",$D3685=""),"",IF($D3685="Receita",$F3685,IF($D3685="Transferência",0,-$F3685)))</f>
        <v/>
      </c>
    </row>
    <row r="3686">
      <c r="A3686" s="73" t="n"/>
      <c r="B3686" s="74" t="n"/>
      <c r="C3686" s="74" t="n"/>
      <c r="D3686" s="75">
        <f>IF($C3686="","",IFERROR(INDEX(CAT_TIPO,MATCH($C3686,CAT_NOME,0)),"Sem categoria"))</f>
        <v/>
      </c>
      <c r="E3686" s="75">
        <f>IF($C3686="","",IFERROR(INDEX(CAT_GRUPO,MATCH($C3686,CAT_NOME,0)),"Sem categoria"))</f>
        <v/>
      </c>
      <c r="F3686" s="76" t="n"/>
      <c r="G3686" s="74" t="n"/>
      <c r="H3686" s="74" t="n"/>
      <c r="I3686" s="74" t="n"/>
      <c r="J3686" s="77" t="n"/>
      <c r="K3686" s="77" t="n"/>
      <c r="L3686" s="74" t="n"/>
      <c r="M3686" s="74" t="n"/>
      <c r="O3686" s="78">
        <f>IF($A3686="","",YEAR($A3686)*100+MONTH($A3686))</f>
        <v/>
      </c>
      <c r="P3686" s="79">
        <f>IF(OR($F3686="",$D3686=""),"",IF($D3686="Receita",$F3686,IF($D3686="Transferência",0,-$F3686)))</f>
        <v/>
      </c>
    </row>
    <row r="3687">
      <c r="A3687" s="73" t="n"/>
      <c r="B3687" s="74" t="n"/>
      <c r="C3687" s="74" t="n"/>
      <c r="D3687" s="75">
        <f>IF($C3687="","",IFERROR(INDEX(CAT_TIPO,MATCH($C3687,CAT_NOME,0)),"Sem categoria"))</f>
        <v/>
      </c>
      <c r="E3687" s="75">
        <f>IF($C3687="","",IFERROR(INDEX(CAT_GRUPO,MATCH($C3687,CAT_NOME,0)),"Sem categoria"))</f>
        <v/>
      </c>
      <c r="F3687" s="76" t="n"/>
      <c r="G3687" s="74" t="n"/>
      <c r="H3687" s="74" t="n"/>
      <c r="I3687" s="74" t="n"/>
      <c r="J3687" s="77" t="n"/>
      <c r="K3687" s="77" t="n"/>
      <c r="L3687" s="74" t="n"/>
      <c r="M3687" s="74" t="n"/>
      <c r="O3687" s="78">
        <f>IF($A3687="","",YEAR($A3687)*100+MONTH($A3687))</f>
        <v/>
      </c>
      <c r="P3687" s="79">
        <f>IF(OR($F3687="",$D3687=""),"",IF($D3687="Receita",$F3687,IF($D3687="Transferência",0,-$F3687)))</f>
        <v/>
      </c>
    </row>
    <row r="3688">
      <c r="A3688" s="73" t="n"/>
      <c r="B3688" s="74" t="n"/>
      <c r="C3688" s="74" t="n"/>
      <c r="D3688" s="75">
        <f>IF($C3688="","",IFERROR(INDEX(CAT_TIPO,MATCH($C3688,CAT_NOME,0)),"Sem categoria"))</f>
        <v/>
      </c>
      <c r="E3688" s="75">
        <f>IF($C3688="","",IFERROR(INDEX(CAT_GRUPO,MATCH($C3688,CAT_NOME,0)),"Sem categoria"))</f>
        <v/>
      </c>
      <c r="F3688" s="76" t="n"/>
      <c r="G3688" s="74" t="n"/>
      <c r="H3688" s="74" t="n"/>
      <c r="I3688" s="74" t="n"/>
      <c r="J3688" s="77" t="n"/>
      <c r="K3688" s="77" t="n"/>
      <c r="L3688" s="74" t="n"/>
      <c r="M3688" s="74" t="n"/>
      <c r="O3688" s="78">
        <f>IF($A3688="","",YEAR($A3688)*100+MONTH($A3688))</f>
        <v/>
      </c>
      <c r="P3688" s="79">
        <f>IF(OR($F3688="",$D3688=""),"",IF($D3688="Receita",$F3688,IF($D3688="Transferência",0,-$F3688)))</f>
        <v/>
      </c>
    </row>
    <row r="3689">
      <c r="A3689" s="73" t="n"/>
      <c r="B3689" s="74" t="n"/>
      <c r="C3689" s="74" t="n"/>
      <c r="D3689" s="75">
        <f>IF($C3689="","",IFERROR(INDEX(CAT_TIPO,MATCH($C3689,CAT_NOME,0)),"Sem categoria"))</f>
        <v/>
      </c>
      <c r="E3689" s="75">
        <f>IF($C3689="","",IFERROR(INDEX(CAT_GRUPO,MATCH($C3689,CAT_NOME,0)),"Sem categoria"))</f>
        <v/>
      </c>
      <c r="F3689" s="76" t="n"/>
      <c r="G3689" s="74" t="n"/>
      <c r="H3689" s="74" t="n"/>
      <c r="I3689" s="74" t="n"/>
      <c r="J3689" s="77" t="n"/>
      <c r="K3689" s="77" t="n"/>
      <c r="L3689" s="74" t="n"/>
      <c r="M3689" s="74" t="n"/>
      <c r="O3689" s="78">
        <f>IF($A3689="","",YEAR($A3689)*100+MONTH($A3689))</f>
        <v/>
      </c>
      <c r="P3689" s="79">
        <f>IF(OR($F3689="",$D3689=""),"",IF($D3689="Receita",$F3689,IF($D3689="Transferência",0,-$F3689)))</f>
        <v/>
      </c>
    </row>
    <row r="3690">
      <c r="A3690" s="73" t="n"/>
      <c r="B3690" s="74" t="n"/>
      <c r="C3690" s="74" t="n"/>
      <c r="D3690" s="75">
        <f>IF($C3690="","",IFERROR(INDEX(CAT_TIPO,MATCH($C3690,CAT_NOME,0)),"Sem categoria"))</f>
        <v/>
      </c>
      <c r="E3690" s="75">
        <f>IF($C3690="","",IFERROR(INDEX(CAT_GRUPO,MATCH($C3690,CAT_NOME,0)),"Sem categoria"))</f>
        <v/>
      </c>
      <c r="F3690" s="76" t="n"/>
      <c r="G3690" s="74" t="n"/>
      <c r="H3690" s="74" t="n"/>
      <c r="I3690" s="74" t="n"/>
      <c r="J3690" s="77" t="n"/>
      <c r="K3690" s="77" t="n"/>
      <c r="L3690" s="74" t="n"/>
      <c r="M3690" s="74" t="n"/>
      <c r="O3690" s="78">
        <f>IF($A3690="","",YEAR($A3690)*100+MONTH($A3690))</f>
        <v/>
      </c>
      <c r="P3690" s="79">
        <f>IF(OR($F3690="",$D3690=""),"",IF($D3690="Receita",$F3690,IF($D3690="Transferência",0,-$F3690)))</f>
        <v/>
      </c>
    </row>
    <row r="3691">
      <c r="A3691" s="73" t="n"/>
      <c r="B3691" s="74" t="n"/>
      <c r="C3691" s="74" t="n"/>
      <c r="D3691" s="75">
        <f>IF($C3691="","",IFERROR(INDEX(CAT_TIPO,MATCH($C3691,CAT_NOME,0)),"Sem categoria"))</f>
        <v/>
      </c>
      <c r="E3691" s="75">
        <f>IF($C3691="","",IFERROR(INDEX(CAT_GRUPO,MATCH($C3691,CAT_NOME,0)),"Sem categoria"))</f>
        <v/>
      </c>
      <c r="F3691" s="76" t="n"/>
      <c r="G3691" s="74" t="n"/>
      <c r="H3691" s="74" t="n"/>
      <c r="I3691" s="74" t="n"/>
      <c r="J3691" s="77" t="n"/>
      <c r="K3691" s="77" t="n"/>
      <c r="L3691" s="74" t="n"/>
      <c r="M3691" s="74" t="n"/>
      <c r="O3691" s="78">
        <f>IF($A3691="","",YEAR($A3691)*100+MONTH($A3691))</f>
        <v/>
      </c>
      <c r="P3691" s="79">
        <f>IF(OR($F3691="",$D3691=""),"",IF($D3691="Receita",$F3691,IF($D3691="Transferência",0,-$F3691)))</f>
        <v/>
      </c>
    </row>
    <row r="3692">
      <c r="A3692" s="73" t="n"/>
      <c r="B3692" s="74" t="n"/>
      <c r="C3692" s="74" t="n"/>
      <c r="D3692" s="75">
        <f>IF($C3692="","",IFERROR(INDEX(CAT_TIPO,MATCH($C3692,CAT_NOME,0)),"Sem categoria"))</f>
        <v/>
      </c>
      <c r="E3692" s="75">
        <f>IF($C3692="","",IFERROR(INDEX(CAT_GRUPO,MATCH($C3692,CAT_NOME,0)),"Sem categoria"))</f>
        <v/>
      </c>
      <c r="F3692" s="76" t="n"/>
      <c r="G3692" s="74" t="n"/>
      <c r="H3692" s="74" t="n"/>
      <c r="I3692" s="74" t="n"/>
      <c r="J3692" s="77" t="n"/>
      <c r="K3692" s="77" t="n"/>
      <c r="L3692" s="74" t="n"/>
      <c r="M3692" s="74" t="n"/>
      <c r="O3692" s="78">
        <f>IF($A3692="","",YEAR($A3692)*100+MONTH($A3692))</f>
        <v/>
      </c>
      <c r="P3692" s="79">
        <f>IF(OR($F3692="",$D3692=""),"",IF($D3692="Receita",$F3692,IF($D3692="Transferência",0,-$F3692)))</f>
        <v/>
      </c>
    </row>
    <row r="3693">
      <c r="A3693" s="73" t="n"/>
      <c r="B3693" s="74" t="n"/>
      <c r="C3693" s="74" t="n"/>
      <c r="D3693" s="75">
        <f>IF($C3693="","",IFERROR(INDEX(CAT_TIPO,MATCH($C3693,CAT_NOME,0)),"Sem categoria"))</f>
        <v/>
      </c>
      <c r="E3693" s="75">
        <f>IF($C3693="","",IFERROR(INDEX(CAT_GRUPO,MATCH($C3693,CAT_NOME,0)),"Sem categoria"))</f>
        <v/>
      </c>
      <c r="F3693" s="76" t="n"/>
      <c r="G3693" s="74" t="n"/>
      <c r="H3693" s="74" t="n"/>
      <c r="I3693" s="74" t="n"/>
      <c r="J3693" s="77" t="n"/>
      <c r="K3693" s="77" t="n"/>
      <c r="L3693" s="74" t="n"/>
      <c r="M3693" s="74" t="n"/>
      <c r="O3693" s="78">
        <f>IF($A3693="","",YEAR($A3693)*100+MONTH($A3693))</f>
        <v/>
      </c>
      <c r="P3693" s="79">
        <f>IF(OR($F3693="",$D3693=""),"",IF($D3693="Receita",$F3693,IF($D3693="Transferência",0,-$F3693)))</f>
        <v/>
      </c>
    </row>
    <row r="3694">
      <c r="A3694" s="73" t="n"/>
      <c r="B3694" s="74" t="n"/>
      <c r="C3694" s="74" t="n"/>
      <c r="D3694" s="75">
        <f>IF($C3694="","",IFERROR(INDEX(CAT_TIPO,MATCH($C3694,CAT_NOME,0)),"Sem categoria"))</f>
        <v/>
      </c>
      <c r="E3694" s="75">
        <f>IF($C3694="","",IFERROR(INDEX(CAT_GRUPO,MATCH($C3694,CAT_NOME,0)),"Sem categoria"))</f>
        <v/>
      </c>
      <c r="F3694" s="76" t="n"/>
      <c r="G3694" s="74" t="n"/>
      <c r="H3694" s="74" t="n"/>
      <c r="I3694" s="74" t="n"/>
      <c r="J3694" s="77" t="n"/>
      <c r="K3694" s="77" t="n"/>
      <c r="L3694" s="74" t="n"/>
      <c r="M3694" s="74" t="n"/>
      <c r="O3694" s="78">
        <f>IF($A3694="","",YEAR($A3694)*100+MONTH($A3694))</f>
        <v/>
      </c>
      <c r="P3694" s="79">
        <f>IF(OR($F3694="",$D3694=""),"",IF($D3694="Receita",$F3694,IF($D3694="Transferência",0,-$F3694)))</f>
        <v/>
      </c>
    </row>
    <row r="3695">
      <c r="A3695" s="73" t="n"/>
      <c r="B3695" s="74" t="n"/>
      <c r="C3695" s="74" t="n"/>
      <c r="D3695" s="75">
        <f>IF($C3695="","",IFERROR(INDEX(CAT_TIPO,MATCH($C3695,CAT_NOME,0)),"Sem categoria"))</f>
        <v/>
      </c>
      <c r="E3695" s="75">
        <f>IF($C3695="","",IFERROR(INDEX(CAT_GRUPO,MATCH($C3695,CAT_NOME,0)),"Sem categoria"))</f>
        <v/>
      </c>
      <c r="F3695" s="76" t="n"/>
      <c r="G3695" s="74" t="n"/>
      <c r="H3695" s="74" t="n"/>
      <c r="I3695" s="74" t="n"/>
      <c r="J3695" s="77" t="n"/>
      <c r="K3695" s="77" t="n"/>
      <c r="L3695" s="74" t="n"/>
      <c r="M3695" s="74" t="n"/>
      <c r="O3695" s="78">
        <f>IF($A3695="","",YEAR($A3695)*100+MONTH($A3695))</f>
        <v/>
      </c>
      <c r="P3695" s="79">
        <f>IF(OR($F3695="",$D3695=""),"",IF($D3695="Receita",$F3695,IF($D3695="Transferência",0,-$F3695)))</f>
        <v/>
      </c>
    </row>
    <row r="3696">
      <c r="A3696" s="73" t="n"/>
      <c r="B3696" s="74" t="n"/>
      <c r="C3696" s="74" t="n"/>
      <c r="D3696" s="75">
        <f>IF($C3696="","",IFERROR(INDEX(CAT_TIPO,MATCH($C3696,CAT_NOME,0)),"Sem categoria"))</f>
        <v/>
      </c>
      <c r="E3696" s="75">
        <f>IF($C3696="","",IFERROR(INDEX(CAT_GRUPO,MATCH($C3696,CAT_NOME,0)),"Sem categoria"))</f>
        <v/>
      </c>
      <c r="F3696" s="76" t="n"/>
      <c r="G3696" s="74" t="n"/>
      <c r="H3696" s="74" t="n"/>
      <c r="I3696" s="74" t="n"/>
      <c r="J3696" s="77" t="n"/>
      <c r="K3696" s="77" t="n"/>
      <c r="L3696" s="74" t="n"/>
      <c r="M3696" s="74" t="n"/>
      <c r="O3696" s="78">
        <f>IF($A3696="","",YEAR($A3696)*100+MONTH($A3696))</f>
        <v/>
      </c>
      <c r="P3696" s="79">
        <f>IF(OR($F3696="",$D3696=""),"",IF($D3696="Receita",$F3696,IF($D3696="Transferência",0,-$F3696)))</f>
        <v/>
      </c>
    </row>
    <row r="3697">
      <c r="A3697" s="73" t="n"/>
      <c r="B3697" s="74" t="n"/>
      <c r="C3697" s="74" t="n"/>
      <c r="D3697" s="75">
        <f>IF($C3697="","",IFERROR(INDEX(CAT_TIPO,MATCH($C3697,CAT_NOME,0)),"Sem categoria"))</f>
        <v/>
      </c>
      <c r="E3697" s="75">
        <f>IF($C3697="","",IFERROR(INDEX(CAT_GRUPO,MATCH($C3697,CAT_NOME,0)),"Sem categoria"))</f>
        <v/>
      </c>
      <c r="F3697" s="76" t="n"/>
      <c r="G3697" s="74" t="n"/>
      <c r="H3697" s="74" t="n"/>
      <c r="I3697" s="74" t="n"/>
      <c r="J3697" s="77" t="n"/>
      <c r="K3697" s="77" t="n"/>
      <c r="L3697" s="74" t="n"/>
      <c r="M3697" s="74" t="n"/>
      <c r="O3697" s="78">
        <f>IF($A3697="","",YEAR($A3697)*100+MONTH($A3697))</f>
        <v/>
      </c>
      <c r="P3697" s="79">
        <f>IF(OR($F3697="",$D3697=""),"",IF($D3697="Receita",$F3697,IF($D3697="Transferência",0,-$F3697)))</f>
        <v/>
      </c>
    </row>
    <row r="3698">
      <c r="A3698" s="73" t="n"/>
      <c r="B3698" s="74" t="n"/>
      <c r="C3698" s="74" t="n"/>
      <c r="D3698" s="75">
        <f>IF($C3698="","",IFERROR(INDEX(CAT_TIPO,MATCH($C3698,CAT_NOME,0)),"Sem categoria"))</f>
        <v/>
      </c>
      <c r="E3698" s="75">
        <f>IF($C3698="","",IFERROR(INDEX(CAT_GRUPO,MATCH($C3698,CAT_NOME,0)),"Sem categoria"))</f>
        <v/>
      </c>
      <c r="F3698" s="76" t="n"/>
      <c r="G3698" s="74" t="n"/>
      <c r="H3698" s="74" t="n"/>
      <c r="I3698" s="74" t="n"/>
      <c r="J3698" s="77" t="n"/>
      <c r="K3698" s="77" t="n"/>
      <c r="L3698" s="74" t="n"/>
      <c r="M3698" s="74" t="n"/>
      <c r="O3698" s="78">
        <f>IF($A3698="","",YEAR($A3698)*100+MONTH($A3698))</f>
        <v/>
      </c>
      <c r="P3698" s="79">
        <f>IF(OR($F3698="",$D3698=""),"",IF($D3698="Receita",$F3698,IF($D3698="Transferência",0,-$F3698)))</f>
        <v/>
      </c>
    </row>
    <row r="3699">
      <c r="A3699" s="73" t="n"/>
      <c r="B3699" s="74" t="n"/>
      <c r="C3699" s="74" t="n"/>
      <c r="D3699" s="75">
        <f>IF($C3699="","",IFERROR(INDEX(CAT_TIPO,MATCH($C3699,CAT_NOME,0)),"Sem categoria"))</f>
        <v/>
      </c>
      <c r="E3699" s="75">
        <f>IF($C3699="","",IFERROR(INDEX(CAT_GRUPO,MATCH($C3699,CAT_NOME,0)),"Sem categoria"))</f>
        <v/>
      </c>
      <c r="F3699" s="76" t="n"/>
      <c r="G3699" s="74" t="n"/>
      <c r="H3699" s="74" t="n"/>
      <c r="I3699" s="74" t="n"/>
      <c r="J3699" s="77" t="n"/>
      <c r="K3699" s="77" t="n"/>
      <c r="L3699" s="74" t="n"/>
      <c r="M3699" s="74" t="n"/>
      <c r="O3699" s="78">
        <f>IF($A3699="","",YEAR($A3699)*100+MONTH($A3699))</f>
        <v/>
      </c>
      <c r="P3699" s="79">
        <f>IF(OR($F3699="",$D3699=""),"",IF($D3699="Receita",$F3699,IF($D3699="Transferência",0,-$F3699)))</f>
        <v/>
      </c>
    </row>
    <row r="3700">
      <c r="A3700" s="73" t="n"/>
      <c r="B3700" s="74" t="n"/>
      <c r="C3700" s="74" t="n"/>
      <c r="D3700" s="75">
        <f>IF($C3700="","",IFERROR(INDEX(CAT_TIPO,MATCH($C3700,CAT_NOME,0)),"Sem categoria"))</f>
        <v/>
      </c>
      <c r="E3700" s="75">
        <f>IF($C3700="","",IFERROR(INDEX(CAT_GRUPO,MATCH($C3700,CAT_NOME,0)),"Sem categoria"))</f>
        <v/>
      </c>
      <c r="F3700" s="76" t="n"/>
      <c r="G3700" s="74" t="n"/>
      <c r="H3700" s="74" t="n"/>
      <c r="I3700" s="74" t="n"/>
      <c r="J3700" s="77" t="n"/>
      <c r="K3700" s="77" t="n"/>
      <c r="L3700" s="74" t="n"/>
      <c r="M3700" s="74" t="n"/>
      <c r="O3700" s="78">
        <f>IF($A3700="","",YEAR($A3700)*100+MONTH($A3700))</f>
        <v/>
      </c>
      <c r="P3700" s="79">
        <f>IF(OR($F3700="",$D3700=""),"",IF($D3700="Receita",$F3700,IF($D3700="Transferência",0,-$F3700)))</f>
        <v/>
      </c>
    </row>
    <row r="3701">
      <c r="A3701" s="73" t="n"/>
      <c r="B3701" s="74" t="n"/>
      <c r="C3701" s="74" t="n"/>
      <c r="D3701" s="75">
        <f>IF($C3701="","",IFERROR(INDEX(CAT_TIPO,MATCH($C3701,CAT_NOME,0)),"Sem categoria"))</f>
        <v/>
      </c>
      <c r="E3701" s="75">
        <f>IF($C3701="","",IFERROR(INDEX(CAT_GRUPO,MATCH($C3701,CAT_NOME,0)),"Sem categoria"))</f>
        <v/>
      </c>
      <c r="F3701" s="76" t="n"/>
      <c r="G3701" s="74" t="n"/>
      <c r="H3701" s="74" t="n"/>
      <c r="I3701" s="74" t="n"/>
      <c r="J3701" s="77" t="n"/>
      <c r="K3701" s="77" t="n"/>
      <c r="L3701" s="74" t="n"/>
      <c r="M3701" s="74" t="n"/>
      <c r="O3701" s="78">
        <f>IF($A3701="","",YEAR($A3701)*100+MONTH($A3701))</f>
        <v/>
      </c>
      <c r="P3701" s="79">
        <f>IF(OR($F3701="",$D3701=""),"",IF($D3701="Receita",$F3701,IF($D3701="Transferência",0,-$F3701)))</f>
        <v/>
      </c>
    </row>
    <row r="3702">
      <c r="A3702" s="73" t="n"/>
      <c r="B3702" s="74" t="n"/>
      <c r="C3702" s="74" t="n"/>
      <c r="D3702" s="75">
        <f>IF($C3702="","",IFERROR(INDEX(CAT_TIPO,MATCH($C3702,CAT_NOME,0)),"Sem categoria"))</f>
        <v/>
      </c>
      <c r="E3702" s="75">
        <f>IF($C3702="","",IFERROR(INDEX(CAT_GRUPO,MATCH($C3702,CAT_NOME,0)),"Sem categoria"))</f>
        <v/>
      </c>
      <c r="F3702" s="76" t="n"/>
      <c r="G3702" s="74" t="n"/>
      <c r="H3702" s="74" t="n"/>
      <c r="I3702" s="74" t="n"/>
      <c r="J3702" s="77" t="n"/>
      <c r="K3702" s="77" t="n"/>
      <c r="L3702" s="74" t="n"/>
      <c r="M3702" s="74" t="n"/>
      <c r="O3702" s="78">
        <f>IF($A3702="","",YEAR($A3702)*100+MONTH($A3702))</f>
        <v/>
      </c>
      <c r="P3702" s="79">
        <f>IF(OR($F3702="",$D3702=""),"",IF($D3702="Receita",$F3702,IF($D3702="Transferência",0,-$F3702)))</f>
        <v/>
      </c>
    </row>
    <row r="3703">
      <c r="A3703" s="73" t="n"/>
      <c r="B3703" s="74" t="n"/>
      <c r="C3703" s="74" t="n"/>
      <c r="D3703" s="75">
        <f>IF($C3703="","",IFERROR(INDEX(CAT_TIPO,MATCH($C3703,CAT_NOME,0)),"Sem categoria"))</f>
        <v/>
      </c>
      <c r="E3703" s="75">
        <f>IF($C3703="","",IFERROR(INDEX(CAT_GRUPO,MATCH($C3703,CAT_NOME,0)),"Sem categoria"))</f>
        <v/>
      </c>
      <c r="F3703" s="76" t="n"/>
      <c r="G3703" s="74" t="n"/>
      <c r="H3703" s="74" t="n"/>
      <c r="I3703" s="74" t="n"/>
      <c r="J3703" s="77" t="n"/>
      <c r="K3703" s="77" t="n"/>
      <c r="L3703" s="74" t="n"/>
      <c r="M3703" s="74" t="n"/>
      <c r="O3703" s="78">
        <f>IF($A3703="","",YEAR($A3703)*100+MONTH($A3703))</f>
        <v/>
      </c>
      <c r="P3703" s="79">
        <f>IF(OR($F3703="",$D3703=""),"",IF($D3703="Receita",$F3703,IF($D3703="Transferência",0,-$F3703)))</f>
        <v/>
      </c>
    </row>
    <row r="3704">
      <c r="A3704" s="73" t="n"/>
      <c r="B3704" s="74" t="n"/>
      <c r="C3704" s="74" t="n"/>
      <c r="D3704" s="75">
        <f>IF($C3704="","",IFERROR(INDEX(CAT_TIPO,MATCH($C3704,CAT_NOME,0)),"Sem categoria"))</f>
        <v/>
      </c>
      <c r="E3704" s="75">
        <f>IF($C3704="","",IFERROR(INDEX(CAT_GRUPO,MATCH($C3704,CAT_NOME,0)),"Sem categoria"))</f>
        <v/>
      </c>
      <c r="F3704" s="76" t="n"/>
      <c r="G3704" s="74" t="n"/>
      <c r="H3704" s="74" t="n"/>
      <c r="I3704" s="74" t="n"/>
      <c r="J3704" s="77" t="n"/>
      <c r="K3704" s="77" t="n"/>
      <c r="L3704" s="74" t="n"/>
      <c r="M3704" s="74" t="n"/>
      <c r="O3704" s="78">
        <f>IF($A3704="","",YEAR($A3704)*100+MONTH($A3704))</f>
        <v/>
      </c>
      <c r="P3704" s="79">
        <f>IF(OR($F3704="",$D3704=""),"",IF($D3704="Receita",$F3704,IF($D3704="Transferência",0,-$F3704)))</f>
        <v/>
      </c>
    </row>
    <row r="3705">
      <c r="A3705" s="73" t="n"/>
      <c r="B3705" s="74" t="n"/>
      <c r="C3705" s="74" t="n"/>
      <c r="D3705" s="75">
        <f>IF($C3705="","",IFERROR(INDEX(CAT_TIPO,MATCH($C3705,CAT_NOME,0)),"Sem categoria"))</f>
        <v/>
      </c>
      <c r="E3705" s="75">
        <f>IF($C3705="","",IFERROR(INDEX(CAT_GRUPO,MATCH($C3705,CAT_NOME,0)),"Sem categoria"))</f>
        <v/>
      </c>
      <c r="F3705" s="76" t="n"/>
      <c r="G3705" s="74" t="n"/>
      <c r="H3705" s="74" t="n"/>
      <c r="I3705" s="74" t="n"/>
      <c r="J3705" s="77" t="n"/>
      <c r="K3705" s="77" t="n"/>
      <c r="L3705" s="74" t="n"/>
      <c r="M3705" s="74" t="n"/>
      <c r="O3705" s="78">
        <f>IF($A3705="","",YEAR($A3705)*100+MONTH($A3705))</f>
        <v/>
      </c>
      <c r="P3705" s="79">
        <f>IF(OR($F3705="",$D3705=""),"",IF($D3705="Receita",$F3705,IF($D3705="Transferência",0,-$F3705)))</f>
        <v/>
      </c>
    </row>
    <row r="3706">
      <c r="A3706" s="73" t="n"/>
      <c r="B3706" s="74" t="n"/>
      <c r="C3706" s="74" t="n"/>
      <c r="D3706" s="75">
        <f>IF($C3706="","",IFERROR(INDEX(CAT_TIPO,MATCH($C3706,CAT_NOME,0)),"Sem categoria"))</f>
        <v/>
      </c>
      <c r="E3706" s="75">
        <f>IF($C3706="","",IFERROR(INDEX(CAT_GRUPO,MATCH($C3706,CAT_NOME,0)),"Sem categoria"))</f>
        <v/>
      </c>
      <c r="F3706" s="76" t="n"/>
      <c r="G3706" s="74" t="n"/>
      <c r="H3706" s="74" t="n"/>
      <c r="I3706" s="74" t="n"/>
      <c r="J3706" s="77" t="n"/>
      <c r="K3706" s="77" t="n"/>
      <c r="L3706" s="74" t="n"/>
      <c r="M3706" s="74" t="n"/>
      <c r="O3706" s="78">
        <f>IF($A3706="","",YEAR($A3706)*100+MONTH($A3706))</f>
        <v/>
      </c>
      <c r="P3706" s="79">
        <f>IF(OR($F3706="",$D3706=""),"",IF($D3706="Receita",$F3706,IF($D3706="Transferência",0,-$F3706)))</f>
        <v/>
      </c>
    </row>
    <row r="3707">
      <c r="A3707" s="73" t="n"/>
      <c r="B3707" s="74" t="n"/>
      <c r="C3707" s="74" t="n"/>
      <c r="D3707" s="75">
        <f>IF($C3707="","",IFERROR(INDEX(CAT_TIPO,MATCH($C3707,CAT_NOME,0)),"Sem categoria"))</f>
        <v/>
      </c>
      <c r="E3707" s="75">
        <f>IF($C3707="","",IFERROR(INDEX(CAT_GRUPO,MATCH($C3707,CAT_NOME,0)),"Sem categoria"))</f>
        <v/>
      </c>
      <c r="F3707" s="76" t="n"/>
      <c r="G3707" s="74" t="n"/>
      <c r="H3707" s="74" t="n"/>
      <c r="I3707" s="74" t="n"/>
      <c r="J3707" s="77" t="n"/>
      <c r="K3707" s="77" t="n"/>
      <c r="L3707" s="74" t="n"/>
      <c r="M3707" s="74" t="n"/>
      <c r="O3707" s="78">
        <f>IF($A3707="","",YEAR($A3707)*100+MONTH($A3707))</f>
        <v/>
      </c>
      <c r="P3707" s="79">
        <f>IF(OR($F3707="",$D3707=""),"",IF($D3707="Receita",$F3707,IF($D3707="Transferência",0,-$F3707)))</f>
        <v/>
      </c>
    </row>
    <row r="3708">
      <c r="A3708" s="73" t="n"/>
      <c r="B3708" s="74" t="n"/>
      <c r="C3708" s="74" t="n"/>
      <c r="D3708" s="75">
        <f>IF($C3708="","",IFERROR(INDEX(CAT_TIPO,MATCH($C3708,CAT_NOME,0)),"Sem categoria"))</f>
        <v/>
      </c>
      <c r="E3708" s="75">
        <f>IF($C3708="","",IFERROR(INDEX(CAT_GRUPO,MATCH($C3708,CAT_NOME,0)),"Sem categoria"))</f>
        <v/>
      </c>
      <c r="F3708" s="76" t="n"/>
      <c r="G3708" s="74" t="n"/>
      <c r="H3708" s="74" t="n"/>
      <c r="I3708" s="74" t="n"/>
      <c r="J3708" s="77" t="n"/>
      <c r="K3708" s="77" t="n"/>
      <c r="L3708" s="74" t="n"/>
      <c r="M3708" s="74" t="n"/>
      <c r="O3708" s="78">
        <f>IF($A3708="","",YEAR($A3708)*100+MONTH($A3708))</f>
        <v/>
      </c>
      <c r="P3708" s="79">
        <f>IF(OR($F3708="",$D3708=""),"",IF($D3708="Receita",$F3708,IF($D3708="Transferência",0,-$F3708)))</f>
        <v/>
      </c>
    </row>
    <row r="3709">
      <c r="A3709" s="73" t="n"/>
      <c r="B3709" s="74" t="n"/>
      <c r="C3709" s="74" t="n"/>
      <c r="D3709" s="75">
        <f>IF($C3709="","",IFERROR(INDEX(CAT_TIPO,MATCH($C3709,CAT_NOME,0)),"Sem categoria"))</f>
        <v/>
      </c>
      <c r="E3709" s="75">
        <f>IF($C3709="","",IFERROR(INDEX(CAT_GRUPO,MATCH($C3709,CAT_NOME,0)),"Sem categoria"))</f>
        <v/>
      </c>
      <c r="F3709" s="76" t="n"/>
      <c r="G3709" s="74" t="n"/>
      <c r="H3709" s="74" t="n"/>
      <c r="I3709" s="74" t="n"/>
      <c r="J3709" s="77" t="n"/>
      <c r="K3709" s="77" t="n"/>
      <c r="L3709" s="74" t="n"/>
      <c r="M3709" s="74" t="n"/>
      <c r="O3709" s="78">
        <f>IF($A3709="","",YEAR($A3709)*100+MONTH($A3709))</f>
        <v/>
      </c>
      <c r="P3709" s="79">
        <f>IF(OR($F3709="",$D3709=""),"",IF($D3709="Receita",$F3709,IF($D3709="Transferência",0,-$F3709)))</f>
        <v/>
      </c>
    </row>
    <row r="3710">
      <c r="A3710" s="73" t="n"/>
      <c r="B3710" s="74" t="n"/>
      <c r="C3710" s="74" t="n"/>
      <c r="D3710" s="75">
        <f>IF($C3710="","",IFERROR(INDEX(CAT_TIPO,MATCH($C3710,CAT_NOME,0)),"Sem categoria"))</f>
        <v/>
      </c>
      <c r="E3710" s="75">
        <f>IF($C3710="","",IFERROR(INDEX(CAT_GRUPO,MATCH($C3710,CAT_NOME,0)),"Sem categoria"))</f>
        <v/>
      </c>
      <c r="F3710" s="76" t="n"/>
      <c r="G3710" s="74" t="n"/>
      <c r="H3710" s="74" t="n"/>
      <c r="I3710" s="74" t="n"/>
      <c r="J3710" s="77" t="n"/>
      <c r="K3710" s="77" t="n"/>
      <c r="L3710" s="74" t="n"/>
      <c r="M3710" s="74" t="n"/>
      <c r="O3710" s="78">
        <f>IF($A3710="","",YEAR($A3710)*100+MONTH($A3710))</f>
        <v/>
      </c>
      <c r="P3710" s="79">
        <f>IF(OR($F3710="",$D3710=""),"",IF($D3710="Receita",$F3710,IF($D3710="Transferência",0,-$F3710)))</f>
        <v/>
      </c>
    </row>
    <row r="3711">
      <c r="A3711" s="73" t="n"/>
      <c r="B3711" s="74" t="n"/>
      <c r="C3711" s="74" t="n"/>
      <c r="D3711" s="75">
        <f>IF($C3711="","",IFERROR(INDEX(CAT_TIPO,MATCH($C3711,CAT_NOME,0)),"Sem categoria"))</f>
        <v/>
      </c>
      <c r="E3711" s="75">
        <f>IF($C3711="","",IFERROR(INDEX(CAT_GRUPO,MATCH($C3711,CAT_NOME,0)),"Sem categoria"))</f>
        <v/>
      </c>
      <c r="F3711" s="76" t="n"/>
      <c r="G3711" s="74" t="n"/>
      <c r="H3711" s="74" t="n"/>
      <c r="I3711" s="74" t="n"/>
      <c r="J3711" s="77" t="n"/>
      <c r="K3711" s="77" t="n"/>
      <c r="L3711" s="74" t="n"/>
      <c r="M3711" s="74" t="n"/>
      <c r="O3711" s="78">
        <f>IF($A3711="","",YEAR($A3711)*100+MONTH($A3711))</f>
        <v/>
      </c>
      <c r="P3711" s="79">
        <f>IF(OR($F3711="",$D3711=""),"",IF($D3711="Receita",$F3711,IF($D3711="Transferência",0,-$F3711)))</f>
        <v/>
      </c>
    </row>
    <row r="3712">
      <c r="A3712" s="73" t="n"/>
      <c r="B3712" s="74" t="n"/>
      <c r="C3712" s="74" t="n"/>
      <c r="D3712" s="75">
        <f>IF($C3712="","",IFERROR(INDEX(CAT_TIPO,MATCH($C3712,CAT_NOME,0)),"Sem categoria"))</f>
        <v/>
      </c>
      <c r="E3712" s="75">
        <f>IF($C3712="","",IFERROR(INDEX(CAT_GRUPO,MATCH($C3712,CAT_NOME,0)),"Sem categoria"))</f>
        <v/>
      </c>
      <c r="F3712" s="76" t="n"/>
      <c r="G3712" s="74" t="n"/>
      <c r="H3712" s="74" t="n"/>
      <c r="I3712" s="74" t="n"/>
      <c r="J3712" s="77" t="n"/>
      <c r="K3712" s="77" t="n"/>
      <c r="L3712" s="74" t="n"/>
      <c r="M3712" s="74" t="n"/>
      <c r="O3712" s="78">
        <f>IF($A3712="","",YEAR($A3712)*100+MONTH($A3712))</f>
        <v/>
      </c>
      <c r="P3712" s="79">
        <f>IF(OR($F3712="",$D3712=""),"",IF($D3712="Receita",$F3712,IF($D3712="Transferência",0,-$F3712)))</f>
        <v/>
      </c>
    </row>
    <row r="3713">
      <c r="A3713" s="73" t="n"/>
      <c r="B3713" s="74" t="n"/>
      <c r="C3713" s="74" t="n"/>
      <c r="D3713" s="75">
        <f>IF($C3713="","",IFERROR(INDEX(CAT_TIPO,MATCH($C3713,CAT_NOME,0)),"Sem categoria"))</f>
        <v/>
      </c>
      <c r="E3713" s="75">
        <f>IF($C3713="","",IFERROR(INDEX(CAT_GRUPO,MATCH($C3713,CAT_NOME,0)),"Sem categoria"))</f>
        <v/>
      </c>
      <c r="F3713" s="76" t="n"/>
      <c r="G3713" s="74" t="n"/>
      <c r="H3713" s="74" t="n"/>
      <c r="I3713" s="74" t="n"/>
      <c r="J3713" s="77" t="n"/>
      <c r="K3713" s="77" t="n"/>
      <c r="L3713" s="74" t="n"/>
      <c r="M3713" s="74" t="n"/>
      <c r="O3713" s="78">
        <f>IF($A3713="","",YEAR($A3713)*100+MONTH($A3713))</f>
        <v/>
      </c>
      <c r="P3713" s="79">
        <f>IF(OR($F3713="",$D3713=""),"",IF($D3713="Receita",$F3713,IF($D3713="Transferência",0,-$F3713)))</f>
        <v/>
      </c>
    </row>
    <row r="3714">
      <c r="A3714" s="73" t="n"/>
      <c r="B3714" s="74" t="n"/>
      <c r="C3714" s="74" t="n"/>
      <c r="D3714" s="75">
        <f>IF($C3714="","",IFERROR(INDEX(CAT_TIPO,MATCH($C3714,CAT_NOME,0)),"Sem categoria"))</f>
        <v/>
      </c>
      <c r="E3714" s="75">
        <f>IF($C3714="","",IFERROR(INDEX(CAT_GRUPO,MATCH($C3714,CAT_NOME,0)),"Sem categoria"))</f>
        <v/>
      </c>
      <c r="F3714" s="76" t="n"/>
      <c r="G3714" s="74" t="n"/>
      <c r="H3714" s="74" t="n"/>
      <c r="I3714" s="74" t="n"/>
      <c r="J3714" s="77" t="n"/>
      <c r="K3714" s="77" t="n"/>
      <c r="L3714" s="74" t="n"/>
      <c r="M3714" s="74" t="n"/>
      <c r="O3714" s="78">
        <f>IF($A3714="","",YEAR($A3714)*100+MONTH($A3714))</f>
        <v/>
      </c>
      <c r="P3714" s="79">
        <f>IF(OR($F3714="",$D3714=""),"",IF($D3714="Receita",$F3714,IF($D3714="Transferência",0,-$F3714)))</f>
        <v/>
      </c>
    </row>
    <row r="3715">
      <c r="A3715" s="73" t="n"/>
      <c r="B3715" s="74" t="n"/>
      <c r="C3715" s="74" t="n"/>
      <c r="D3715" s="75">
        <f>IF($C3715="","",IFERROR(INDEX(CAT_TIPO,MATCH($C3715,CAT_NOME,0)),"Sem categoria"))</f>
        <v/>
      </c>
      <c r="E3715" s="75">
        <f>IF($C3715="","",IFERROR(INDEX(CAT_GRUPO,MATCH($C3715,CAT_NOME,0)),"Sem categoria"))</f>
        <v/>
      </c>
      <c r="F3715" s="76" t="n"/>
      <c r="G3715" s="74" t="n"/>
      <c r="H3715" s="74" t="n"/>
      <c r="I3715" s="74" t="n"/>
      <c r="J3715" s="77" t="n"/>
      <c r="K3715" s="77" t="n"/>
      <c r="L3715" s="74" t="n"/>
      <c r="M3715" s="74" t="n"/>
      <c r="O3715" s="78">
        <f>IF($A3715="","",YEAR($A3715)*100+MONTH($A3715))</f>
        <v/>
      </c>
      <c r="P3715" s="79">
        <f>IF(OR($F3715="",$D3715=""),"",IF($D3715="Receita",$F3715,IF($D3715="Transferência",0,-$F3715)))</f>
        <v/>
      </c>
    </row>
    <row r="3716">
      <c r="A3716" s="73" t="n"/>
      <c r="B3716" s="74" t="n"/>
      <c r="C3716" s="74" t="n"/>
      <c r="D3716" s="75">
        <f>IF($C3716="","",IFERROR(INDEX(CAT_TIPO,MATCH($C3716,CAT_NOME,0)),"Sem categoria"))</f>
        <v/>
      </c>
      <c r="E3716" s="75">
        <f>IF($C3716="","",IFERROR(INDEX(CAT_GRUPO,MATCH($C3716,CAT_NOME,0)),"Sem categoria"))</f>
        <v/>
      </c>
      <c r="F3716" s="76" t="n"/>
      <c r="G3716" s="74" t="n"/>
      <c r="H3716" s="74" t="n"/>
      <c r="I3716" s="74" t="n"/>
      <c r="J3716" s="77" t="n"/>
      <c r="K3716" s="77" t="n"/>
      <c r="L3716" s="74" t="n"/>
      <c r="M3716" s="74" t="n"/>
      <c r="O3716" s="78">
        <f>IF($A3716="","",YEAR($A3716)*100+MONTH($A3716))</f>
        <v/>
      </c>
      <c r="P3716" s="79">
        <f>IF(OR($F3716="",$D3716=""),"",IF($D3716="Receita",$F3716,IF($D3716="Transferência",0,-$F3716)))</f>
        <v/>
      </c>
    </row>
    <row r="3717">
      <c r="A3717" s="73" t="n"/>
      <c r="B3717" s="74" t="n"/>
      <c r="C3717" s="74" t="n"/>
      <c r="D3717" s="75">
        <f>IF($C3717="","",IFERROR(INDEX(CAT_TIPO,MATCH($C3717,CAT_NOME,0)),"Sem categoria"))</f>
        <v/>
      </c>
      <c r="E3717" s="75">
        <f>IF($C3717="","",IFERROR(INDEX(CAT_GRUPO,MATCH($C3717,CAT_NOME,0)),"Sem categoria"))</f>
        <v/>
      </c>
      <c r="F3717" s="76" t="n"/>
      <c r="G3717" s="74" t="n"/>
      <c r="H3717" s="74" t="n"/>
      <c r="I3717" s="74" t="n"/>
      <c r="J3717" s="77" t="n"/>
      <c r="K3717" s="77" t="n"/>
      <c r="L3717" s="74" t="n"/>
      <c r="M3717" s="74" t="n"/>
      <c r="O3717" s="78">
        <f>IF($A3717="","",YEAR($A3717)*100+MONTH($A3717))</f>
        <v/>
      </c>
      <c r="P3717" s="79">
        <f>IF(OR($F3717="",$D3717=""),"",IF($D3717="Receita",$F3717,IF($D3717="Transferência",0,-$F3717)))</f>
        <v/>
      </c>
    </row>
    <row r="3718">
      <c r="A3718" s="73" t="n"/>
      <c r="B3718" s="74" t="n"/>
      <c r="C3718" s="74" t="n"/>
      <c r="D3718" s="75">
        <f>IF($C3718="","",IFERROR(INDEX(CAT_TIPO,MATCH($C3718,CAT_NOME,0)),"Sem categoria"))</f>
        <v/>
      </c>
      <c r="E3718" s="75">
        <f>IF($C3718="","",IFERROR(INDEX(CAT_GRUPO,MATCH($C3718,CAT_NOME,0)),"Sem categoria"))</f>
        <v/>
      </c>
      <c r="F3718" s="76" t="n"/>
      <c r="G3718" s="74" t="n"/>
      <c r="H3718" s="74" t="n"/>
      <c r="I3718" s="74" t="n"/>
      <c r="J3718" s="77" t="n"/>
      <c r="K3718" s="77" t="n"/>
      <c r="L3718" s="74" t="n"/>
      <c r="M3718" s="74" t="n"/>
      <c r="O3718" s="78">
        <f>IF($A3718="","",YEAR($A3718)*100+MONTH($A3718))</f>
        <v/>
      </c>
      <c r="P3718" s="79">
        <f>IF(OR($F3718="",$D3718=""),"",IF($D3718="Receita",$F3718,IF($D3718="Transferência",0,-$F3718)))</f>
        <v/>
      </c>
    </row>
    <row r="3719">
      <c r="A3719" s="73" t="n"/>
      <c r="B3719" s="74" t="n"/>
      <c r="C3719" s="74" t="n"/>
      <c r="D3719" s="75">
        <f>IF($C3719="","",IFERROR(INDEX(CAT_TIPO,MATCH($C3719,CAT_NOME,0)),"Sem categoria"))</f>
        <v/>
      </c>
      <c r="E3719" s="75">
        <f>IF($C3719="","",IFERROR(INDEX(CAT_GRUPO,MATCH($C3719,CAT_NOME,0)),"Sem categoria"))</f>
        <v/>
      </c>
      <c r="F3719" s="76" t="n"/>
      <c r="G3719" s="74" t="n"/>
      <c r="H3719" s="74" t="n"/>
      <c r="I3719" s="74" t="n"/>
      <c r="J3719" s="77" t="n"/>
      <c r="K3719" s="77" t="n"/>
      <c r="L3719" s="74" t="n"/>
      <c r="M3719" s="74" t="n"/>
      <c r="O3719" s="78">
        <f>IF($A3719="","",YEAR($A3719)*100+MONTH($A3719))</f>
        <v/>
      </c>
      <c r="P3719" s="79">
        <f>IF(OR($F3719="",$D3719=""),"",IF($D3719="Receita",$F3719,IF($D3719="Transferência",0,-$F3719)))</f>
        <v/>
      </c>
    </row>
    <row r="3720">
      <c r="A3720" s="73" t="n"/>
      <c r="B3720" s="74" t="n"/>
      <c r="C3720" s="74" t="n"/>
      <c r="D3720" s="75">
        <f>IF($C3720="","",IFERROR(INDEX(CAT_TIPO,MATCH($C3720,CAT_NOME,0)),"Sem categoria"))</f>
        <v/>
      </c>
      <c r="E3720" s="75">
        <f>IF($C3720="","",IFERROR(INDEX(CAT_GRUPO,MATCH($C3720,CAT_NOME,0)),"Sem categoria"))</f>
        <v/>
      </c>
      <c r="F3720" s="76" t="n"/>
      <c r="G3720" s="74" t="n"/>
      <c r="H3720" s="74" t="n"/>
      <c r="I3720" s="74" t="n"/>
      <c r="J3720" s="77" t="n"/>
      <c r="K3720" s="77" t="n"/>
      <c r="L3720" s="74" t="n"/>
      <c r="M3720" s="74" t="n"/>
      <c r="O3720" s="78">
        <f>IF($A3720="","",YEAR($A3720)*100+MONTH($A3720))</f>
        <v/>
      </c>
      <c r="P3720" s="79">
        <f>IF(OR($F3720="",$D3720=""),"",IF($D3720="Receita",$F3720,IF($D3720="Transferência",0,-$F3720)))</f>
        <v/>
      </c>
    </row>
    <row r="3721">
      <c r="A3721" s="73" t="n"/>
      <c r="B3721" s="74" t="n"/>
      <c r="C3721" s="74" t="n"/>
      <c r="D3721" s="75">
        <f>IF($C3721="","",IFERROR(INDEX(CAT_TIPO,MATCH($C3721,CAT_NOME,0)),"Sem categoria"))</f>
        <v/>
      </c>
      <c r="E3721" s="75">
        <f>IF($C3721="","",IFERROR(INDEX(CAT_GRUPO,MATCH($C3721,CAT_NOME,0)),"Sem categoria"))</f>
        <v/>
      </c>
      <c r="F3721" s="76" t="n"/>
      <c r="G3721" s="74" t="n"/>
      <c r="H3721" s="74" t="n"/>
      <c r="I3721" s="74" t="n"/>
      <c r="J3721" s="77" t="n"/>
      <c r="K3721" s="77" t="n"/>
      <c r="L3721" s="74" t="n"/>
      <c r="M3721" s="74" t="n"/>
      <c r="O3721" s="78">
        <f>IF($A3721="","",YEAR($A3721)*100+MONTH($A3721))</f>
        <v/>
      </c>
      <c r="P3721" s="79">
        <f>IF(OR($F3721="",$D3721=""),"",IF($D3721="Receita",$F3721,IF($D3721="Transferência",0,-$F3721)))</f>
        <v/>
      </c>
    </row>
    <row r="3722">
      <c r="A3722" s="73" t="n"/>
      <c r="B3722" s="74" t="n"/>
      <c r="C3722" s="74" t="n"/>
      <c r="D3722" s="75">
        <f>IF($C3722="","",IFERROR(INDEX(CAT_TIPO,MATCH($C3722,CAT_NOME,0)),"Sem categoria"))</f>
        <v/>
      </c>
      <c r="E3722" s="75">
        <f>IF($C3722="","",IFERROR(INDEX(CAT_GRUPO,MATCH($C3722,CAT_NOME,0)),"Sem categoria"))</f>
        <v/>
      </c>
      <c r="F3722" s="76" t="n"/>
      <c r="G3722" s="74" t="n"/>
      <c r="H3722" s="74" t="n"/>
      <c r="I3722" s="74" t="n"/>
      <c r="J3722" s="77" t="n"/>
      <c r="K3722" s="77" t="n"/>
      <c r="L3722" s="74" t="n"/>
      <c r="M3722" s="74" t="n"/>
      <c r="O3722" s="78">
        <f>IF($A3722="","",YEAR($A3722)*100+MONTH($A3722))</f>
        <v/>
      </c>
      <c r="P3722" s="79">
        <f>IF(OR($F3722="",$D3722=""),"",IF($D3722="Receita",$F3722,IF($D3722="Transferência",0,-$F3722)))</f>
        <v/>
      </c>
    </row>
    <row r="3723">
      <c r="A3723" s="73" t="n"/>
      <c r="B3723" s="74" t="n"/>
      <c r="C3723" s="74" t="n"/>
      <c r="D3723" s="75">
        <f>IF($C3723="","",IFERROR(INDEX(CAT_TIPO,MATCH($C3723,CAT_NOME,0)),"Sem categoria"))</f>
        <v/>
      </c>
      <c r="E3723" s="75">
        <f>IF($C3723="","",IFERROR(INDEX(CAT_GRUPO,MATCH($C3723,CAT_NOME,0)),"Sem categoria"))</f>
        <v/>
      </c>
      <c r="F3723" s="76" t="n"/>
      <c r="G3723" s="74" t="n"/>
      <c r="H3723" s="74" t="n"/>
      <c r="I3723" s="74" t="n"/>
      <c r="J3723" s="77" t="n"/>
      <c r="K3723" s="77" t="n"/>
      <c r="L3723" s="74" t="n"/>
      <c r="M3723" s="74" t="n"/>
      <c r="O3723" s="78">
        <f>IF($A3723="","",YEAR($A3723)*100+MONTH($A3723))</f>
        <v/>
      </c>
      <c r="P3723" s="79">
        <f>IF(OR($F3723="",$D3723=""),"",IF($D3723="Receita",$F3723,IF($D3723="Transferência",0,-$F3723)))</f>
        <v/>
      </c>
    </row>
    <row r="3724">
      <c r="A3724" s="73" t="n"/>
      <c r="B3724" s="74" t="n"/>
      <c r="C3724" s="74" t="n"/>
      <c r="D3724" s="75">
        <f>IF($C3724="","",IFERROR(INDEX(CAT_TIPO,MATCH($C3724,CAT_NOME,0)),"Sem categoria"))</f>
        <v/>
      </c>
      <c r="E3724" s="75">
        <f>IF($C3724="","",IFERROR(INDEX(CAT_GRUPO,MATCH($C3724,CAT_NOME,0)),"Sem categoria"))</f>
        <v/>
      </c>
      <c r="F3724" s="76" t="n"/>
      <c r="G3724" s="74" t="n"/>
      <c r="H3724" s="74" t="n"/>
      <c r="I3724" s="74" t="n"/>
      <c r="J3724" s="77" t="n"/>
      <c r="K3724" s="77" t="n"/>
      <c r="L3724" s="74" t="n"/>
      <c r="M3724" s="74" t="n"/>
      <c r="O3724" s="78">
        <f>IF($A3724="","",YEAR($A3724)*100+MONTH($A3724))</f>
        <v/>
      </c>
      <c r="P3724" s="79">
        <f>IF(OR($F3724="",$D3724=""),"",IF($D3724="Receita",$F3724,IF($D3724="Transferência",0,-$F3724)))</f>
        <v/>
      </c>
    </row>
    <row r="3725">
      <c r="A3725" s="73" t="n"/>
      <c r="B3725" s="74" t="n"/>
      <c r="C3725" s="74" t="n"/>
      <c r="D3725" s="75">
        <f>IF($C3725="","",IFERROR(INDEX(CAT_TIPO,MATCH($C3725,CAT_NOME,0)),"Sem categoria"))</f>
        <v/>
      </c>
      <c r="E3725" s="75">
        <f>IF($C3725="","",IFERROR(INDEX(CAT_GRUPO,MATCH($C3725,CAT_NOME,0)),"Sem categoria"))</f>
        <v/>
      </c>
      <c r="F3725" s="76" t="n"/>
      <c r="G3725" s="74" t="n"/>
      <c r="H3725" s="74" t="n"/>
      <c r="I3725" s="74" t="n"/>
      <c r="J3725" s="77" t="n"/>
      <c r="K3725" s="77" t="n"/>
      <c r="L3725" s="74" t="n"/>
      <c r="M3725" s="74" t="n"/>
      <c r="O3725" s="78">
        <f>IF($A3725="","",YEAR($A3725)*100+MONTH($A3725))</f>
        <v/>
      </c>
      <c r="P3725" s="79">
        <f>IF(OR($F3725="",$D3725=""),"",IF($D3725="Receita",$F3725,IF($D3725="Transferência",0,-$F3725)))</f>
        <v/>
      </c>
    </row>
    <row r="3726">
      <c r="A3726" s="73" t="n"/>
      <c r="B3726" s="74" t="n"/>
      <c r="C3726" s="74" t="n"/>
      <c r="D3726" s="75">
        <f>IF($C3726="","",IFERROR(INDEX(CAT_TIPO,MATCH($C3726,CAT_NOME,0)),"Sem categoria"))</f>
        <v/>
      </c>
      <c r="E3726" s="75">
        <f>IF($C3726="","",IFERROR(INDEX(CAT_GRUPO,MATCH($C3726,CAT_NOME,0)),"Sem categoria"))</f>
        <v/>
      </c>
      <c r="F3726" s="76" t="n"/>
      <c r="G3726" s="74" t="n"/>
      <c r="H3726" s="74" t="n"/>
      <c r="I3726" s="74" t="n"/>
      <c r="J3726" s="77" t="n"/>
      <c r="K3726" s="77" t="n"/>
      <c r="L3726" s="74" t="n"/>
      <c r="M3726" s="74" t="n"/>
      <c r="O3726" s="78">
        <f>IF($A3726="","",YEAR($A3726)*100+MONTH($A3726))</f>
        <v/>
      </c>
      <c r="P3726" s="79">
        <f>IF(OR($F3726="",$D3726=""),"",IF($D3726="Receita",$F3726,IF($D3726="Transferência",0,-$F3726)))</f>
        <v/>
      </c>
    </row>
    <row r="3727">
      <c r="A3727" s="73" t="n"/>
      <c r="B3727" s="74" t="n"/>
      <c r="C3727" s="74" t="n"/>
      <c r="D3727" s="75">
        <f>IF($C3727="","",IFERROR(INDEX(CAT_TIPO,MATCH($C3727,CAT_NOME,0)),"Sem categoria"))</f>
        <v/>
      </c>
      <c r="E3727" s="75">
        <f>IF($C3727="","",IFERROR(INDEX(CAT_GRUPO,MATCH($C3727,CAT_NOME,0)),"Sem categoria"))</f>
        <v/>
      </c>
      <c r="F3727" s="76" t="n"/>
      <c r="G3727" s="74" t="n"/>
      <c r="H3727" s="74" t="n"/>
      <c r="I3727" s="74" t="n"/>
      <c r="J3727" s="77" t="n"/>
      <c r="K3727" s="77" t="n"/>
      <c r="L3727" s="74" t="n"/>
      <c r="M3727" s="74" t="n"/>
      <c r="O3727" s="78">
        <f>IF($A3727="","",YEAR($A3727)*100+MONTH($A3727))</f>
        <v/>
      </c>
      <c r="P3727" s="79">
        <f>IF(OR($F3727="",$D3727=""),"",IF($D3727="Receita",$F3727,IF($D3727="Transferência",0,-$F3727)))</f>
        <v/>
      </c>
    </row>
    <row r="3728">
      <c r="A3728" s="73" t="n"/>
      <c r="B3728" s="74" t="n"/>
      <c r="C3728" s="74" t="n"/>
      <c r="D3728" s="75">
        <f>IF($C3728="","",IFERROR(INDEX(CAT_TIPO,MATCH($C3728,CAT_NOME,0)),"Sem categoria"))</f>
        <v/>
      </c>
      <c r="E3728" s="75">
        <f>IF($C3728="","",IFERROR(INDEX(CAT_GRUPO,MATCH($C3728,CAT_NOME,0)),"Sem categoria"))</f>
        <v/>
      </c>
      <c r="F3728" s="76" t="n"/>
      <c r="G3728" s="74" t="n"/>
      <c r="H3728" s="74" t="n"/>
      <c r="I3728" s="74" t="n"/>
      <c r="J3728" s="77" t="n"/>
      <c r="K3728" s="77" t="n"/>
      <c r="L3728" s="74" t="n"/>
      <c r="M3728" s="74" t="n"/>
      <c r="O3728" s="78">
        <f>IF($A3728="","",YEAR($A3728)*100+MONTH($A3728))</f>
        <v/>
      </c>
      <c r="P3728" s="79">
        <f>IF(OR($F3728="",$D3728=""),"",IF($D3728="Receita",$F3728,IF($D3728="Transferência",0,-$F3728)))</f>
        <v/>
      </c>
    </row>
    <row r="3729">
      <c r="A3729" s="73" t="n"/>
      <c r="B3729" s="74" t="n"/>
      <c r="C3729" s="74" t="n"/>
      <c r="D3729" s="75">
        <f>IF($C3729="","",IFERROR(INDEX(CAT_TIPO,MATCH($C3729,CAT_NOME,0)),"Sem categoria"))</f>
        <v/>
      </c>
      <c r="E3729" s="75">
        <f>IF($C3729="","",IFERROR(INDEX(CAT_GRUPO,MATCH($C3729,CAT_NOME,0)),"Sem categoria"))</f>
        <v/>
      </c>
      <c r="F3729" s="76" t="n"/>
      <c r="G3729" s="74" t="n"/>
      <c r="H3729" s="74" t="n"/>
      <c r="I3729" s="74" t="n"/>
      <c r="J3729" s="77" t="n"/>
      <c r="K3729" s="77" t="n"/>
      <c r="L3729" s="74" t="n"/>
      <c r="M3729" s="74" t="n"/>
      <c r="O3729" s="78">
        <f>IF($A3729="","",YEAR($A3729)*100+MONTH($A3729))</f>
        <v/>
      </c>
      <c r="P3729" s="79">
        <f>IF(OR($F3729="",$D3729=""),"",IF($D3729="Receita",$F3729,IF($D3729="Transferência",0,-$F3729)))</f>
        <v/>
      </c>
    </row>
    <row r="3730">
      <c r="A3730" s="73" t="n"/>
      <c r="B3730" s="74" t="n"/>
      <c r="C3730" s="74" t="n"/>
      <c r="D3730" s="75">
        <f>IF($C3730="","",IFERROR(INDEX(CAT_TIPO,MATCH($C3730,CAT_NOME,0)),"Sem categoria"))</f>
        <v/>
      </c>
      <c r="E3730" s="75">
        <f>IF($C3730="","",IFERROR(INDEX(CAT_GRUPO,MATCH($C3730,CAT_NOME,0)),"Sem categoria"))</f>
        <v/>
      </c>
      <c r="F3730" s="76" t="n"/>
      <c r="G3730" s="74" t="n"/>
      <c r="H3730" s="74" t="n"/>
      <c r="I3730" s="74" t="n"/>
      <c r="J3730" s="77" t="n"/>
      <c r="K3730" s="77" t="n"/>
      <c r="L3730" s="74" t="n"/>
      <c r="M3730" s="74" t="n"/>
      <c r="O3730" s="78">
        <f>IF($A3730="","",YEAR($A3730)*100+MONTH($A3730))</f>
        <v/>
      </c>
      <c r="P3730" s="79">
        <f>IF(OR($F3730="",$D3730=""),"",IF($D3730="Receita",$F3730,IF($D3730="Transferência",0,-$F3730)))</f>
        <v/>
      </c>
    </row>
    <row r="3731">
      <c r="A3731" s="73" t="n"/>
      <c r="B3731" s="74" t="n"/>
      <c r="C3731" s="74" t="n"/>
      <c r="D3731" s="75">
        <f>IF($C3731="","",IFERROR(INDEX(CAT_TIPO,MATCH($C3731,CAT_NOME,0)),"Sem categoria"))</f>
        <v/>
      </c>
      <c r="E3731" s="75">
        <f>IF($C3731="","",IFERROR(INDEX(CAT_GRUPO,MATCH($C3731,CAT_NOME,0)),"Sem categoria"))</f>
        <v/>
      </c>
      <c r="F3731" s="76" t="n"/>
      <c r="G3731" s="74" t="n"/>
      <c r="H3731" s="74" t="n"/>
      <c r="I3731" s="74" t="n"/>
      <c r="J3731" s="77" t="n"/>
      <c r="K3731" s="77" t="n"/>
      <c r="L3731" s="74" t="n"/>
      <c r="M3731" s="74" t="n"/>
      <c r="O3731" s="78">
        <f>IF($A3731="","",YEAR($A3731)*100+MONTH($A3731))</f>
        <v/>
      </c>
      <c r="P3731" s="79">
        <f>IF(OR($F3731="",$D3731=""),"",IF($D3731="Receita",$F3731,IF($D3731="Transferência",0,-$F3731)))</f>
        <v/>
      </c>
    </row>
    <row r="3732">
      <c r="A3732" s="73" t="n"/>
      <c r="B3732" s="74" t="n"/>
      <c r="C3732" s="74" t="n"/>
      <c r="D3732" s="75">
        <f>IF($C3732="","",IFERROR(INDEX(CAT_TIPO,MATCH($C3732,CAT_NOME,0)),"Sem categoria"))</f>
        <v/>
      </c>
      <c r="E3732" s="75">
        <f>IF($C3732="","",IFERROR(INDEX(CAT_GRUPO,MATCH($C3732,CAT_NOME,0)),"Sem categoria"))</f>
        <v/>
      </c>
      <c r="F3732" s="76" t="n"/>
      <c r="G3732" s="74" t="n"/>
      <c r="H3732" s="74" t="n"/>
      <c r="I3732" s="74" t="n"/>
      <c r="J3732" s="77" t="n"/>
      <c r="K3732" s="77" t="n"/>
      <c r="L3732" s="74" t="n"/>
      <c r="M3732" s="74" t="n"/>
      <c r="O3732" s="78">
        <f>IF($A3732="","",YEAR($A3732)*100+MONTH($A3732))</f>
        <v/>
      </c>
      <c r="P3732" s="79">
        <f>IF(OR($F3732="",$D3732=""),"",IF($D3732="Receita",$F3732,IF($D3732="Transferência",0,-$F3732)))</f>
        <v/>
      </c>
    </row>
    <row r="3733">
      <c r="A3733" s="73" t="n"/>
      <c r="B3733" s="74" t="n"/>
      <c r="C3733" s="74" t="n"/>
      <c r="D3733" s="75">
        <f>IF($C3733="","",IFERROR(INDEX(CAT_TIPO,MATCH($C3733,CAT_NOME,0)),"Sem categoria"))</f>
        <v/>
      </c>
      <c r="E3733" s="75">
        <f>IF($C3733="","",IFERROR(INDEX(CAT_GRUPO,MATCH($C3733,CAT_NOME,0)),"Sem categoria"))</f>
        <v/>
      </c>
      <c r="F3733" s="76" t="n"/>
      <c r="G3733" s="74" t="n"/>
      <c r="H3733" s="74" t="n"/>
      <c r="I3733" s="74" t="n"/>
      <c r="J3733" s="77" t="n"/>
      <c r="K3733" s="77" t="n"/>
      <c r="L3733" s="74" t="n"/>
      <c r="M3733" s="74" t="n"/>
      <c r="O3733" s="78">
        <f>IF($A3733="","",YEAR($A3733)*100+MONTH($A3733))</f>
        <v/>
      </c>
      <c r="P3733" s="79">
        <f>IF(OR($F3733="",$D3733=""),"",IF($D3733="Receita",$F3733,IF($D3733="Transferência",0,-$F3733)))</f>
        <v/>
      </c>
    </row>
    <row r="3734">
      <c r="A3734" s="73" t="n"/>
      <c r="B3734" s="74" t="n"/>
      <c r="C3734" s="74" t="n"/>
      <c r="D3734" s="75">
        <f>IF($C3734="","",IFERROR(INDEX(CAT_TIPO,MATCH($C3734,CAT_NOME,0)),"Sem categoria"))</f>
        <v/>
      </c>
      <c r="E3734" s="75">
        <f>IF($C3734="","",IFERROR(INDEX(CAT_GRUPO,MATCH($C3734,CAT_NOME,0)),"Sem categoria"))</f>
        <v/>
      </c>
      <c r="F3734" s="76" t="n"/>
      <c r="G3734" s="74" t="n"/>
      <c r="H3734" s="74" t="n"/>
      <c r="I3734" s="74" t="n"/>
      <c r="J3734" s="77" t="n"/>
      <c r="K3734" s="77" t="n"/>
      <c r="L3734" s="74" t="n"/>
      <c r="M3734" s="74" t="n"/>
      <c r="O3734" s="78">
        <f>IF($A3734="","",YEAR($A3734)*100+MONTH($A3734))</f>
        <v/>
      </c>
      <c r="P3734" s="79">
        <f>IF(OR($F3734="",$D3734=""),"",IF($D3734="Receita",$F3734,IF($D3734="Transferência",0,-$F3734)))</f>
        <v/>
      </c>
    </row>
    <row r="3735">
      <c r="A3735" s="73" t="n"/>
      <c r="B3735" s="74" t="n"/>
      <c r="C3735" s="74" t="n"/>
      <c r="D3735" s="75">
        <f>IF($C3735="","",IFERROR(INDEX(CAT_TIPO,MATCH($C3735,CAT_NOME,0)),"Sem categoria"))</f>
        <v/>
      </c>
      <c r="E3735" s="75">
        <f>IF($C3735="","",IFERROR(INDEX(CAT_GRUPO,MATCH($C3735,CAT_NOME,0)),"Sem categoria"))</f>
        <v/>
      </c>
      <c r="F3735" s="76" t="n"/>
      <c r="G3735" s="74" t="n"/>
      <c r="H3735" s="74" t="n"/>
      <c r="I3735" s="74" t="n"/>
      <c r="J3735" s="77" t="n"/>
      <c r="K3735" s="77" t="n"/>
      <c r="L3735" s="74" t="n"/>
      <c r="M3735" s="74" t="n"/>
      <c r="O3735" s="78">
        <f>IF($A3735="","",YEAR($A3735)*100+MONTH($A3735))</f>
        <v/>
      </c>
      <c r="P3735" s="79">
        <f>IF(OR($F3735="",$D3735=""),"",IF($D3735="Receita",$F3735,IF($D3735="Transferência",0,-$F3735)))</f>
        <v/>
      </c>
    </row>
    <row r="3736">
      <c r="A3736" s="73" t="n"/>
      <c r="B3736" s="74" t="n"/>
      <c r="C3736" s="74" t="n"/>
      <c r="D3736" s="75">
        <f>IF($C3736="","",IFERROR(INDEX(CAT_TIPO,MATCH($C3736,CAT_NOME,0)),"Sem categoria"))</f>
        <v/>
      </c>
      <c r="E3736" s="75">
        <f>IF($C3736="","",IFERROR(INDEX(CAT_GRUPO,MATCH($C3736,CAT_NOME,0)),"Sem categoria"))</f>
        <v/>
      </c>
      <c r="F3736" s="76" t="n"/>
      <c r="G3736" s="74" t="n"/>
      <c r="H3736" s="74" t="n"/>
      <c r="I3736" s="74" t="n"/>
      <c r="J3736" s="77" t="n"/>
      <c r="K3736" s="77" t="n"/>
      <c r="L3736" s="74" t="n"/>
      <c r="M3736" s="74" t="n"/>
      <c r="O3736" s="78">
        <f>IF($A3736="","",YEAR($A3736)*100+MONTH($A3736))</f>
        <v/>
      </c>
      <c r="P3736" s="79">
        <f>IF(OR($F3736="",$D3736=""),"",IF($D3736="Receita",$F3736,IF($D3736="Transferência",0,-$F3736)))</f>
        <v/>
      </c>
    </row>
    <row r="3737">
      <c r="A3737" s="73" t="n"/>
      <c r="B3737" s="74" t="n"/>
      <c r="C3737" s="74" t="n"/>
      <c r="D3737" s="75">
        <f>IF($C3737="","",IFERROR(INDEX(CAT_TIPO,MATCH($C3737,CAT_NOME,0)),"Sem categoria"))</f>
        <v/>
      </c>
      <c r="E3737" s="75">
        <f>IF($C3737="","",IFERROR(INDEX(CAT_GRUPO,MATCH($C3737,CAT_NOME,0)),"Sem categoria"))</f>
        <v/>
      </c>
      <c r="F3737" s="76" t="n"/>
      <c r="G3737" s="74" t="n"/>
      <c r="H3737" s="74" t="n"/>
      <c r="I3737" s="74" t="n"/>
      <c r="J3737" s="77" t="n"/>
      <c r="K3737" s="77" t="n"/>
      <c r="L3737" s="74" t="n"/>
      <c r="M3737" s="74" t="n"/>
      <c r="O3737" s="78">
        <f>IF($A3737="","",YEAR($A3737)*100+MONTH($A3737))</f>
        <v/>
      </c>
      <c r="P3737" s="79">
        <f>IF(OR($F3737="",$D3737=""),"",IF($D3737="Receita",$F3737,IF($D3737="Transferência",0,-$F3737)))</f>
        <v/>
      </c>
    </row>
    <row r="3738">
      <c r="A3738" s="73" t="n"/>
      <c r="B3738" s="74" t="n"/>
      <c r="C3738" s="74" t="n"/>
      <c r="D3738" s="75">
        <f>IF($C3738="","",IFERROR(INDEX(CAT_TIPO,MATCH($C3738,CAT_NOME,0)),"Sem categoria"))</f>
        <v/>
      </c>
      <c r="E3738" s="75">
        <f>IF($C3738="","",IFERROR(INDEX(CAT_GRUPO,MATCH($C3738,CAT_NOME,0)),"Sem categoria"))</f>
        <v/>
      </c>
      <c r="F3738" s="76" t="n"/>
      <c r="G3738" s="74" t="n"/>
      <c r="H3738" s="74" t="n"/>
      <c r="I3738" s="74" t="n"/>
      <c r="J3738" s="77" t="n"/>
      <c r="K3738" s="77" t="n"/>
      <c r="L3738" s="74" t="n"/>
      <c r="M3738" s="74" t="n"/>
      <c r="O3738" s="78">
        <f>IF($A3738="","",YEAR($A3738)*100+MONTH($A3738))</f>
        <v/>
      </c>
      <c r="P3738" s="79">
        <f>IF(OR($F3738="",$D3738=""),"",IF($D3738="Receita",$F3738,IF($D3738="Transferência",0,-$F3738)))</f>
        <v/>
      </c>
    </row>
    <row r="3739">
      <c r="A3739" s="73" t="n"/>
      <c r="B3739" s="74" t="n"/>
      <c r="C3739" s="74" t="n"/>
      <c r="D3739" s="75">
        <f>IF($C3739="","",IFERROR(INDEX(CAT_TIPO,MATCH($C3739,CAT_NOME,0)),"Sem categoria"))</f>
        <v/>
      </c>
      <c r="E3739" s="75">
        <f>IF($C3739="","",IFERROR(INDEX(CAT_GRUPO,MATCH($C3739,CAT_NOME,0)),"Sem categoria"))</f>
        <v/>
      </c>
      <c r="F3739" s="76" t="n"/>
      <c r="G3739" s="74" t="n"/>
      <c r="H3739" s="74" t="n"/>
      <c r="I3739" s="74" t="n"/>
      <c r="J3739" s="77" t="n"/>
      <c r="K3739" s="77" t="n"/>
      <c r="L3739" s="74" t="n"/>
      <c r="M3739" s="74" t="n"/>
      <c r="O3739" s="78">
        <f>IF($A3739="","",YEAR($A3739)*100+MONTH($A3739))</f>
        <v/>
      </c>
      <c r="P3739" s="79">
        <f>IF(OR($F3739="",$D3739=""),"",IF($D3739="Receita",$F3739,IF($D3739="Transferência",0,-$F3739)))</f>
        <v/>
      </c>
    </row>
    <row r="3740">
      <c r="A3740" s="73" t="n"/>
      <c r="B3740" s="74" t="n"/>
      <c r="C3740" s="74" t="n"/>
      <c r="D3740" s="75">
        <f>IF($C3740="","",IFERROR(INDEX(CAT_TIPO,MATCH($C3740,CAT_NOME,0)),"Sem categoria"))</f>
        <v/>
      </c>
      <c r="E3740" s="75">
        <f>IF($C3740="","",IFERROR(INDEX(CAT_GRUPO,MATCH($C3740,CAT_NOME,0)),"Sem categoria"))</f>
        <v/>
      </c>
      <c r="F3740" s="76" t="n"/>
      <c r="G3740" s="74" t="n"/>
      <c r="H3740" s="74" t="n"/>
      <c r="I3740" s="74" t="n"/>
      <c r="J3740" s="77" t="n"/>
      <c r="K3740" s="77" t="n"/>
      <c r="L3740" s="74" t="n"/>
      <c r="M3740" s="74" t="n"/>
      <c r="O3740" s="78">
        <f>IF($A3740="","",YEAR($A3740)*100+MONTH($A3740))</f>
        <v/>
      </c>
      <c r="P3740" s="79">
        <f>IF(OR($F3740="",$D3740=""),"",IF($D3740="Receita",$F3740,IF($D3740="Transferência",0,-$F3740)))</f>
        <v/>
      </c>
    </row>
    <row r="3741">
      <c r="A3741" s="73" t="n"/>
      <c r="B3741" s="74" t="n"/>
      <c r="C3741" s="74" t="n"/>
      <c r="D3741" s="75">
        <f>IF($C3741="","",IFERROR(INDEX(CAT_TIPO,MATCH($C3741,CAT_NOME,0)),"Sem categoria"))</f>
        <v/>
      </c>
      <c r="E3741" s="75">
        <f>IF($C3741="","",IFERROR(INDEX(CAT_GRUPO,MATCH($C3741,CAT_NOME,0)),"Sem categoria"))</f>
        <v/>
      </c>
      <c r="F3741" s="76" t="n"/>
      <c r="G3741" s="74" t="n"/>
      <c r="H3741" s="74" t="n"/>
      <c r="I3741" s="74" t="n"/>
      <c r="J3741" s="77" t="n"/>
      <c r="K3741" s="77" t="n"/>
      <c r="L3741" s="74" t="n"/>
      <c r="M3741" s="74" t="n"/>
      <c r="O3741" s="78">
        <f>IF($A3741="","",YEAR($A3741)*100+MONTH($A3741))</f>
        <v/>
      </c>
      <c r="P3741" s="79">
        <f>IF(OR($F3741="",$D3741=""),"",IF($D3741="Receita",$F3741,IF($D3741="Transferência",0,-$F3741)))</f>
        <v/>
      </c>
    </row>
    <row r="3742">
      <c r="A3742" s="73" t="n"/>
      <c r="B3742" s="74" t="n"/>
      <c r="C3742" s="74" t="n"/>
      <c r="D3742" s="75">
        <f>IF($C3742="","",IFERROR(INDEX(CAT_TIPO,MATCH($C3742,CAT_NOME,0)),"Sem categoria"))</f>
        <v/>
      </c>
      <c r="E3742" s="75">
        <f>IF($C3742="","",IFERROR(INDEX(CAT_GRUPO,MATCH($C3742,CAT_NOME,0)),"Sem categoria"))</f>
        <v/>
      </c>
      <c r="F3742" s="76" t="n"/>
      <c r="G3742" s="74" t="n"/>
      <c r="H3742" s="74" t="n"/>
      <c r="I3742" s="74" t="n"/>
      <c r="J3742" s="77" t="n"/>
      <c r="K3742" s="77" t="n"/>
      <c r="L3742" s="74" t="n"/>
      <c r="M3742" s="74" t="n"/>
      <c r="O3742" s="78">
        <f>IF($A3742="","",YEAR($A3742)*100+MONTH($A3742))</f>
        <v/>
      </c>
      <c r="P3742" s="79">
        <f>IF(OR($F3742="",$D3742=""),"",IF($D3742="Receita",$F3742,IF($D3742="Transferência",0,-$F3742)))</f>
        <v/>
      </c>
    </row>
    <row r="3743">
      <c r="A3743" s="73" t="n"/>
      <c r="B3743" s="74" t="n"/>
      <c r="C3743" s="74" t="n"/>
      <c r="D3743" s="75">
        <f>IF($C3743="","",IFERROR(INDEX(CAT_TIPO,MATCH($C3743,CAT_NOME,0)),"Sem categoria"))</f>
        <v/>
      </c>
      <c r="E3743" s="75">
        <f>IF($C3743="","",IFERROR(INDEX(CAT_GRUPO,MATCH($C3743,CAT_NOME,0)),"Sem categoria"))</f>
        <v/>
      </c>
      <c r="F3743" s="76" t="n"/>
      <c r="G3743" s="74" t="n"/>
      <c r="H3743" s="74" t="n"/>
      <c r="I3743" s="74" t="n"/>
      <c r="J3743" s="77" t="n"/>
      <c r="K3743" s="77" t="n"/>
      <c r="L3743" s="74" t="n"/>
      <c r="M3743" s="74" t="n"/>
      <c r="O3743" s="78">
        <f>IF($A3743="","",YEAR($A3743)*100+MONTH($A3743))</f>
        <v/>
      </c>
      <c r="P3743" s="79">
        <f>IF(OR($F3743="",$D3743=""),"",IF($D3743="Receita",$F3743,IF($D3743="Transferência",0,-$F3743)))</f>
        <v/>
      </c>
    </row>
    <row r="3744">
      <c r="A3744" s="73" t="n"/>
      <c r="B3744" s="74" t="n"/>
      <c r="C3744" s="74" t="n"/>
      <c r="D3744" s="75">
        <f>IF($C3744="","",IFERROR(INDEX(CAT_TIPO,MATCH($C3744,CAT_NOME,0)),"Sem categoria"))</f>
        <v/>
      </c>
      <c r="E3744" s="75">
        <f>IF($C3744="","",IFERROR(INDEX(CAT_GRUPO,MATCH($C3744,CAT_NOME,0)),"Sem categoria"))</f>
        <v/>
      </c>
      <c r="F3744" s="76" t="n"/>
      <c r="G3744" s="74" t="n"/>
      <c r="H3744" s="74" t="n"/>
      <c r="I3744" s="74" t="n"/>
      <c r="J3744" s="77" t="n"/>
      <c r="K3744" s="77" t="n"/>
      <c r="L3744" s="74" t="n"/>
      <c r="M3744" s="74" t="n"/>
      <c r="O3744" s="78">
        <f>IF($A3744="","",YEAR($A3744)*100+MONTH($A3744))</f>
        <v/>
      </c>
      <c r="P3744" s="79">
        <f>IF(OR($F3744="",$D3744=""),"",IF($D3744="Receita",$F3744,IF($D3744="Transferência",0,-$F3744)))</f>
        <v/>
      </c>
    </row>
    <row r="3745">
      <c r="A3745" s="73" t="n"/>
      <c r="B3745" s="74" t="n"/>
      <c r="C3745" s="74" t="n"/>
      <c r="D3745" s="75">
        <f>IF($C3745="","",IFERROR(INDEX(CAT_TIPO,MATCH($C3745,CAT_NOME,0)),"Sem categoria"))</f>
        <v/>
      </c>
      <c r="E3745" s="75">
        <f>IF($C3745="","",IFERROR(INDEX(CAT_GRUPO,MATCH($C3745,CAT_NOME,0)),"Sem categoria"))</f>
        <v/>
      </c>
      <c r="F3745" s="76" t="n"/>
      <c r="G3745" s="74" t="n"/>
      <c r="H3745" s="74" t="n"/>
      <c r="I3745" s="74" t="n"/>
      <c r="J3745" s="77" t="n"/>
      <c r="K3745" s="77" t="n"/>
      <c r="L3745" s="74" t="n"/>
      <c r="M3745" s="74" t="n"/>
      <c r="O3745" s="78">
        <f>IF($A3745="","",YEAR($A3745)*100+MONTH($A3745))</f>
        <v/>
      </c>
      <c r="P3745" s="79">
        <f>IF(OR($F3745="",$D3745=""),"",IF($D3745="Receita",$F3745,IF($D3745="Transferência",0,-$F3745)))</f>
        <v/>
      </c>
    </row>
    <row r="3746">
      <c r="A3746" s="73" t="n"/>
      <c r="B3746" s="74" t="n"/>
      <c r="C3746" s="74" t="n"/>
      <c r="D3746" s="75">
        <f>IF($C3746="","",IFERROR(INDEX(CAT_TIPO,MATCH($C3746,CAT_NOME,0)),"Sem categoria"))</f>
        <v/>
      </c>
      <c r="E3746" s="75">
        <f>IF($C3746="","",IFERROR(INDEX(CAT_GRUPO,MATCH($C3746,CAT_NOME,0)),"Sem categoria"))</f>
        <v/>
      </c>
      <c r="F3746" s="76" t="n"/>
      <c r="G3746" s="74" t="n"/>
      <c r="H3746" s="74" t="n"/>
      <c r="I3746" s="74" t="n"/>
      <c r="J3746" s="77" t="n"/>
      <c r="K3746" s="77" t="n"/>
      <c r="L3746" s="74" t="n"/>
      <c r="M3746" s="74" t="n"/>
      <c r="O3746" s="78">
        <f>IF($A3746="","",YEAR($A3746)*100+MONTH($A3746))</f>
        <v/>
      </c>
      <c r="P3746" s="79">
        <f>IF(OR($F3746="",$D3746=""),"",IF($D3746="Receita",$F3746,IF($D3746="Transferência",0,-$F3746)))</f>
        <v/>
      </c>
    </row>
    <row r="3747">
      <c r="A3747" s="73" t="n"/>
      <c r="B3747" s="74" t="n"/>
      <c r="C3747" s="74" t="n"/>
      <c r="D3747" s="75">
        <f>IF($C3747="","",IFERROR(INDEX(CAT_TIPO,MATCH($C3747,CAT_NOME,0)),"Sem categoria"))</f>
        <v/>
      </c>
      <c r="E3747" s="75">
        <f>IF($C3747="","",IFERROR(INDEX(CAT_GRUPO,MATCH($C3747,CAT_NOME,0)),"Sem categoria"))</f>
        <v/>
      </c>
      <c r="F3747" s="76" t="n"/>
      <c r="G3747" s="74" t="n"/>
      <c r="H3747" s="74" t="n"/>
      <c r="I3747" s="74" t="n"/>
      <c r="J3747" s="77" t="n"/>
      <c r="K3747" s="77" t="n"/>
      <c r="L3747" s="74" t="n"/>
      <c r="M3747" s="74" t="n"/>
      <c r="O3747" s="78">
        <f>IF($A3747="","",YEAR($A3747)*100+MONTH($A3747))</f>
        <v/>
      </c>
      <c r="P3747" s="79">
        <f>IF(OR($F3747="",$D3747=""),"",IF($D3747="Receita",$F3747,IF($D3747="Transferência",0,-$F3747)))</f>
        <v/>
      </c>
    </row>
    <row r="3748">
      <c r="A3748" s="73" t="n"/>
      <c r="B3748" s="74" t="n"/>
      <c r="C3748" s="74" t="n"/>
      <c r="D3748" s="75">
        <f>IF($C3748="","",IFERROR(INDEX(CAT_TIPO,MATCH($C3748,CAT_NOME,0)),"Sem categoria"))</f>
        <v/>
      </c>
      <c r="E3748" s="75">
        <f>IF($C3748="","",IFERROR(INDEX(CAT_GRUPO,MATCH($C3748,CAT_NOME,0)),"Sem categoria"))</f>
        <v/>
      </c>
      <c r="F3748" s="76" t="n"/>
      <c r="G3748" s="74" t="n"/>
      <c r="H3748" s="74" t="n"/>
      <c r="I3748" s="74" t="n"/>
      <c r="J3748" s="77" t="n"/>
      <c r="K3748" s="77" t="n"/>
      <c r="L3748" s="74" t="n"/>
      <c r="M3748" s="74" t="n"/>
      <c r="O3748" s="78">
        <f>IF($A3748="","",YEAR($A3748)*100+MONTH($A3748))</f>
        <v/>
      </c>
      <c r="P3748" s="79">
        <f>IF(OR($F3748="",$D3748=""),"",IF($D3748="Receita",$F3748,IF($D3748="Transferência",0,-$F3748)))</f>
        <v/>
      </c>
    </row>
    <row r="3749">
      <c r="A3749" s="73" t="n"/>
      <c r="B3749" s="74" t="n"/>
      <c r="C3749" s="74" t="n"/>
      <c r="D3749" s="75">
        <f>IF($C3749="","",IFERROR(INDEX(CAT_TIPO,MATCH($C3749,CAT_NOME,0)),"Sem categoria"))</f>
        <v/>
      </c>
      <c r="E3749" s="75">
        <f>IF($C3749="","",IFERROR(INDEX(CAT_GRUPO,MATCH($C3749,CAT_NOME,0)),"Sem categoria"))</f>
        <v/>
      </c>
      <c r="F3749" s="76" t="n"/>
      <c r="G3749" s="74" t="n"/>
      <c r="H3749" s="74" t="n"/>
      <c r="I3749" s="74" t="n"/>
      <c r="J3749" s="77" t="n"/>
      <c r="K3749" s="77" t="n"/>
      <c r="L3749" s="74" t="n"/>
      <c r="M3749" s="74" t="n"/>
      <c r="O3749" s="78">
        <f>IF($A3749="","",YEAR($A3749)*100+MONTH($A3749))</f>
        <v/>
      </c>
      <c r="P3749" s="79">
        <f>IF(OR($F3749="",$D3749=""),"",IF($D3749="Receita",$F3749,IF($D3749="Transferência",0,-$F3749)))</f>
        <v/>
      </c>
    </row>
    <row r="3750">
      <c r="A3750" s="73" t="n"/>
      <c r="B3750" s="74" t="n"/>
      <c r="C3750" s="74" t="n"/>
      <c r="D3750" s="75">
        <f>IF($C3750="","",IFERROR(INDEX(CAT_TIPO,MATCH($C3750,CAT_NOME,0)),"Sem categoria"))</f>
        <v/>
      </c>
      <c r="E3750" s="75">
        <f>IF($C3750="","",IFERROR(INDEX(CAT_GRUPO,MATCH($C3750,CAT_NOME,0)),"Sem categoria"))</f>
        <v/>
      </c>
      <c r="F3750" s="76" t="n"/>
      <c r="G3750" s="74" t="n"/>
      <c r="H3750" s="74" t="n"/>
      <c r="I3750" s="74" t="n"/>
      <c r="J3750" s="77" t="n"/>
      <c r="K3750" s="77" t="n"/>
      <c r="L3750" s="74" t="n"/>
      <c r="M3750" s="74" t="n"/>
      <c r="O3750" s="78">
        <f>IF($A3750="","",YEAR($A3750)*100+MONTH($A3750))</f>
        <v/>
      </c>
      <c r="P3750" s="79">
        <f>IF(OR($F3750="",$D3750=""),"",IF($D3750="Receita",$F3750,IF($D3750="Transferência",0,-$F3750)))</f>
        <v/>
      </c>
    </row>
    <row r="3751">
      <c r="A3751" s="73" t="n"/>
      <c r="B3751" s="74" t="n"/>
      <c r="C3751" s="74" t="n"/>
      <c r="D3751" s="75">
        <f>IF($C3751="","",IFERROR(INDEX(CAT_TIPO,MATCH($C3751,CAT_NOME,0)),"Sem categoria"))</f>
        <v/>
      </c>
      <c r="E3751" s="75">
        <f>IF($C3751="","",IFERROR(INDEX(CAT_GRUPO,MATCH($C3751,CAT_NOME,0)),"Sem categoria"))</f>
        <v/>
      </c>
      <c r="F3751" s="76" t="n"/>
      <c r="G3751" s="74" t="n"/>
      <c r="H3751" s="74" t="n"/>
      <c r="I3751" s="74" t="n"/>
      <c r="J3751" s="77" t="n"/>
      <c r="K3751" s="77" t="n"/>
      <c r="L3751" s="74" t="n"/>
      <c r="M3751" s="74" t="n"/>
      <c r="O3751" s="78">
        <f>IF($A3751="","",YEAR($A3751)*100+MONTH($A3751))</f>
        <v/>
      </c>
      <c r="P3751" s="79">
        <f>IF(OR($F3751="",$D3751=""),"",IF($D3751="Receita",$F3751,IF($D3751="Transferência",0,-$F3751)))</f>
        <v/>
      </c>
    </row>
    <row r="3752">
      <c r="A3752" s="73" t="n"/>
      <c r="B3752" s="74" t="n"/>
      <c r="C3752" s="74" t="n"/>
      <c r="D3752" s="75">
        <f>IF($C3752="","",IFERROR(INDEX(CAT_TIPO,MATCH($C3752,CAT_NOME,0)),"Sem categoria"))</f>
        <v/>
      </c>
      <c r="E3752" s="75">
        <f>IF($C3752="","",IFERROR(INDEX(CAT_GRUPO,MATCH($C3752,CAT_NOME,0)),"Sem categoria"))</f>
        <v/>
      </c>
      <c r="F3752" s="76" t="n"/>
      <c r="G3752" s="74" t="n"/>
      <c r="H3752" s="74" t="n"/>
      <c r="I3752" s="74" t="n"/>
      <c r="J3752" s="77" t="n"/>
      <c r="K3752" s="77" t="n"/>
      <c r="L3752" s="74" t="n"/>
      <c r="M3752" s="74" t="n"/>
      <c r="O3752" s="78">
        <f>IF($A3752="","",YEAR($A3752)*100+MONTH($A3752))</f>
        <v/>
      </c>
      <c r="P3752" s="79">
        <f>IF(OR($F3752="",$D3752=""),"",IF($D3752="Receita",$F3752,IF($D3752="Transferência",0,-$F3752)))</f>
        <v/>
      </c>
    </row>
    <row r="3753">
      <c r="A3753" s="73" t="n"/>
      <c r="B3753" s="74" t="n"/>
      <c r="C3753" s="74" t="n"/>
      <c r="D3753" s="75">
        <f>IF($C3753="","",IFERROR(INDEX(CAT_TIPO,MATCH($C3753,CAT_NOME,0)),"Sem categoria"))</f>
        <v/>
      </c>
      <c r="E3753" s="75">
        <f>IF($C3753="","",IFERROR(INDEX(CAT_GRUPO,MATCH($C3753,CAT_NOME,0)),"Sem categoria"))</f>
        <v/>
      </c>
      <c r="F3753" s="76" t="n"/>
      <c r="G3753" s="74" t="n"/>
      <c r="H3753" s="74" t="n"/>
      <c r="I3753" s="74" t="n"/>
      <c r="J3753" s="77" t="n"/>
      <c r="K3753" s="77" t="n"/>
      <c r="L3753" s="74" t="n"/>
      <c r="M3753" s="74" t="n"/>
      <c r="O3753" s="78">
        <f>IF($A3753="","",YEAR($A3753)*100+MONTH($A3753))</f>
        <v/>
      </c>
      <c r="P3753" s="79">
        <f>IF(OR($F3753="",$D3753=""),"",IF($D3753="Receita",$F3753,IF($D3753="Transferência",0,-$F3753)))</f>
        <v/>
      </c>
    </row>
    <row r="3754">
      <c r="A3754" s="73" t="n"/>
      <c r="B3754" s="74" t="n"/>
      <c r="C3754" s="74" t="n"/>
      <c r="D3754" s="75">
        <f>IF($C3754="","",IFERROR(INDEX(CAT_TIPO,MATCH($C3754,CAT_NOME,0)),"Sem categoria"))</f>
        <v/>
      </c>
      <c r="E3754" s="75">
        <f>IF($C3754="","",IFERROR(INDEX(CAT_GRUPO,MATCH($C3754,CAT_NOME,0)),"Sem categoria"))</f>
        <v/>
      </c>
      <c r="F3754" s="76" t="n"/>
      <c r="G3754" s="74" t="n"/>
      <c r="H3754" s="74" t="n"/>
      <c r="I3754" s="74" t="n"/>
      <c r="J3754" s="77" t="n"/>
      <c r="K3754" s="77" t="n"/>
      <c r="L3754" s="74" t="n"/>
      <c r="M3754" s="74" t="n"/>
      <c r="O3754" s="78">
        <f>IF($A3754="","",YEAR($A3754)*100+MONTH($A3754))</f>
        <v/>
      </c>
      <c r="P3754" s="79">
        <f>IF(OR($F3754="",$D3754=""),"",IF($D3754="Receita",$F3754,IF($D3754="Transferência",0,-$F3754)))</f>
        <v/>
      </c>
    </row>
    <row r="3755">
      <c r="A3755" s="73" t="n"/>
      <c r="B3755" s="74" t="n"/>
      <c r="C3755" s="74" t="n"/>
      <c r="D3755" s="75">
        <f>IF($C3755="","",IFERROR(INDEX(CAT_TIPO,MATCH($C3755,CAT_NOME,0)),"Sem categoria"))</f>
        <v/>
      </c>
      <c r="E3755" s="75">
        <f>IF($C3755="","",IFERROR(INDEX(CAT_GRUPO,MATCH($C3755,CAT_NOME,0)),"Sem categoria"))</f>
        <v/>
      </c>
      <c r="F3755" s="76" t="n"/>
      <c r="G3755" s="74" t="n"/>
      <c r="H3755" s="74" t="n"/>
      <c r="I3755" s="74" t="n"/>
      <c r="J3755" s="77" t="n"/>
      <c r="K3755" s="77" t="n"/>
      <c r="L3755" s="74" t="n"/>
      <c r="M3755" s="74" t="n"/>
      <c r="O3755" s="78">
        <f>IF($A3755="","",YEAR($A3755)*100+MONTH($A3755))</f>
        <v/>
      </c>
      <c r="P3755" s="79">
        <f>IF(OR($F3755="",$D3755=""),"",IF($D3755="Receita",$F3755,IF($D3755="Transferência",0,-$F3755)))</f>
        <v/>
      </c>
    </row>
    <row r="3756">
      <c r="A3756" s="73" t="n"/>
      <c r="B3756" s="74" t="n"/>
      <c r="C3756" s="74" t="n"/>
      <c r="D3756" s="75">
        <f>IF($C3756="","",IFERROR(INDEX(CAT_TIPO,MATCH($C3756,CAT_NOME,0)),"Sem categoria"))</f>
        <v/>
      </c>
      <c r="E3756" s="75">
        <f>IF($C3756="","",IFERROR(INDEX(CAT_GRUPO,MATCH($C3756,CAT_NOME,0)),"Sem categoria"))</f>
        <v/>
      </c>
      <c r="F3756" s="76" t="n"/>
      <c r="G3756" s="74" t="n"/>
      <c r="H3756" s="74" t="n"/>
      <c r="I3756" s="74" t="n"/>
      <c r="J3756" s="77" t="n"/>
      <c r="K3756" s="77" t="n"/>
      <c r="L3756" s="74" t="n"/>
      <c r="M3756" s="74" t="n"/>
      <c r="O3756" s="78">
        <f>IF($A3756="","",YEAR($A3756)*100+MONTH($A3756))</f>
        <v/>
      </c>
      <c r="P3756" s="79">
        <f>IF(OR($F3756="",$D3756=""),"",IF($D3756="Receita",$F3756,IF($D3756="Transferência",0,-$F3756)))</f>
        <v/>
      </c>
    </row>
    <row r="3757">
      <c r="A3757" s="73" t="n"/>
      <c r="B3757" s="74" t="n"/>
      <c r="C3757" s="74" t="n"/>
      <c r="D3757" s="75">
        <f>IF($C3757="","",IFERROR(INDEX(CAT_TIPO,MATCH($C3757,CAT_NOME,0)),"Sem categoria"))</f>
        <v/>
      </c>
      <c r="E3757" s="75">
        <f>IF($C3757="","",IFERROR(INDEX(CAT_GRUPO,MATCH($C3757,CAT_NOME,0)),"Sem categoria"))</f>
        <v/>
      </c>
      <c r="F3757" s="76" t="n"/>
      <c r="G3757" s="74" t="n"/>
      <c r="H3757" s="74" t="n"/>
      <c r="I3757" s="74" t="n"/>
      <c r="J3757" s="77" t="n"/>
      <c r="K3757" s="77" t="n"/>
      <c r="L3757" s="74" t="n"/>
      <c r="M3757" s="74" t="n"/>
      <c r="O3757" s="78">
        <f>IF($A3757="","",YEAR($A3757)*100+MONTH($A3757))</f>
        <v/>
      </c>
      <c r="P3757" s="79">
        <f>IF(OR($F3757="",$D3757=""),"",IF($D3757="Receita",$F3757,IF($D3757="Transferência",0,-$F3757)))</f>
        <v/>
      </c>
    </row>
    <row r="3758">
      <c r="A3758" s="73" t="n"/>
      <c r="B3758" s="74" t="n"/>
      <c r="C3758" s="74" t="n"/>
      <c r="D3758" s="75">
        <f>IF($C3758="","",IFERROR(INDEX(CAT_TIPO,MATCH($C3758,CAT_NOME,0)),"Sem categoria"))</f>
        <v/>
      </c>
      <c r="E3758" s="75">
        <f>IF($C3758="","",IFERROR(INDEX(CAT_GRUPO,MATCH($C3758,CAT_NOME,0)),"Sem categoria"))</f>
        <v/>
      </c>
      <c r="F3758" s="76" t="n"/>
      <c r="G3758" s="74" t="n"/>
      <c r="H3758" s="74" t="n"/>
      <c r="I3758" s="74" t="n"/>
      <c r="J3758" s="77" t="n"/>
      <c r="K3758" s="77" t="n"/>
      <c r="L3758" s="74" t="n"/>
      <c r="M3758" s="74" t="n"/>
      <c r="O3758" s="78">
        <f>IF($A3758="","",YEAR($A3758)*100+MONTH($A3758))</f>
        <v/>
      </c>
      <c r="P3758" s="79">
        <f>IF(OR($F3758="",$D3758=""),"",IF($D3758="Receita",$F3758,IF($D3758="Transferência",0,-$F3758)))</f>
        <v/>
      </c>
    </row>
    <row r="3759">
      <c r="A3759" s="73" t="n"/>
      <c r="B3759" s="74" t="n"/>
      <c r="C3759" s="74" t="n"/>
      <c r="D3759" s="75">
        <f>IF($C3759="","",IFERROR(INDEX(CAT_TIPO,MATCH($C3759,CAT_NOME,0)),"Sem categoria"))</f>
        <v/>
      </c>
      <c r="E3759" s="75">
        <f>IF($C3759="","",IFERROR(INDEX(CAT_GRUPO,MATCH($C3759,CAT_NOME,0)),"Sem categoria"))</f>
        <v/>
      </c>
      <c r="F3759" s="76" t="n"/>
      <c r="G3759" s="74" t="n"/>
      <c r="H3759" s="74" t="n"/>
      <c r="I3759" s="74" t="n"/>
      <c r="J3759" s="77" t="n"/>
      <c r="K3759" s="77" t="n"/>
      <c r="L3759" s="74" t="n"/>
      <c r="M3759" s="74" t="n"/>
      <c r="O3759" s="78">
        <f>IF($A3759="","",YEAR($A3759)*100+MONTH($A3759))</f>
        <v/>
      </c>
      <c r="P3759" s="79">
        <f>IF(OR($F3759="",$D3759=""),"",IF($D3759="Receita",$F3759,IF($D3759="Transferência",0,-$F3759)))</f>
        <v/>
      </c>
    </row>
    <row r="3760">
      <c r="A3760" s="73" t="n"/>
      <c r="B3760" s="74" t="n"/>
      <c r="C3760" s="74" t="n"/>
      <c r="D3760" s="75">
        <f>IF($C3760="","",IFERROR(INDEX(CAT_TIPO,MATCH($C3760,CAT_NOME,0)),"Sem categoria"))</f>
        <v/>
      </c>
      <c r="E3760" s="75">
        <f>IF($C3760="","",IFERROR(INDEX(CAT_GRUPO,MATCH($C3760,CAT_NOME,0)),"Sem categoria"))</f>
        <v/>
      </c>
      <c r="F3760" s="76" t="n"/>
      <c r="G3760" s="74" t="n"/>
      <c r="H3760" s="74" t="n"/>
      <c r="I3760" s="74" t="n"/>
      <c r="J3760" s="77" t="n"/>
      <c r="K3760" s="77" t="n"/>
      <c r="L3760" s="74" t="n"/>
      <c r="M3760" s="74" t="n"/>
      <c r="O3760" s="78">
        <f>IF($A3760="","",YEAR($A3760)*100+MONTH($A3760))</f>
        <v/>
      </c>
      <c r="P3760" s="79">
        <f>IF(OR($F3760="",$D3760=""),"",IF($D3760="Receita",$F3760,IF($D3760="Transferência",0,-$F3760)))</f>
        <v/>
      </c>
    </row>
    <row r="3761">
      <c r="A3761" s="73" t="n"/>
      <c r="B3761" s="74" t="n"/>
      <c r="C3761" s="74" t="n"/>
      <c r="D3761" s="75">
        <f>IF($C3761="","",IFERROR(INDEX(CAT_TIPO,MATCH($C3761,CAT_NOME,0)),"Sem categoria"))</f>
        <v/>
      </c>
      <c r="E3761" s="75">
        <f>IF($C3761="","",IFERROR(INDEX(CAT_GRUPO,MATCH($C3761,CAT_NOME,0)),"Sem categoria"))</f>
        <v/>
      </c>
      <c r="F3761" s="76" t="n"/>
      <c r="G3761" s="74" t="n"/>
      <c r="H3761" s="74" t="n"/>
      <c r="I3761" s="74" t="n"/>
      <c r="J3761" s="77" t="n"/>
      <c r="K3761" s="77" t="n"/>
      <c r="L3761" s="74" t="n"/>
      <c r="M3761" s="74" t="n"/>
      <c r="O3761" s="78">
        <f>IF($A3761="","",YEAR($A3761)*100+MONTH($A3761))</f>
        <v/>
      </c>
      <c r="P3761" s="79">
        <f>IF(OR($F3761="",$D3761=""),"",IF($D3761="Receita",$F3761,IF($D3761="Transferência",0,-$F3761)))</f>
        <v/>
      </c>
    </row>
    <row r="3762">
      <c r="A3762" s="73" t="n"/>
      <c r="B3762" s="74" t="n"/>
      <c r="C3762" s="74" t="n"/>
      <c r="D3762" s="75">
        <f>IF($C3762="","",IFERROR(INDEX(CAT_TIPO,MATCH($C3762,CAT_NOME,0)),"Sem categoria"))</f>
        <v/>
      </c>
      <c r="E3762" s="75">
        <f>IF($C3762="","",IFERROR(INDEX(CAT_GRUPO,MATCH($C3762,CAT_NOME,0)),"Sem categoria"))</f>
        <v/>
      </c>
      <c r="F3762" s="76" t="n"/>
      <c r="G3762" s="74" t="n"/>
      <c r="H3762" s="74" t="n"/>
      <c r="I3762" s="74" t="n"/>
      <c r="J3762" s="77" t="n"/>
      <c r="K3762" s="77" t="n"/>
      <c r="L3762" s="74" t="n"/>
      <c r="M3762" s="74" t="n"/>
      <c r="O3762" s="78">
        <f>IF($A3762="","",YEAR($A3762)*100+MONTH($A3762))</f>
        <v/>
      </c>
      <c r="P3762" s="79">
        <f>IF(OR($F3762="",$D3762=""),"",IF($D3762="Receita",$F3762,IF($D3762="Transferência",0,-$F3762)))</f>
        <v/>
      </c>
    </row>
    <row r="3763">
      <c r="A3763" s="73" t="n"/>
      <c r="B3763" s="74" t="n"/>
      <c r="C3763" s="74" t="n"/>
      <c r="D3763" s="75">
        <f>IF($C3763="","",IFERROR(INDEX(CAT_TIPO,MATCH($C3763,CAT_NOME,0)),"Sem categoria"))</f>
        <v/>
      </c>
      <c r="E3763" s="75">
        <f>IF($C3763="","",IFERROR(INDEX(CAT_GRUPO,MATCH($C3763,CAT_NOME,0)),"Sem categoria"))</f>
        <v/>
      </c>
      <c r="F3763" s="76" t="n"/>
      <c r="G3763" s="74" t="n"/>
      <c r="H3763" s="74" t="n"/>
      <c r="I3763" s="74" t="n"/>
      <c r="J3763" s="77" t="n"/>
      <c r="K3763" s="77" t="n"/>
      <c r="L3763" s="74" t="n"/>
      <c r="M3763" s="74" t="n"/>
      <c r="O3763" s="78">
        <f>IF($A3763="","",YEAR($A3763)*100+MONTH($A3763))</f>
        <v/>
      </c>
      <c r="P3763" s="79">
        <f>IF(OR($F3763="",$D3763=""),"",IF($D3763="Receita",$F3763,IF($D3763="Transferência",0,-$F3763)))</f>
        <v/>
      </c>
    </row>
    <row r="3764">
      <c r="A3764" s="73" t="n"/>
      <c r="B3764" s="74" t="n"/>
      <c r="C3764" s="74" t="n"/>
      <c r="D3764" s="75">
        <f>IF($C3764="","",IFERROR(INDEX(CAT_TIPO,MATCH($C3764,CAT_NOME,0)),"Sem categoria"))</f>
        <v/>
      </c>
      <c r="E3764" s="75">
        <f>IF($C3764="","",IFERROR(INDEX(CAT_GRUPO,MATCH($C3764,CAT_NOME,0)),"Sem categoria"))</f>
        <v/>
      </c>
      <c r="F3764" s="76" t="n"/>
      <c r="G3764" s="74" t="n"/>
      <c r="H3764" s="74" t="n"/>
      <c r="I3764" s="74" t="n"/>
      <c r="J3764" s="77" t="n"/>
      <c r="K3764" s="77" t="n"/>
      <c r="L3764" s="74" t="n"/>
      <c r="M3764" s="74" t="n"/>
      <c r="O3764" s="78">
        <f>IF($A3764="","",YEAR($A3764)*100+MONTH($A3764))</f>
        <v/>
      </c>
      <c r="P3764" s="79">
        <f>IF(OR($F3764="",$D3764=""),"",IF($D3764="Receita",$F3764,IF($D3764="Transferência",0,-$F3764)))</f>
        <v/>
      </c>
    </row>
    <row r="3765">
      <c r="A3765" s="73" t="n"/>
      <c r="B3765" s="74" t="n"/>
      <c r="C3765" s="74" t="n"/>
      <c r="D3765" s="75">
        <f>IF($C3765="","",IFERROR(INDEX(CAT_TIPO,MATCH($C3765,CAT_NOME,0)),"Sem categoria"))</f>
        <v/>
      </c>
      <c r="E3765" s="75">
        <f>IF($C3765="","",IFERROR(INDEX(CAT_GRUPO,MATCH($C3765,CAT_NOME,0)),"Sem categoria"))</f>
        <v/>
      </c>
      <c r="F3765" s="76" t="n"/>
      <c r="G3765" s="74" t="n"/>
      <c r="H3765" s="74" t="n"/>
      <c r="I3765" s="74" t="n"/>
      <c r="J3765" s="77" t="n"/>
      <c r="K3765" s="77" t="n"/>
      <c r="L3765" s="74" t="n"/>
      <c r="M3765" s="74" t="n"/>
      <c r="O3765" s="78">
        <f>IF($A3765="","",YEAR($A3765)*100+MONTH($A3765))</f>
        <v/>
      </c>
      <c r="P3765" s="79">
        <f>IF(OR($F3765="",$D3765=""),"",IF($D3765="Receita",$F3765,IF($D3765="Transferência",0,-$F3765)))</f>
        <v/>
      </c>
    </row>
    <row r="3766">
      <c r="A3766" s="73" t="n"/>
      <c r="B3766" s="74" t="n"/>
      <c r="C3766" s="74" t="n"/>
      <c r="D3766" s="75">
        <f>IF($C3766="","",IFERROR(INDEX(CAT_TIPO,MATCH($C3766,CAT_NOME,0)),"Sem categoria"))</f>
        <v/>
      </c>
      <c r="E3766" s="75">
        <f>IF($C3766="","",IFERROR(INDEX(CAT_GRUPO,MATCH($C3766,CAT_NOME,0)),"Sem categoria"))</f>
        <v/>
      </c>
      <c r="F3766" s="76" t="n"/>
      <c r="G3766" s="74" t="n"/>
      <c r="H3766" s="74" t="n"/>
      <c r="I3766" s="74" t="n"/>
      <c r="J3766" s="77" t="n"/>
      <c r="K3766" s="77" t="n"/>
      <c r="L3766" s="74" t="n"/>
      <c r="M3766" s="74" t="n"/>
      <c r="O3766" s="78">
        <f>IF($A3766="","",YEAR($A3766)*100+MONTH($A3766))</f>
        <v/>
      </c>
      <c r="P3766" s="79">
        <f>IF(OR($F3766="",$D3766=""),"",IF($D3766="Receita",$F3766,IF($D3766="Transferência",0,-$F3766)))</f>
        <v/>
      </c>
    </row>
    <row r="3767">
      <c r="A3767" s="73" t="n"/>
      <c r="B3767" s="74" t="n"/>
      <c r="C3767" s="74" t="n"/>
      <c r="D3767" s="75">
        <f>IF($C3767="","",IFERROR(INDEX(CAT_TIPO,MATCH($C3767,CAT_NOME,0)),"Sem categoria"))</f>
        <v/>
      </c>
      <c r="E3767" s="75">
        <f>IF($C3767="","",IFERROR(INDEX(CAT_GRUPO,MATCH($C3767,CAT_NOME,0)),"Sem categoria"))</f>
        <v/>
      </c>
      <c r="F3767" s="76" t="n"/>
      <c r="G3767" s="74" t="n"/>
      <c r="H3767" s="74" t="n"/>
      <c r="I3767" s="74" t="n"/>
      <c r="J3767" s="77" t="n"/>
      <c r="K3767" s="77" t="n"/>
      <c r="L3767" s="74" t="n"/>
      <c r="M3767" s="74" t="n"/>
      <c r="O3767" s="78">
        <f>IF($A3767="","",YEAR($A3767)*100+MONTH($A3767))</f>
        <v/>
      </c>
      <c r="P3767" s="79">
        <f>IF(OR($F3767="",$D3767=""),"",IF($D3767="Receita",$F3767,IF($D3767="Transferência",0,-$F3767)))</f>
        <v/>
      </c>
    </row>
    <row r="3768">
      <c r="A3768" s="73" t="n"/>
      <c r="B3768" s="74" t="n"/>
      <c r="C3768" s="74" t="n"/>
      <c r="D3768" s="75">
        <f>IF($C3768="","",IFERROR(INDEX(CAT_TIPO,MATCH($C3768,CAT_NOME,0)),"Sem categoria"))</f>
        <v/>
      </c>
      <c r="E3768" s="75">
        <f>IF($C3768="","",IFERROR(INDEX(CAT_GRUPO,MATCH($C3768,CAT_NOME,0)),"Sem categoria"))</f>
        <v/>
      </c>
      <c r="F3768" s="76" t="n"/>
      <c r="G3768" s="74" t="n"/>
      <c r="H3768" s="74" t="n"/>
      <c r="I3768" s="74" t="n"/>
      <c r="J3768" s="77" t="n"/>
      <c r="K3768" s="77" t="n"/>
      <c r="L3768" s="74" t="n"/>
      <c r="M3768" s="74" t="n"/>
      <c r="O3768" s="78">
        <f>IF($A3768="","",YEAR($A3768)*100+MONTH($A3768))</f>
        <v/>
      </c>
      <c r="P3768" s="79">
        <f>IF(OR($F3768="",$D3768=""),"",IF($D3768="Receita",$F3768,IF($D3768="Transferência",0,-$F3768)))</f>
        <v/>
      </c>
    </row>
    <row r="3769">
      <c r="A3769" s="73" t="n"/>
      <c r="B3769" s="74" t="n"/>
      <c r="C3769" s="74" t="n"/>
      <c r="D3769" s="75">
        <f>IF($C3769="","",IFERROR(INDEX(CAT_TIPO,MATCH($C3769,CAT_NOME,0)),"Sem categoria"))</f>
        <v/>
      </c>
      <c r="E3769" s="75">
        <f>IF($C3769="","",IFERROR(INDEX(CAT_GRUPO,MATCH($C3769,CAT_NOME,0)),"Sem categoria"))</f>
        <v/>
      </c>
      <c r="F3769" s="76" t="n"/>
      <c r="G3769" s="74" t="n"/>
      <c r="H3769" s="74" t="n"/>
      <c r="I3769" s="74" t="n"/>
      <c r="J3769" s="77" t="n"/>
      <c r="K3769" s="77" t="n"/>
      <c r="L3769" s="74" t="n"/>
      <c r="M3769" s="74" t="n"/>
      <c r="O3769" s="78">
        <f>IF($A3769="","",YEAR($A3769)*100+MONTH($A3769))</f>
        <v/>
      </c>
      <c r="P3769" s="79">
        <f>IF(OR($F3769="",$D3769=""),"",IF($D3769="Receita",$F3769,IF($D3769="Transferência",0,-$F3769)))</f>
        <v/>
      </c>
    </row>
    <row r="3770">
      <c r="A3770" s="73" t="n"/>
      <c r="B3770" s="74" t="n"/>
      <c r="C3770" s="74" t="n"/>
      <c r="D3770" s="75">
        <f>IF($C3770="","",IFERROR(INDEX(CAT_TIPO,MATCH($C3770,CAT_NOME,0)),"Sem categoria"))</f>
        <v/>
      </c>
      <c r="E3770" s="75">
        <f>IF($C3770="","",IFERROR(INDEX(CAT_GRUPO,MATCH($C3770,CAT_NOME,0)),"Sem categoria"))</f>
        <v/>
      </c>
      <c r="F3770" s="76" t="n"/>
      <c r="G3770" s="74" t="n"/>
      <c r="H3770" s="74" t="n"/>
      <c r="I3770" s="74" t="n"/>
      <c r="J3770" s="77" t="n"/>
      <c r="K3770" s="77" t="n"/>
      <c r="L3770" s="74" t="n"/>
      <c r="M3770" s="74" t="n"/>
      <c r="O3770" s="78">
        <f>IF($A3770="","",YEAR($A3770)*100+MONTH($A3770))</f>
        <v/>
      </c>
      <c r="P3770" s="79">
        <f>IF(OR($F3770="",$D3770=""),"",IF($D3770="Receita",$F3770,IF($D3770="Transferência",0,-$F3770)))</f>
        <v/>
      </c>
    </row>
    <row r="3771">
      <c r="A3771" s="73" t="n"/>
      <c r="B3771" s="74" t="n"/>
      <c r="C3771" s="74" t="n"/>
      <c r="D3771" s="75">
        <f>IF($C3771="","",IFERROR(INDEX(CAT_TIPO,MATCH($C3771,CAT_NOME,0)),"Sem categoria"))</f>
        <v/>
      </c>
      <c r="E3771" s="75">
        <f>IF($C3771="","",IFERROR(INDEX(CAT_GRUPO,MATCH($C3771,CAT_NOME,0)),"Sem categoria"))</f>
        <v/>
      </c>
      <c r="F3771" s="76" t="n"/>
      <c r="G3771" s="74" t="n"/>
      <c r="H3771" s="74" t="n"/>
      <c r="I3771" s="74" t="n"/>
      <c r="J3771" s="77" t="n"/>
      <c r="K3771" s="77" t="n"/>
      <c r="L3771" s="74" t="n"/>
      <c r="M3771" s="74" t="n"/>
      <c r="O3771" s="78">
        <f>IF($A3771="","",YEAR($A3771)*100+MONTH($A3771))</f>
        <v/>
      </c>
      <c r="P3771" s="79">
        <f>IF(OR($F3771="",$D3771=""),"",IF($D3771="Receita",$F3771,IF($D3771="Transferência",0,-$F3771)))</f>
        <v/>
      </c>
    </row>
    <row r="3772">
      <c r="A3772" s="73" t="n"/>
      <c r="B3772" s="74" t="n"/>
      <c r="C3772" s="74" t="n"/>
      <c r="D3772" s="75">
        <f>IF($C3772="","",IFERROR(INDEX(CAT_TIPO,MATCH($C3772,CAT_NOME,0)),"Sem categoria"))</f>
        <v/>
      </c>
      <c r="E3772" s="75">
        <f>IF($C3772="","",IFERROR(INDEX(CAT_GRUPO,MATCH($C3772,CAT_NOME,0)),"Sem categoria"))</f>
        <v/>
      </c>
      <c r="F3772" s="76" t="n"/>
      <c r="G3772" s="74" t="n"/>
      <c r="H3772" s="74" t="n"/>
      <c r="I3772" s="74" t="n"/>
      <c r="J3772" s="77" t="n"/>
      <c r="K3772" s="77" t="n"/>
      <c r="L3772" s="74" t="n"/>
      <c r="M3772" s="74" t="n"/>
      <c r="O3772" s="78">
        <f>IF($A3772="","",YEAR($A3772)*100+MONTH($A3772))</f>
        <v/>
      </c>
      <c r="P3772" s="79">
        <f>IF(OR($F3772="",$D3772=""),"",IF($D3772="Receita",$F3772,IF($D3772="Transferência",0,-$F3772)))</f>
        <v/>
      </c>
    </row>
    <row r="3773">
      <c r="A3773" s="73" t="n"/>
      <c r="B3773" s="74" t="n"/>
      <c r="C3773" s="74" t="n"/>
      <c r="D3773" s="75">
        <f>IF($C3773="","",IFERROR(INDEX(CAT_TIPO,MATCH($C3773,CAT_NOME,0)),"Sem categoria"))</f>
        <v/>
      </c>
      <c r="E3773" s="75">
        <f>IF($C3773="","",IFERROR(INDEX(CAT_GRUPO,MATCH($C3773,CAT_NOME,0)),"Sem categoria"))</f>
        <v/>
      </c>
      <c r="F3773" s="76" t="n"/>
      <c r="G3773" s="74" t="n"/>
      <c r="H3773" s="74" t="n"/>
      <c r="I3773" s="74" t="n"/>
      <c r="J3773" s="77" t="n"/>
      <c r="K3773" s="77" t="n"/>
      <c r="L3773" s="74" t="n"/>
      <c r="M3773" s="74" t="n"/>
      <c r="O3773" s="78">
        <f>IF($A3773="","",YEAR($A3773)*100+MONTH($A3773))</f>
        <v/>
      </c>
      <c r="P3773" s="79">
        <f>IF(OR($F3773="",$D3773=""),"",IF($D3773="Receita",$F3773,IF($D3773="Transferência",0,-$F3773)))</f>
        <v/>
      </c>
    </row>
    <row r="3774">
      <c r="A3774" s="73" t="n"/>
      <c r="B3774" s="74" t="n"/>
      <c r="C3774" s="74" t="n"/>
      <c r="D3774" s="75">
        <f>IF($C3774="","",IFERROR(INDEX(CAT_TIPO,MATCH($C3774,CAT_NOME,0)),"Sem categoria"))</f>
        <v/>
      </c>
      <c r="E3774" s="75">
        <f>IF($C3774="","",IFERROR(INDEX(CAT_GRUPO,MATCH($C3774,CAT_NOME,0)),"Sem categoria"))</f>
        <v/>
      </c>
      <c r="F3774" s="76" t="n"/>
      <c r="G3774" s="74" t="n"/>
      <c r="H3774" s="74" t="n"/>
      <c r="I3774" s="74" t="n"/>
      <c r="J3774" s="77" t="n"/>
      <c r="K3774" s="77" t="n"/>
      <c r="L3774" s="74" t="n"/>
      <c r="M3774" s="74" t="n"/>
      <c r="O3774" s="78">
        <f>IF($A3774="","",YEAR($A3774)*100+MONTH($A3774))</f>
        <v/>
      </c>
      <c r="P3774" s="79">
        <f>IF(OR($F3774="",$D3774=""),"",IF($D3774="Receita",$F3774,IF($D3774="Transferência",0,-$F3774)))</f>
        <v/>
      </c>
    </row>
    <row r="3775">
      <c r="A3775" s="73" t="n"/>
      <c r="B3775" s="74" t="n"/>
      <c r="C3775" s="74" t="n"/>
      <c r="D3775" s="75">
        <f>IF($C3775="","",IFERROR(INDEX(CAT_TIPO,MATCH($C3775,CAT_NOME,0)),"Sem categoria"))</f>
        <v/>
      </c>
      <c r="E3775" s="75">
        <f>IF($C3775="","",IFERROR(INDEX(CAT_GRUPO,MATCH($C3775,CAT_NOME,0)),"Sem categoria"))</f>
        <v/>
      </c>
      <c r="F3775" s="76" t="n"/>
      <c r="G3775" s="74" t="n"/>
      <c r="H3775" s="74" t="n"/>
      <c r="I3775" s="74" t="n"/>
      <c r="J3775" s="77" t="n"/>
      <c r="K3775" s="77" t="n"/>
      <c r="L3775" s="74" t="n"/>
      <c r="M3775" s="74" t="n"/>
      <c r="O3775" s="78">
        <f>IF($A3775="","",YEAR($A3775)*100+MONTH($A3775))</f>
        <v/>
      </c>
      <c r="P3775" s="79">
        <f>IF(OR($F3775="",$D3775=""),"",IF($D3775="Receita",$F3775,IF($D3775="Transferência",0,-$F3775)))</f>
        <v/>
      </c>
    </row>
    <row r="3776">
      <c r="A3776" s="73" t="n"/>
      <c r="B3776" s="74" t="n"/>
      <c r="C3776" s="74" t="n"/>
      <c r="D3776" s="75">
        <f>IF($C3776="","",IFERROR(INDEX(CAT_TIPO,MATCH($C3776,CAT_NOME,0)),"Sem categoria"))</f>
        <v/>
      </c>
      <c r="E3776" s="75">
        <f>IF($C3776="","",IFERROR(INDEX(CAT_GRUPO,MATCH($C3776,CAT_NOME,0)),"Sem categoria"))</f>
        <v/>
      </c>
      <c r="F3776" s="76" t="n"/>
      <c r="G3776" s="74" t="n"/>
      <c r="H3776" s="74" t="n"/>
      <c r="I3776" s="74" t="n"/>
      <c r="J3776" s="77" t="n"/>
      <c r="K3776" s="77" t="n"/>
      <c r="L3776" s="74" t="n"/>
      <c r="M3776" s="74" t="n"/>
      <c r="O3776" s="78">
        <f>IF($A3776="","",YEAR($A3776)*100+MONTH($A3776))</f>
        <v/>
      </c>
      <c r="P3776" s="79">
        <f>IF(OR($F3776="",$D3776=""),"",IF($D3776="Receita",$F3776,IF($D3776="Transferência",0,-$F3776)))</f>
        <v/>
      </c>
    </row>
    <row r="3777">
      <c r="A3777" s="73" t="n"/>
      <c r="B3777" s="74" t="n"/>
      <c r="C3777" s="74" t="n"/>
      <c r="D3777" s="75">
        <f>IF($C3777="","",IFERROR(INDEX(CAT_TIPO,MATCH($C3777,CAT_NOME,0)),"Sem categoria"))</f>
        <v/>
      </c>
      <c r="E3777" s="75">
        <f>IF($C3777="","",IFERROR(INDEX(CAT_GRUPO,MATCH($C3777,CAT_NOME,0)),"Sem categoria"))</f>
        <v/>
      </c>
      <c r="F3777" s="76" t="n"/>
      <c r="G3777" s="74" t="n"/>
      <c r="H3777" s="74" t="n"/>
      <c r="I3777" s="74" t="n"/>
      <c r="J3777" s="77" t="n"/>
      <c r="K3777" s="77" t="n"/>
      <c r="L3777" s="74" t="n"/>
      <c r="M3777" s="74" t="n"/>
      <c r="O3777" s="78">
        <f>IF($A3777="","",YEAR($A3777)*100+MONTH($A3777))</f>
        <v/>
      </c>
      <c r="P3777" s="79">
        <f>IF(OR($F3777="",$D3777=""),"",IF($D3777="Receita",$F3777,IF($D3777="Transferência",0,-$F3777)))</f>
        <v/>
      </c>
    </row>
    <row r="3778">
      <c r="A3778" s="73" t="n"/>
      <c r="B3778" s="74" t="n"/>
      <c r="C3778" s="74" t="n"/>
      <c r="D3778" s="75">
        <f>IF($C3778="","",IFERROR(INDEX(CAT_TIPO,MATCH($C3778,CAT_NOME,0)),"Sem categoria"))</f>
        <v/>
      </c>
      <c r="E3778" s="75">
        <f>IF($C3778="","",IFERROR(INDEX(CAT_GRUPO,MATCH($C3778,CAT_NOME,0)),"Sem categoria"))</f>
        <v/>
      </c>
      <c r="F3778" s="76" t="n"/>
      <c r="G3778" s="74" t="n"/>
      <c r="H3778" s="74" t="n"/>
      <c r="I3778" s="74" t="n"/>
      <c r="J3778" s="77" t="n"/>
      <c r="K3778" s="77" t="n"/>
      <c r="L3778" s="74" t="n"/>
      <c r="M3778" s="74" t="n"/>
      <c r="O3778" s="78">
        <f>IF($A3778="","",YEAR($A3778)*100+MONTH($A3778))</f>
        <v/>
      </c>
      <c r="P3778" s="79">
        <f>IF(OR($F3778="",$D3778=""),"",IF($D3778="Receita",$F3778,IF($D3778="Transferência",0,-$F3778)))</f>
        <v/>
      </c>
    </row>
    <row r="3779">
      <c r="A3779" s="73" t="n"/>
      <c r="B3779" s="74" t="n"/>
      <c r="C3779" s="74" t="n"/>
      <c r="D3779" s="75">
        <f>IF($C3779="","",IFERROR(INDEX(CAT_TIPO,MATCH($C3779,CAT_NOME,0)),"Sem categoria"))</f>
        <v/>
      </c>
      <c r="E3779" s="75">
        <f>IF($C3779="","",IFERROR(INDEX(CAT_GRUPO,MATCH($C3779,CAT_NOME,0)),"Sem categoria"))</f>
        <v/>
      </c>
      <c r="F3779" s="76" t="n"/>
      <c r="G3779" s="74" t="n"/>
      <c r="H3779" s="74" t="n"/>
      <c r="I3779" s="74" t="n"/>
      <c r="J3779" s="77" t="n"/>
      <c r="K3779" s="77" t="n"/>
      <c r="L3779" s="74" t="n"/>
      <c r="M3779" s="74" t="n"/>
      <c r="O3779" s="78">
        <f>IF($A3779="","",YEAR($A3779)*100+MONTH($A3779))</f>
        <v/>
      </c>
      <c r="P3779" s="79">
        <f>IF(OR($F3779="",$D3779=""),"",IF($D3779="Receita",$F3779,IF($D3779="Transferência",0,-$F3779)))</f>
        <v/>
      </c>
    </row>
    <row r="3780">
      <c r="A3780" s="73" t="n"/>
      <c r="B3780" s="74" t="n"/>
      <c r="C3780" s="74" t="n"/>
      <c r="D3780" s="75">
        <f>IF($C3780="","",IFERROR(INDEX(CAT_TIPO,MATCH($C3780,CAT_NOME,0)),"Sem categoria"))</f>
        <v/>
      </c>
      <c r="E3780" s="75">
        <f>IF($C3780="","",IFERROR(INDEX(CAT_GRUPO,MATCH($C3780,CAT_NOME,0)),"Sem categoria"))</f>
        <v/>
      </c>
      <c r="F3780" s="76" t="n"/>
      <c r="G3780" s="74" t="n"/>
      <c r="H3780" s="74" t="n"/>
      <c r="I3780" s="74" t="n"/>
      <c r="J3780" s="77" t="n"/>
      <c r="K3780" s="77" t="n"/>
      <c r="L3780" s="74" t="n"/>
      <c r="M3780" s="74" t="n"/>
      <c r="O3780" s="78">
        <f>IF($A3780="","",YEAR($A3780)*100+MONTH($A3780))</f>
        <v/>
      </c>
      <c r="P3780" s="79">
        <f>IF(OR($F3780="",$D3780=""),"",IF($D3780="Receita",$F3780,IF($D3780="Transferência",0,-$F3780)))</f>
        <v/>
      </c>
    </row>
    <row r="3781">
      <c r="A3781" s="73" t="n"/>
      <c r="B3781" s="74" t="n"/>
      <c r="C3781" s="74" t="n"/>
      <c r="D3781" s="75">
        <f>IF($C3781="","",IFERROR(INDEX(CAT_TIPO,MATCH($C3781,CAT_NOME,0)),"Sem categoria"))</f>
        <v/>
      </c>
      <c r="E3781" s="75">
        <f>IF($C3781="","",IFERROR(INDEX(CAT_GRUPO,MATCH($C3781,CAT_NOME,0)),"Sem categoria"))</f>
        <v/>
      </c>
      <c r="F3781" s="76" t="n"/>
      <c r="G3781" s="74" t="n"/>
      <c r="H3781" s="74" t="n"/>
      <c r="I3781" s="74" t="n"/>
      <c r="J3781" s="77" t="n"/>
      <c r="K3781" s="77" t="n"/>
      <c r="L3781" s="74" t="n"/>
      <c r="M3781" s="74" t="n"/>
      <c r="O3781" s="78">
        <f>IF($A3781="","",YEAR($A3781)*100+MONTH($A3781))</f>
        <v/>
      </c>
      <c r="P3781" s="79">
        <f>IF(OR($F3781="",$D3781=""),"",IF($D3781="Receita",$F3781,IF($D3781="Transferência",0,-$F3781)))</f>
        <v/>
      </c>
    </row>
    <row r="3782">
      <c r="A3782" s="73" t="n"/>
      <c r="B3782" s="74" t="n"/>
      <c r="C3782" s="74" t="n"/>
      <c r="D3782" s="75">
        <f>IF($C3782="","",IFERROR(INDEX(CAT_TIPO,MATCH($C3782,CAT_NOME,0)),"Sem categoria"))</f>
        <v/>
      </c>
      <c r="E3782" s="75">
        <f>IF($C3782="","",IFERROR(INDEX(CAT_GRUPO,MATCH($C3782,CAT_NOME,0)),"Sem categoria"))</f>
        <v/>
      </c>
      <c r="F3782" s="76" t="n"/>
      <c r="G3782" s="74" t="n"/>
      <c r="H3782" s="74" t="n"/>
      <c r="I3782" s="74" t="n"/>
      <c r="J3782" s="77" t="n"/>
      <c r="K3782" s="77" t="n"/>
      <c r="L3782" s="74" t="n"/>
      <c r="M3782" s="74" t="n"/>
      <c r="O3782" s="78">
        <f>IF($A3782="","",YEAR($A3782)*100+MONTH($A3782))</f>
        <v/>
      </c>
      <c r="P3782" s="79">
        <f>IF(OR($F3782="",$D3782=""),"",IF($D3782="Receita",$F3782,IF($D3782="Transferência",0,-$F3782)))</f>
        <v/>
      </c>
    </row>
    <row r="3783">
      <c r="A3783" s="73" t="n"/>
      <c r="B3783" s="74" t="n"/>
      <c r="C3783" s="74" t="n"/>
      <c r="D3783" s="75">
        <f>IF($C3783="","",IFERROR(INDEX(CAT_TIPO,MATCH($C3783,CAT_NOME,0)),"Sem categoria"))</f>
        <v/>
      </c>
      <c r="E3783" s="75">
        <f>IF($C3783="","",IFERROR(INDEX(CAT_GRUPO,MATCH($C3783,CAT_NOME,0)),"Sem categoria"))</f>
        <v/>
      </c>
      <c r="F3783" s="76" t="n"/>
      <c r="G3783" s="74" t="n"/>
      <c r="H3783" s="74" t="n"/>
      <c r="I3783" s="74" t="n"/>
      <c r="J3783" s="77" t="n"/>
      <c r="K3783" s="77" t="n"/>
      <c r="L3783" s="74" t="n"/>
      <c r="M3783" s="74" t="n"/>
      <c r="O3783" s="78">
        <f>IF($A3783="","",YEAR($A3783)*100+MONTH($A3783))</f>
        <v/>
      </c>
      <c r="P3783" s="79">
        <f>IF(OR($F3783="",$D3783=""),"",IF($D3783="Receita",$F3783,IF($D3783="Transferência",0,-$F3783)))</f>
        <v/>
      </c>
    </row>
    <row r="3784">
      <c r="A3784" s="73" t="n"/>
      <c r="B3784" s="74" t="n"/>
      <c r="C3784" s="74" t="n"/>
      <c r="D3784" s="75">
        <f>IF($C3784="","",IFERROR(INDEX(CAT_TIPO,MATCH($C3784,CAT_NOME,0)),"Sem categoria"))</f>
        <v/>
      </c>
      <c r="E3784" s="75">
        <f>IF($C3784="","",IFERROR(INDEX(CAT_GRUPO,MATCH($C3784,CAT_NOME,0)),"Sem categoria"))</f>
        <v/>
      </c>
      <c r="F3784" s="76" t="n"/>
      <c r="G3784" s="74" t="n"/>
      <c r="H3784" s="74" t="n"/>
      <c r="I3784" s="74" t="n"/>
      <c r="J3784" s="77" t="n"/>
      <c r="K3784" s="77" t="n"/>
      <c r="L3784" s="74" t="n"/>
      <c r="M3784" s="74" t="n"/>
      <c r="O3784" s="78">
        <f>IF($A3784="","",YEAR($A3784)*100+MONTH($A3784))</f>
        <v/>
      </c>
      <c r="P3784" s="79">
        <f>IF(OR($F3784="",$D3784=""),"",IF($D3784="Receita",$F3784,IF($D3784="Transferência",0,-$F3784)))</f>
        <v/>
      </c>
    </row>
    <row r="3785">
      <c r="A3785" s="73" t="n"/>
      <c r="B3785" s="74" t="n"/>
      <c r="C3785" s="74" t="n"/>
      <c r="D3785" s="75">
        <f>IF($C3785="","",IFERROR(INDEX(CAT_TIPO,MATCH($C3785,CAT_NOME,0)),"Sem categoria"))</f>
        <v/>
      </c>
      <c r="E3785" s="75">
        <f>IF($C3785="","",IFERROR(INDEX(CAT_GRUPO,MATCH($C3785,CAT_NOME,0)),"Sem categoria"))</f>
        <v/>
      </c>
      <c r="F3785" s="76" t="n"/>
      <c r="G3785" s="74" t="n"/>
      <c r="H3785" s="74" t="n"/>
      <c r="I3785" s="74" t="n"/>
      <c r="J3785" s="77" t="n"/>
      <c r="K3785" s="77" t="n"/>
      <c r="L3785" s="74" t="n"/>
      <c r="M3785" s="74" t="n"/>
      <c r="O3785" s="78">
        <f>IF($A3785="","",YEAR($A3785)*100+MONTH($A3785))</f>
        <v/>
      </c>
      <c r="P3785" s="79">
        <f>IF(OR($F3785="",$D3785=""),"",IF($D3785="Receita",$F3785,IF($D3785="Transferência",0,-$F3785)))</f>
        <v/>
      </c>
    </row>
    <row r="3786">
      <c r="A3786" s="73" t="n"/>
      <c r="B3786" s="74" t="n"/>
      <c r="C3786" s="74" t="n"/>
      <c r="D3786" s="75">
        <f>IF($C3786="","",IFERROR(INDEX(CAT_TIPO,MATCH($C3786,CAT_NOME,0)),"Sem categoria"))</f>
        <v/>
      </c>
      <c r="E3786" s="75">
        <f>IF($C3786="","",IFERROR(INDEX(CAT_GRUPO,MATCH($C3786,CAT_NOME,0)),"Sem categoria"))</f>
        <v/>
      </c>
      <c r="F3786" s="76" t="n"/>
      <c r="G3786" s="74" t="n"/>
      <c r="H3786" s="74" t="n"/>
      <c r="I3786" s="74" t="n"/>
      <c r="J3786" s="77" t="n"/>
      <c r="K3786" s="77" t="n"/>
      <c r="L3786" s="74" t="n"/>
      <c r="M3786" s="74" t="n"/>
      <c r="O3786" s="78">
        <f>IF($A3786="","",YEAR($A3786)*100+MONTH($A3786))</f>
        <v/>
      </c>
      <c r="P3786" s="79">
        <f>IF(OR($F3786="",$D3786=""),"",IF($D3786="Receita",$F3786,IF($D3786="Transferência",0,-$F3786)))</f>
        <v/>
      </c>
    </row>
    <row r="3787">
      <c r="A3787" s="73" t="n"/>
      <c r="B3787" s="74" t="n"/>
      <c r="C3787" s="74" t="n"/>
      <c r="D3787" s="75">
        <f>IF($C3787="","",IFERROR(INDEX(CAT_TIPO,MATCH($C3787,CAT_NOME,0)),"Sem categoria"))</f>
        <v/>
      </c>
      <c r="E3787" s="75">
        <f>IF($C3787="","",IFERROR(INDEX(CAT_GRUPO,MATCH($C3787,CAT_NOME,0)),"Sem categoria"))</f>
        <v/>
      </c>
      <c r="F3787" s="76" t="n"/>
      <c r="G3787" s="74" t="n"/>
      <c r="H3787" s="74" t="n"/>
      <c r="I3787" s="74" t="n"/>
      <c r="J3787" s="77" t="n"/>
      <c r="K3787" s="77" t="n"/>
      <c r="L3787" s="74" t="n"/>
      <c r="M3787" s="74" t="n"/>
      <c r="O3787" s="78">
        <f>IF($A3787="","",YEAR($A3787)*100+MONTH($A3787))</f>
        <v/>
      </c>
      <c r="P3787" s="79">
        <f>IF(OR($F3787="",$D3787=""),"",IF($D3787="Receita",$F3787,IF($D3787="Transferência",0,-$F3787)))</f>
        <v/>
      </c>
    </row>
    <row r="3788">
      <c r="A3788" s="73" t="n"/>
      <c r="B3788" s="74" t="n"/>
      <c r="C3788" s="74" t="n"/>
      <c r="D3788" s="75">
        <f>IF($C3788="","",IFERROR(INDEX(CAT_TIPO,MATCH($C3788,CAT_NOME,0)),"Sem categoria"))</f>
        <v/>
      </c>
      <c r="E3788" s="75">
        <f>IF($C3788="","",IFERROR(INDEX(CAT_GRUPO,MATCH($C3788,CAT_NOME,0)),"Sem categoria"))</f>
        <v/>
      </c>
      <c r="F3788" s="76" t="n"/>
      <c r="G3788" s="74" t="n"/>
      <c r="H3788" s="74" t="n"/>
      <c r="I3788" s="74" t="n"/>
      <c r="J3788" s="77" t="n"/>
      <c r="K3788" s="77" t="n"/>
      <c r="L3788" s="74" t="n"/>
      <c r="M3788" s="74" t="n"/>
      <c r="O3788" s="78">
        <f>IF($A3788="","",YEAR($A3788)*100+MONTH($A3788))</f>
        <v/>
      </c>
      <c r="P3788" s="79">
        <f>IF(OR($F3788="",$D3788=""),"",IF($D3788="Receita",$F3788,IF($D3788="Transferência",0,-$F3788)))</f>
        <v/>
      </c>
    </row>
    <row r="3789">
      <c r="A3789" s="73" t="n"/>
      <c r="B3789" s="74" t="n"/>
      <c r="C3789" s="74" t="n"/>
      <c r="D3789" s="75">
        <f>IF($C3789="","",IFERROR(INDEX(CAT_TIPO,MATCH($C3789,CAT_NOME,0)),"Sem categoria"))</f>
        <v/>
      </c>
      <c r="E3789" s="75">
        <f>IF($C3789="","",IFERROR(INDEX(CAT_GRUPO,MATCH($C3789,CAT_NOME,0)),"Sem categoria"))</f>
        <v/>
      </c>
      <c r="F3789" s="76" t="n"/>
      <c r="G3789" s="74" t="n"/>
      <c r="H3789" s="74" t="n"/>
      <c r="I3789" s="74" t="n"/>
      <c r="J3789" s="77" t="n"/>
      <c r="K3789" s="77" t="n"/>
      <c r="L3789" s="74" t="n"/>
      <c r="M3789" s="74" t="n"/>
      <c r="O3789" s="78">
        <f>IF($A3789="","",YEAR($A3789)*100+MONTH($A3789))</f>
        <v/>
      </c>
      <c r="P3789" s="79">
        <f>IF(OR($F3789="",$D3789=""),"",IF($D3789="Receita",$F3789,IF($D3789="Transferência",0,-$F3789)))</f>
        <v/>
      </c>
    </row>
    <row r="3790">
      <c r="A3790" s="73" t="n"/>
      <c r="B3790" s="74" t="n"/>
      <c r="C3790" s="74" t="n"/>
      <c r="D3790" s="75">
        <f>IF($C3790="","",IFERROR(INDEX(CAT_TIPO,MATCH($C3790,CAT_NOME,0)),"Sem categoria"))</f>
        <v/>
      </c>
      <c r="E3790" s="75">
        <f>IF($C3790="","",IFERROR(INDEX(CAT_GRUPO,MATCH($C3790,CAT_NOME,0)),"Sem categoria"))</f>
        <v/>
      </c>
      <c r="F3790" s="76" t="n"/>
      <c r="G3790" s="74" t="n"/>
      <c r="H3790" s="74" t="n"/>
      <c r="I3790" s="74" t="n"/>
      <c r="J3790" s="77" t="n"/>
      <c r="K3790" s="77" t="n"/>
      <c r="L3790" s="74" t="n"/>
      <c r="M3790" s="74" t="n"/>
      <c r="O3790" s="78">
        <f>IF($A3790="","",YEAR($A3790)*100+MONTH($A3790))</f>
        <v/>
      </c>
      <c r="P3790" s="79">
        <f>IF(OR($F3790="",$D3790=""),"",IF($D3790="Receita",$F3790,IF($D3790="Transferência",0,-$F3790)))</f>
        <v/>
      </c>
    </row>
    <row r="3791">
      <c r="A3791" s="73" t="n"/>
      <c r="B3791" s="74" t="n"/>
      <c r="C3791" s="74" t="n"/>
      <c r="D3791" s="75">
        <f>IF($C3791="","",IFERROR(INDEX(CAT_TIPO,MATCH($C3791,CAT_NOME,0)),"Sem categoria"))</f>
        <v/>
      </c>
      <c r="E3791" s="75">
        <f>IF($C3791="","",IFERROR(INDEX(CAT_GRUPO,MATCH($C3791,CAT_NOME,0)),"Sem categoria"))</f>
        <v/>
      </c>
      <c r="F3791" s="76" t="n"/>
      <c r="G3791" s="74" t="n"/>
      <c r="H3791" s="74" t="n"/>
      <c r="I3791" s="74" t="n"/>
      <c r="J3791" s="77" t="n"/>
      <c r="K3791" s="77" t="n"/>
      <c r="L3791" s="74" t="n"/>
      <c r="M3791" s="74" t="n"/>
      <c r="O3791" s="78">
        <f>IF($A3791="","",YEAR($A3791)*100+MONTH($A3791))</f>
        <v/>
      </c>
      <c r="P3791" s="79">
        <f>IF(OR($F3791="",$D3791=""),"",IF($D3791="Receita",$F3791,IF($D3791="Transferência",0,-$F3791)))</f>
        <v/>
      </c>
    </row>
    <row r="3792">
      <c r="A3792" s="73" t="n"/>
      <c r="B3792" s="74" t="n"/>
      <c r="C3792" s="74" t="n"/>
      <c r="D3792" s="75">
        <f>IF($C3792="","",IFERROR(INDEX(CAT_TIPO,MATCH($C3792,CAT_NOME,0)),"Sem categoria"))</f>
        <v/>
      </c>
      <c r="E3792" s="75">
        <f>IF($C3792="","",IFERROR(INDEX(CAT_GRUPO,MATCH($C3792,CAT_NOME,0)),"Sem categoria"))</f>
        <v/>
      </c>
      <c r="F3792" s="76" t="n"/>
      <c r="G3792" s="74" t="n"/>
      <c r="H3792" s="74" t="n"/>
      <c r="I3792" s="74" t="n"/>
      <c r="J3792" s="77" t="n"/>
      <c r="K3792" s="77" t="n"/>
      <c r="L3792" s="74" t="n"/>
      <c r="M3792" s="74" t="n"/>
      <c r="O3792" s="78">
        <f>IF($A3792="","",YEAR($A3792)*100+MONTH($A3792))</f>
        <v/>
      </c>
      <c r="P3792" s="79">
        <f>IF(OR($F3792="",$D3792=""),"",IF($D3792="Receita",$F3792,IF($D3792="Transferência",0,-$F3792)))</f>
        <v/>
      </c>
    </row>
    <row r="3793">
      <c r="A3793" s="73" t="n"/>
      <c r="B3793" s="74" t="n"/>
      <c r="C3793" s="74" t="n"/>
      <c r="D3793" s="75">
        <f>IF($C3793="","",IFERROR(INDEX(CAT_TIPO,MATCH($C3793,CAT_NOME,0)),"Sem categoria"))</f>
        <v/>
      </c>
      <c r="E3793" s="75">
        <f>IF($C3793="","",IFERROR(INDEX(CAT_GRUPO,MATCH($C3793,CAT_NOME,0)),"Sem categoria"))</f>
        <v/>
      </c>
      <c r="F3793" s="76" t="n"/>
      <c r="G3793" s="74" t="n"/>
      <c r="H3793" s="74" t="n"/>
      <c r="I3793" s="74" t="n"/>
      <c r="J3793" s="77" t="n"/>
      <c r="K3793" s="77" t="n"/>
      <c r="L3793" s="74" t="n"/>
      <c r="M3793" s="74" t="n"/>
      <c r="O3793" s="78">
        <f>IF($A3793="","",YEAR($A3793)*100+MONTH($A3793))</f>
        <v/>
      </c>
      <c r="P3793" s="79">
        <f>IF(OR($F3793="",$D3793=""),"",IF($D3793="Receita",$F3793,IF($D3793="Transferência",0,-$F3793)))</f>
        <v/>
      </c>
    </row>
    <row r="3794">
      <c r="A3794" s="73" t="n"/>
      <c r="B3794" s="74" t="n"/>
      <c r="C3794" s="74" t="n"/>
      <c r="D3794" s="75">
        <f>IF($C3794="","",IFERROR(INDEX(CAT_TIPO,MATCH($C3794,CAT_NOME,0)),"Sem categoria"))</f>
        <v/>
      </c>
      <c r="E3794" s="75">
        <f>IF($C3794="","",IFERROR(INDEX(CAT_GRUPO,MATCH($C3794,CAT_NOME,0)),"Sem categoria"))</f>
        <v/>
      </c>
      <c r="F3794" s="76" t="n"/>
      <c r="G3794" s="74" t="n"/>
      <c r="H3794" s="74" t="n"/>
      <c r="I3794" s="74" t="n"/>
      <c r="J3794" s="77" t="n"/>
      <c r="K3794" s="77" t="n"/>
      <c r="L3794" s="74" t="n"/>
      <c r="M3794" s="74" t="n"/>
      <c r="O3794" s="78">
        <f>IF($A3794="","",YEAR($A3794)*100+MONTH($A3794))</f>
        <v/>
      </c>
      <c r="P3794" s="79">
        <f>IF(OR($F3794="",$D3794=""),"",IF($D3794="Receita",$F3794,IF($D3794="Transferência",0,-$F3794)))</f>
        <v/>
      </c>
    </row>
    <row r="3795">
      <c r="A3795" s="73" t="n"/>
      <c r="B3795" s="74" t="n"/>
      <c r="C3795" s="74" t="n"/>
      <c r="D3795" s="75">
        <f>IF($C3795="","",IFERROR(INDEX(CAT_TIPO,MATCH($C3795,CAT_NOME,0)),"Sem categoria"))</f>
        <v/>
      </c>
      <c r="E3795" s="75">
        <f>IF($C3795="","",IFERROR(INDEX(CAT_GRUPO,MATCH($C3795,CAT_NOME,0)),"Sem categoria"))</f>
        <v/>
      </c>
      <c r="F3795" s="76" t="n"/>
      <c r="G3795" s="74" t="n"/>
      <c r="H3795" s="74" t="n"/>
      <c r="I3795" s="74" t="n"/>
      <c r="J3795" s="77" t="n"/>
      <c r="K3795" s="77" t="n"/>
      <c r="L3795" s="74" t="n"/>
      <c r="M3795" s="74" t="n"/>
      <c r="O3795" s="78">
        <f>IF($A3795="","",YEAR($A3795)*100+MONTH($A3795))</f>
        <v/>
      </c>
      <c r="P3795" s="79">
        <f>IF(OR($F3795="",$D3795=""),"",IF($D3795="Receita",$F3795,IF($D3795="Transferência",0,-$F3795)))</f>
        <v/>
      </c>
    </row>
    <row r="3796">
      <c r="A3796" s="73" t="n"/>
      <c r="B3796" s="74" t="n"/>
      <c r="C3796" s="74" t="n"/>
      <c r="D3796" s="75">
        <f>IF($C3796="","",IFERROR(INDEX(CAT_TIPO,MATCH($C3796,CAT_NOME,0)),"Sem categoria"))</f>
        <v/>
      </c>
      <c r="E3796" s="75">
        <f>IF($C3796="","",IFERROR(INDEX(CAT_GRUPO,MATCH($C3796,CAT_NOME,0)),"Sem categoria"))</f>
        <v/>
      </c>
      <c r="F3796" s="76" t="n"/>
      <c r="G3796" s="74" t="n"/>
      <c r="H3796" s="74" t="n"/>
      <c r="I3796" s="74" t="n"/>
      <c r="J3796" s="77" t="n"/>
      <c r="K3796" s="77" t="n"/>
      <c r="L3796" s="74" t="n"/>
      <c r="M3796" s="74" t="n"/>
      <c r="O3796" s="78">
        <f>IF($A3796="","",YEAR($A3796)*100+MONTH($A3796))</f>
        <v/>
      </c>
      <c r="P3796" s="79">
        <f>IF(OR($F3796="",$D3796=""),"",IF($D3796="Receita",$F3796,IF($D3796="Transferência",0,-$F3796)))</f>
        <v/>
      </c>
    </row>
    <row r="3797">
      <c r="A3797" s="73" t="n"/>
      <c r="B3797" s="74" t="n"/>
      <c r="C3797" s="74" t="n"/>
      <c r="D3797" s="75">
        <f>IF($C3797="","",IFERROR(INDEX(CAT_TIPO,MATCH($C3797,CAT_NOME,0)),"Sem categoria"))</f>
        <v/>
      </c>
      <c r="E3797" s="75">
        <f>IF($C3797="","",IFERROR(INDEX(CAT_GRUPO,MATCH($C3797,CAT_NOME,0)),"Sem categoria"))</f>
        <v/>
      </c>
      <c r="F3797" s="76" t="n"/>
      <c r="G3797" s="74" t="n"/>
      <c r="H3797" s="74" t="n"/>
      <c r="I3797" s="74" t="n"/>
      <c r="J3797" s="77" t="n"/>
      <c r="K3797" s="77" t="n"/>
      <c r="L3797" s="74" t="n"/>
      <c r="M3797" s="74" t="n"/>
      <c r="O3797" s="78">
        <f>IF($A3797="","",YEAR($A3797)*100+MONTH($A3797))</f>
        <v/>
      </c>
      <c r="P3797" s="79">
        <f>IF(OR($F3797="",$D3797=""),"",IF($D3797="Receita",$F3797,IF($D3797="Transferência",0,-$F3797)))</f>
        <v/>
      </c>
    </row>
    <row r="3798">
      <c r="A3798" s="73" t="n"/>
      <c r="B3798" s="74" t="n"/>
      <c r="C3798" s="74" t="n"/>
      <c r="D3798" s="75">
        <f>IF($C3798="","",IFERROR(INDEX(CAT_TIPO,MATCH($C3798,CAT_NOME,0)),"Sem categoria"))</f>
        <v/>
      </c>
      <c r="E3798" s="75">
        <f>IF($C3798="","",IFERROR(INDEX(CAT_GRUPO,MATCH($C3798,CAT_NOME,0)),"Sem categoria"))</f>
        <v/>
      </c>
      <c r="F3798" s="76" t="n"/>
      <c r="G3798" s="74" t="n"/>
      <c r="H3798" s="74" t="n"/>
      <c r="I3798" s="74" t="n"/>
      <c r="J3798" s="77" t="n"/>
      <c r="K3798" s="77" t="n"/>
      <c r="L3798" s="74" t="n"/>
      <c r="M3798" s="74" t="n"/>
      <c r="O3798" s="78">
        <f>IF($A3798="","",YEAR($A3798)*100+MONTH($A3798))</f>
        <v/>
      </c>
      <c r="P3798" s="79">
        <f>IF(OR($F3798="",$D3798=""),"",IF($D3798="Receita",$F3798,IF($D3798="Transferência",0,-$F3798)))</f>
        <v/>
      </c>
    </row>
    <row r="3799">
      <c r="A3799" s="73" t="n"/>
      <c r="B3799" s="74" t="n"/>
      <c r="C3799" s="74" t="n"/>
      <c r="D3799" s="75">
        <f>IF($C3799="","",IFERROR(INDEX(CAT_TIPO,MATCH($C3799,CAT_NOME,0)),"Sem categoria"))</f>
        <v/>
      </c>
      <c r="E3799" s="75">
        <f>IF($C3799="","",IFERROR(INDEX(CAT_GRUPO,MATCH($C3799,CAT_NOME,0)),"Sem categoria"))</f>
        <v/>
      </c>
      <c r="F3799" s="76" t="n"/>
      <c r="G3799" s="74" t="n"/>
      <c r="H3799" s="74" t="n"/>
      <c r="I3799" s="74" t="n"/>
      <c r="J3799" s="77" t="n"/>
      <c r="K3799" s="77" t="n"/>
      <c r="L3799" s="74" t="n"/>
      <c r="M3799" s="74" t="n"/>
      <c r="O3799" s="78">
        <f>IF($A3799="","",YEAR($A3799)*100+MONTH($A3799))</f>
        <v/>
      </c>
      <c r="P3799" s="79">
        <f>IF(OR($F3799="",$D3799=""),"",IF($D3799="Receita",$F3799,IF($D3799="Transferência",0,-$F3799)))</f>
        <v/>
      </c>
    </row>
    <row r="3800">
      <c r="A3800" s="73" t="n"/>
      <c r="B3800" s="74" t="n"/>
      <c r="C3800" s="74" t="n"/>
      <c r="D3800" s="75">
        <f>IF($C3800="","",IFERROR(INDEX(CAT_TIPO,MATCH($C3800,CAT_NOME,0)),"Sem categoria"))</f>
        <v/>
      </c>
      <c r="E3800" s="75">
        <f>IF($C3800="","",IFERROR(INDEX(CAT_GRUPO,MATCH($C3800,CAT_NOME,0)),"Sem categoria"))</f>
        <v/>
      </c>
      <c r="F3800" s="76" t="n"/>
      <c r="G3800" s="74" t="n"/>
      <c r="H3800" s="74" t="n"/>
      <c r="I3800" s="74" t="n"/>
      <c r="J3800" s="77" t="n"/>
      <c r="K3800" s="77" t="n"/>
      <c r="L3800" s="74" t="n"/>
      <c r="M3800" s="74" t="n"/>
      <c r="O3800" s="78">
        <f>IF($A3800="","",YEAR($A3800)*100+MONTH($A3800))</f>
        <v/>
      </c>
      <c r="P3800" s="79">
        <f>IF(OR($F3800="",$D3800=""),"",IF($D3800="Receita",$F3800,IF($D3800="Transferência",0,-$F3800)))</f>
        <v/>
      </c>
    </row>
    <row r="3801">
      <c r="A3801" s="73" t="n"/>
      <c r="B3801" s="74" t="n"/>
      <c r="C3801" s="74" t="n"/>
      <c r="D3801" s="75">
        <f>IF($C3801="","",IFERROR(INDEX(CAT_TIPO,MATCH($C3801,CAT_NOME,0)),"Sem categoria"))</f>
        <v/>
      </c>
      <c r="E3801" s="75">
        <f>IF($C3801="","",IFERROR(INDEX(CAT_GRUPO,MATCH($C3801,CAT_NOME,0)),"Sem categoria"))</f>
        <v/>
      </c>
      <c r="F3801" s="76" t="n"/>
      <c r="G3801" s="74" t="n"/>
      <c r="H3801" s="74" t="n"/>
      <c r="I3801" s="74" t="n"/>
      <c r="J3801" s="77" t="n"/>
      <c r="K3801" s="77" t="n"/>
      <c r="L3801" s="74" t="n"/>
      <c r="M3801" s="74" t="n"/>
      <c r="O3801" s="78">
        <f>IF($A3801="","",YEAR($A3801)*100+MONTH($A3801))</f>
        <v/>
      </c>
      <c r="P3801" s="79">
        <f>IF(OR($F3801="",$D3801=""),"",IF($D3801="Receita",$F3801,IF($D3801="Transferência",0,-$F3801)))</f>
        <v/>
      </c>
    </row>
    <row r="3802">
      <c r="A3802" s="73" t="n"/>
      <c r="B3802" s="74" t="n"/>
      <c r="C3802" s="74" t="n"/>
      <c r="D3802" s="75">
        <f>IF($C3802="","",IFERROR(INDEX(CAT_TIPO,MATCH($C3802,CAT_NOME,0)),"Sem categoria"))</f>
        <v/>
      </c>
      <c r="E3802" s="75">
        <f>IF($C3802="","",IFERROR(INDEX(CAT_GRUPO,MATCH($C3802,CAT_NOME,0)),"Sem categoria"))</f>
        <v/>
      </c>
      <c r="F3802" s="76" t="n"/>
      <c r="G3802" s="74" t="n"/>
      <c r="H3802" s="74" t="n"/>
      <c r="I3802" s="74" t="n"/>
      <c r="J3802" s="77" t="n"/>
      <c r="K3802" s="77" t="n"/>
      <c r="L3802" s="74" t="n"/>
      <c r="M3802" s="74" t="n"/>
      <c r="O3802" s="78">
        <f>IF($A3802="","",YEAR($A3802)*100+MONTH($A3802))</f>
        <v/>
      </c>
      <c r="P3802" s="79">
        <f>IF(OR($F3802="",$D3802=""),"",IF($D3802="Receita",$F3802,IF($D3802="Transferência",0,-$F3802)))</f>
        <v/>
      </c>
    </row>
    <row r="3803">
      <c r="A3803" s="73" t="n"/>
      <c r="B3803" s="74" t="n"/>
      <c r="C3803" s="74" t="n"/>
      <c r="D3803" s="75">
        <f>IF($C3803="","",IFERROR(INDEX(CAT_TIPO,MATCH($C3803,CAT_NOME,0)),"Sem categoria"))</f>
        <v/>
      </c>
      <c r="E3803" s="75">
        <f>IF($C3803="","",IFERROR(INDEX(CAT_GRUPO,MATCH($C3803,CAT_NOME,0)),"Sem categoria"))</f>
        <v/>
      </c>
      <c r="F3803" s="76" t="n"/>
      <c r="G3803" s="74" t="n"/>
      <c r="H3803" s="74" t="n"/>
      <c r="I3803" s="74" t="n"/>
      <c r="J3803" s="77" t="n"/>
      <c r="K3803" s="77" t="n"/>
      <c r="L3803" s="74" t="n"/>
      <c r="M3803" s="74" t="n"/>
      <c r="O3803" s="78">
        <f>IF($A3803="","",YEAR($A3803)*100+MONTH($A3803))</f>
        <v/>
      </c>
      <c r="P3803" s="79">
        <f>IF(OR($F3803="",$D3803=""),"",IF($D3803="Receita",$F3803,IF($D3803="Transferência",0,-$F3803)))</f>
        <v/>
      </c>
    </row>
    <row r="3804">
      <c r="A3804" s="73" t="n"/>
      <c r="B3804" s="74" t="n"/>
      <c r="C3804" s="74" t="n"/>
      <c r="D3804" s="75">
        <f>IF($C3804="","",IFERROR(INDEX(CAT_TIPO,MATCH($C3804,CAT_NOME,0)),"Sem categoria"))</f>
        <v/>
      </c>
      <c r="E3804" s="75">
        <f>IF($C3804="","",IFERROR(INDEX(CAT_GRUPO,MATCH($C3804,CAT_NOME,0)),"Sem categoria"))</f>
        <v/>
      </c>
      <c r="F3804" s="76" t="n"/>
      <c r="G3804" s="74" t="n"/>
      <c r="H3804" s="74" t="n"/>
      <c r="I3804" s="74" t="n"/>
      <c r="J3804" s="77" t="n"/>
      <c r="K3804" s="77" t="n"/>
      <c r="L3804" s="74" t="n"/>
      <c r="M3804" s="74" t="n"/>
      <c r="O3804" s="78">
        <f>IF($A3804="","",YEAR($A3804)*100+MONTH($A3804))</f>
        <v/>
      </c>
      <c r="P3804" s="79">
        <f>IF(OR($F3804="",$D3804=""),"",IF($D3804="Receita",$F3804,IF($D3804="Transferência",0,-$F3804)))</f>
        <v/>
      </c>
    </row>
    <row r="3805">
      <c r="A3805" s="73" t="n"/>
      <c r="B3805" s="74" t="n"/>
      <c r="C3805" s="74" t="n"/>
      <c r="D3805" s="75">
        <f>IF($C3805="","",IFERROR(INDEX(CAT_TIPO,MATCH($C3805,CAT_NOME,0)),"Sem categoria"))</f>
        <v/>
      </c>
      <c r="E3805" s="75">
        <f>IF($C3805="","",IFERROR(INDEX(CAT_GRUPO,MATCH($C3805,CAT_NOME,0)),"Sem categoria"))</f>
        <v/>
      </c>
      <c r="F3805" s="76" t="n"/>
      <c r="G3805" s="74" t="n"/>
      <c r="H3805" s="74" t="n"/>
      <c r="I3805" s="74" t="n"/>
      <c r="J3805" s="77" t="n"/>
      <c r="K3805" s="77" t="n"/>
      <c r="L3805" s="74" t="n"/>
      <c r="M3805" s="74" t="n"/>
      <c r="O3805" s="78">
        <f>IF($A3805="","",YEAR($A3805)*100+MONTH($A3805))</f>
        <v/>
      </c>
      <c r="P3805" s="79">
        <f>IF(OR($F3805="",$D3805=""),"",IF($D3805="Receita",$F3805,IF($D3805="Transferência",0,-$F3805)))</f>
        <v/>
      </c>
    </row>
    <row r="3806">
      <c r="A3806" s="73" t="n"/>
      <c r="B3806" s="74" t="n"/>
      <c r="C3806" s="74" t="n"/>
      <c r="D3806" s="75">
        <f>IF($C3806="","",IFERROR(INDEX(CAT_TIPO,MATCH($C3806,CAT_NOME,0)),"Sem categoria"))</f>
        <v/>
      </c>
      <c r="E3806" s="75">
        <f>IF($C3806="","",IFERROR(INDEX(CAT_GRUPO,MATCH($C3806,CAT_NOME,0)),"Sem categoria"))</f>
        <v/>
      </c>
      <c r="F3806" s="76" t="n"/>
      <c r="G3806" s="74" t="n"/>
      <c r="H3806" s="74" t="n"/>
      <c r="I3806" s="74" t="n"/>
      <c r="J3806" s="77" t="n"/>
      <c r="K3806" s="77" t="n"/>
      <c r="L3806" s="74" t="n"/>
      <c r="M3806" s="74" t="n"/>
      <c r="O3806" s="78">
        <f>IF($A3806="","",YEAR($A3806)*100+MONTH($A3806))</f>
        <v/>
      </c>
      <c r="P3806" s="79">
        <f>IF(OR($F3806="",$D3806=""),"",IF($D3806="Receita",$F3806,IF($D3806="Transferência",0,-$F3806)))</f>
        <v/>
      </c>
    </row>
    <row r="3807">
      <c r="A3807" s="73" t="n"/>
      <c r="B3807" s="74" t="n"/>
      <c r="C3807" s="74" t="n"/>
      <c r="D3807" s="75">
        <f>IF($C3807="","",IFERROR(INDEX(CAT_TIPO,MATCH($C3807,CAT_NOME,0)),"Sem categoria"))</f>
        <v/>
      </c>
      <c r="E3807" s="75">
        <f>IF($C3807="","",IFERROR(INDEX(CAT_GRUPO,MATCH($C3807,CAT_NOME,0)),"Sem categoria"))</f>
        <v/>
      </c>
      <c r="F3807" s="76" t="n"/>
      <c r="G3807" s="74" t="n"/>
      <c r="H3807" s="74" t="n"/>
      <c r="I3807" s="74" t="n"/>
      <c r="J3807" s="77" t="n"/>
      <c r="K3807" s="77" t="n"/>
      <c r="L3807" s="74" t="n"/>
      <c r="M3807" s="74" t="n"/>
      <c r="O3807" s="78">
        <f>IF($A3807="","",YEAR($A3807)*100+MONTH($A3807))</f>
        <v/>
      </c>
      <c r="P3807" s="79">
        <f>IF(OR($F3807="",$D3807=""),"",IF($D3807="Receita",$F3807,IF($D3807="Transferência",0,-$F3807)))</f>
        <v/>
      </c>
    </row>
    <row r="3808">
      <c r="A3808" s="73" t="n"/>
      <c r="B3808" s="74" t="n"/>
      <c r="C3808" s="74" t="n"/>
      <c r="D3808" s="75">
        <f>IF($C3808="","",IFERROR(INDEX(CAT_TIPO,MATCH($C3808,CAT_NOME,0)),"Sem categoria"))</f>
        <v/>
      </c>
      <c r="E3808" s="75">
        <f>IF($C3808="","",IFERROR(INDEX(CAT_GRUPO,MATCH($C3808,CAT_NOME,0)),"Sem categoria"))</f>
        <v/>
      </c>
      <c r="F3808" s="76" t="n"/>
      <c r="G3808" s="74" t="n"/>
      <c r="H3808" s="74" t="n"/>
      <c r="I3808" s="74" t="n"/>
      <c r="J3808" s="77" t="n"/>
      <c r="K3808" s="77" t="n"/>
      <c r="L3808" s="74" t="n"/>
      <c r="M3808" s="74" t="n"/>
      <c r="O3808" s="78">
        <f>IF($A3808="","",YEAR($A3808)*100+MONTH($A3808))</f>
        <v/>
      </c>
      <c r="P3808" s="79">
        <f>IF(OR($F3808="",$D3808=""),"",IF($D3808="Receita",$F3808,IF($D3808="Transferência",0,-$F3808)))</f>
        <v/>
      </c>
    </row>
    <row r="3809">
      <c r="A3809" s="73" t="n"/>
      <c r="B3809" s="74" t="n"/>
      <c r="C3809" s="74" t="n"/>
      <c r="D3809" s="75">
        <f>IF($C3809="","",IFERROR(INDEX(CAT_TIPO,MATCH($C3809,CAT_NOME,0)),"Sem categoria"))</f>
        <v/>
      </c>
      <c r="E3809" s="75">
        <f>IF($C3809="","",IFERROR(INDEX(CAT_GRUPO,MATCH($C3809,CAT_NOME,0)),"Sem categoria"))</f>
        <v/>
      </c>
      <c r="F3809" s="76" t="n"/>
      <c r="G3809" s="74" t="n"/>
      <c r="H3809" s="74" t="n"/>
      <c r="I3809" s="74" t="n"/>
      <c r="J3809" s="77" t="n"/>
      <c r="K3809" s="77" t="n"/>
      <c r="L3809" s="74" t="n"/>
      <c r="M3809" s="74" t="n"/>
      <c r="O3809" s="78">
        <f>IF($A3809="","",YEAR($A3809)*100+MONTH($A3809))</f>
        <v/>
      </c>
      <c r="P3809" s="79">
        <f>IF(OR($F3809="",$D3809=""),"",IF($D3809="Receita",$F3809,IF($D3809="Transferência",0,-$F3809)))</f>
        <v/>
      </c>
    </row>
    <row r="3810">
      <c r="A3810" s="73" t="n"/>
      <c r="B3810" s="74" t="n"/>
      <c r="C3810" s="74" t="n"/>
      <c r="D3810" s="75">
        <f>IF($C3810="","",IFERROR(INDEX(CAT_TIPO,MATCH($C3810,CAT_NOME,0)),"Sem categoria"))</f>
        <v/>
      </c>
      <c r="E3810" s="75">
        <f>IF($C3810="","",IFERROR(INDEX(CAT_GRUPO,MATCH($C3810,CAT_NOME,0)),"Sem categoria"))</f>
        <v/>
      </c>
      <c r="F3810" s="76" t="n"/>
      <c r="G3810" s="74" t="n"/>
      <c r="H3810" s="74" t="n"/>
      <c r="I3810" s="74" t="n"/>
      <c r="J3810" s="77" t="n"/>
      <c r="K3810" s="77" t="n"/>
      <c r="L3810" s="74" t="n"/>
      <c r="M3810" s="74" t="n"/>
      <c r="O3810" s="78">
        <f>IF($A3810="","",YEAR($A3810)*100+MONTH($A3810))</f>
        <v/>
      </c>
      <c r="P3810" s="79">
        <f>IF(OR($F3810="",$D3810=""),"",IF($D3810="Receita",$F3810,IF($D3810="Transferência",0,-$F3810)))</f>
        <v/>
      </c>
    </row>
    <row r="3811">
      <c r="A3811" s="73" t="n"/>
      <c r="B3811" s="74" t="n"/>
      <c r="C3811" s="74" t="n"/>
      <c r="D3811" s="75">
        <f>IF($C3811="","",IFERROR(INDEX(CAT_TIPO,MATCH($C3811,CAT_NOME,0)),"Sem categoria"))</f>
        <v/>
      </c>
      <c r="E3811" s="75">
        <f>IF($C3811="","",IFERROR(INDEX(CAT_GRUPO,MATCH($C3811,CAT_NOME,0)),"Sem categoria"))</f>
        <v/>
      </c>
      <c r="F3811" s="76" t="n"/>
      <c r="G3811" s="74" t="n"/>
      <c r="H3811" s="74" t="n"/>
      <c r="I3811" s="74" t="n"/>
      <c r="J3811" s="77" t="n"/>
      <c r="K3811" s="77" t="n"/>
      <c r="L3811" s="74" t="n"/>
      <c r="M3811" s="74" t="n"/>
      <c r="O3811" s="78">
        <f>IF($A3811="","",YEAR($A3811)*100+MONTH($A3811))</f>
        <v/>
      </c>
      <c r="P3811" s="79">
        <f>IF(OR($F3811="",$D3811=""),"",IF($D3811="Receita",$F3811,IF($D3811="Transferência",0,-$F3811)))</f>
        <v/>
      </c>
    </row>
    <row r="3812">
      <c r="A3812" s="73" t="n"/>
      <c r="B3812" s="74" t="n"/>
      <c r="C3812" s="74" t="n"/>
      <c r="D3812" s="75">
        <f>IF($C3812="","",IFERROR(INDEX(CAT_TIPO,MATCH($C3812,CAT_NOME,0)),"Sem categoria"))</f>
        <v/>
      </c>
      <c r="E3812" s="75">
        <f>IF($C3812="","",IFERROR(INDEX(CAT_GRUPO,MATCH($C3812,CAT_NOME,0)),"Sem categoria"))</f>
        <v/>
      </c>
      <c r="F3812" s="76" t="n"/>
      <c r="G3812" s="74" t="n"/>
      <c r="H3812" s="74" t="n"/>
      <c r="I3812" s="74" t="n"/>
      <c r="J3812" s="77" t="n"/>
      <c r="K3812" s="77" t="n"/>
      <c r="L3812" s="74" t="n"/>
      <c r="M3812" s="74" t="n"/>
      <c r="O3812" s="78">
        <f>IF($A3812="","",YEAR($A3812)*100+MONTH($A3812))</f>
        <v/>
      </c>
      <c r="P3812" s="79">
        <f>IF(OR($F3812="",$D3812=""),"",IF($D3812="Receita",$F3812,IF($D3812="Transferência",0,-$F3812)))</f>
        <v/>
      </c>
    </row>
    <row r="3813">
      <c r="A3813" s="73" t="n"/>
      <c r="B3813" s="74" t="n"/>
      <c r="C3813" s="74" t="n"/>
      <c r="D3813" s="75">
        <f>IF($C3813="","",IFERROR(INDEX(CAT_TIPO,MATCH($C3813,CAT_NOME,0)),"Sem categoria"))</f>
        <v/>
      </c>
      <c r="E3813" s="75">
        <f>IF($C3813="","",IFERROR(INDEX(CAT_GRUPO,MATCH($C3813,CAT_NOME,0)),"Sem categoria"))</f>
        <v/>
      </c>
      <c r="F3813" s="76" t="n"/>
      <c r="G3813" s="74" t="n"/>
      <c r="H3813" s="74" t="n"/>
      <c r="I3813" s="74" t="n"/>
      <c r="J3813" s="77" t="n"/>
      <c r="K3813" s="77" t="n"/>
      <c r="L3813" s="74" t="n"/>
      <c r="M3813" s="74" t="n"/>
      <c r="O3813" s="78">
        <f>IF($A3813="","",YEAR($A3813)*100+MONTH($A3813))</f>
        <v/>
      </c>
      <c r="P3813" s="79">
        <f>IF(OR($F3813="",$D3813=""),"",IF($D3813="Receita",$F3813,IF($D3813="Transferência",0,-$F3813)))</f>
        <v/>
      </c>
    </row>
    <row r="3814">
      <c r="A3814" s="73" t="n"/>
      <c r="B3814" s="74" t="n"/>
      <c r="C3814" s="74" t="n"/>
      <c r="D3814" s="75">
        <f>IF($C3814="","",IFERROR(INDEX(CAT_TIPO,MATCH($C3814,CAT_NOME,0)),"Sem categoria"))</f>
        <v/>
      </c>
      <c r="E3814" s="75">
        <f>IF($C3814="","",IFERROR(INDEX(CAT_GRUPO,MATCH($C3814,CAT_NOME,0)),"Sem categoria"))</f>
        <v/>
      </c>
      <c r="F3814" s="76" t="n"/>
      <c r="G3814" s="74" t="n"/>
      <c r="H3814" s="74" t="n"/>
      <c r="I3814" s="74" t="n"/>
      <c r="J3814" s="77" t="n"/>
      <c r="K3814" s="77" t="n"/>
      <c r="L3814" s="74" t="n"/>
      <c r="M3814" s="74" t="n"/>
      <c r="O3814" s="78">
        <f>IF($A3814="","",YEAR($A3814)*100+MONTH($A3814))</f>
        <v/>
      </c>
      <c r="P3814" s="79">
        <f>IF(OR($F3814="",$D3814=""),"",IF($D3814="Receita",$F3814,IF($D3814="Transferência",0,-$F3814)))</f>
        <v/>
      </c>
    </row>
    <row r="3815">
      <c r="A3815" s="73" t="n"/>
      <c r="B3815" s="74" t="n"/>
      <c r="C3815" s="74" t="n"/>
      <c r="D3815" s="75">
        <f>IF($C3815="","",IFERROR(INDEX(CAT_TIPO,MATCH($C3815,CAT_NOME,0)),"Sem categoria"))</f>
        <v/>
      </c>
      <c r="E3815" s="75">
        <f>IF($C3815="","",IFERROR(INDEX(CAT_GRUPO,MATCH($C3815,CAT_NOME,0)),"Sem categoria"))</f>
        <v/>
      </c>
      <c r="F3815" s="76" t="n"/>
      <c r="G3815" s="74" t="n"/>
      <c r="H3815" s="74" t="n"/>
      <c r="I3815" s="74" t="n"/>
      <c r="J3815" s="77" t="n"/>
      <c r="K3815" s="77" t="n"/>
      <c r="L3815" s="74" t="n"/>
      <c r="M3815" s="74" t="n"/>
      <c r="O3815" s="78">
        <f>IF($A3815="","",YEAR($A3815)*100+MONTH($A3815))</f>
        <v/>
      </c>
      <c r="P3815" s="79">
        <f>IF(OR($F3815="",$D3815=""),"",IF($D3815="Receita",$F3815,IF($D3815="Transferência",0,-$F3815)))</f>
        <v/>
      </c>
    </row>
    <row r="3816">
      <c r="A3816" s="73" t="n"/>
      <c r="B3816" s="74" t="n"/>
      <c r="C3816" s="74" t="n"/>
      <c r="D3816" s="75">
        <f>IF($C3816="","",IFERROR(INDEX(CAT_TIPO,MATCH($C3816,CAT_NOME,0)),"Sem categoria"))</f>
        <v/>
      </c>
      <c r="E3816" s="75">
        <f>IF($C3816="","",IFERROR(INDEX(CAT_GRUPO,MATCH($C3816,CAT_NOME,0)),"Sem categoria"))</f>
        <v/>
      </c>
      <c r="F3816" s="76" t="n"/>
      <c r="G3816" s="74" t="n"/>
      <c r="H3816" s="74" t="n"/>
      <c r="I3816" s="74" t="n"/>
      <c r="J3816" s="77" t="n"/>
      <c r="K3816" s="77" t="n"/>
      <c r="L3816" s="74" t="n"/>
      <c r="M3816" s="74" t="n"/>
      <c r="O3816" s="78">
        <f>IF($A3816="","",YEAR($A3816)*100+MONTH($A3816))</f>
        <v/>
      </c>
      <c r="P3816" s="79">
        <f>IF(OR($F3816="",$D3816=""),"",IF($D3816="Receita",$F3816,IF($D3816="Transferência",0,-$F3816)))</f>
        <v/>
      </c>
    </row>
    <row r="3817">
      <c r="A3817" s="73" t="n"/>
      <c r="B3817" s="74" t="n"/>
      <c r="C3817" s="74" t="n"/>
      <c r="D3817" s="75">
        <f>IF($C3817="","",IFERROR(INDEX(CAT_TIPO,MATCH($C3817,CAT_NOME,0)),"Sem categoria"))</f>
        <v/>
      </c>
      <c r="E3817" s="75">
        <f>IF($C3817="","",IFERROR(INDEX(CAT_GRUPO,MATCH($C3817,CAT_NOME,0)),"Sem categoria"))</f>
        <v/>
      </c>
      <c r="F3817" s="76" t="n"/>
      <c r="G3817" s="74" t="n"/>
      <c r="H3817" s="74" t="n"/>
      <c r="I3817" s="74" t="n"/>
      <c r="J3817" s="77" t="n"/>
      <c r="K3817" s="77" t="n"/>
      <c r="L3817" s="74" t="n"/>
      <c r="M3817" s="74" t="n"/>
      <c r="O3817" s="78">
        <f>IF($A3817="","",YEAR($A3817)*100+MONTH($A3817))</f>
        <v/>
      </c>
      <c r="P3817" s="79">
        <f>IF(OR($F3817="",$D3817=""),"",IF($D3817="Receita",$F3817,IF($D3817="Transferência",0,-$F3817)))</f>
        <v/>
      </c>
    </row>
    <row r="3818">
      <c r="A3818" s="73" t="n"/>
      <c r="B3818" s="74" t="n"/>
      <c r="C3818" s="74" t="n"/>
      <c r="D3818" s="75">
        <f>IF($C3818="","",IFERROR(INDEX(CAT_TIPO,MATCH($C3818,CAT_NOME,0)),"Sem categoria"))</f>
        <v/>
      </c>
      <c r="E3818" s="75">
        <f>IF($C3818="","",IFERROR(INDEX(CAT_GRUPO,MATCH($C3818,CAT_NOME,0)),"Sem categoria"))</f>
        <v/>
      </c>
      <c r="F3818" s="76" t="n"/>
      <c r="G3818" s="74" t="n"/>
      <c r="H3818" s="74" t="n"/>
      <c r="I3818" s="74" t="n"/>
      <c r="J3818" s="77" t="n"/>
      <c r="K3818" s="77" t="n"/>
      <c r="L3818" s="74" t="n"/>
      <c r="M3818" s="74" t="n"/>
      <c r="O3818" s="78">
        <f>IF($A3818="","",YEAR($A3818)*100+MONTH($A3818))</f>
        <v/>
      </c>
      <c r="P3818" s="79">
        <f>IF(OR($F3818="",$D3818=""),"",IF($D3818="Receita",$F3818,IF($D3818="Transferência",0,-$F3818)))</f>
        <v/>
      </c>
    </row>
    <row r="3819">
      <c r="A3819" s="73" t="n"/>
      <c r="B3819" s="74" t="n"/>
      <c r="C3819" s="74" t="n"/>
      <c r="D3819" s="75">
        <f>IF($C3819="","",IFERROR(INDEX(CAT_TIPO,MATCH($C3819,CAT_NOME,0)),"Sem categoria"))</f>
        <v/>
      </c>
      <c r="E3819" s="75">
        <f>IF($C3819="","",IFERROR(INDEX(CAT_GRUPO,MATCH($C3819,CAT_NOME,0)),"Sem categoria"))</f>
        <v/>
      </c>
      <c r="F3819" s="76" t="n"/>
      <c r="G3819" s="74" t="n"/>
      <c r="H3819" s="74" t="n"/>
      <c r="I3819" s="74" t="n"/>
      <c r="J3819" s="77" t="n"/>
      <c r="K3819" s="77" t="n"/>
      <c r="L3819" s="74" t="n"/>
      <c r="M3819" s="74" t="n"/>
      <c r="O3819" s="78">
        <f>IF($A3819="","",YEAR($A3819)*100+MONTH($A3819))</f>
        <v/>
      </c>
      <c r="P3819" s="79">
        <f>IF(OR($F3819="",$D3819=""),"",IF($D3819="Receita",$F3819,IF($D3819="Transferência",0,-$F3819)))</f>
        <v/>
      </c>
    </row>
    <row r="3820">
      <c r="A3820" s="73" t="n"/>
      <c r="B3820" s="74" t="n"/>
      <c r="C3820" s="74" t="n"/>
      <c r="D3820" s="75">
        <f>IF($C3820="","",IFERROR(INDEX(CAT_TIPO,MATCH($C3820,CAT_NOME,0)),"Sem categoria"))</f>
        <v/>
      </c>
      <c r="E3820" s="75">
        <f>IF($C3820="","",IFERROR(INDEX(CAT_GRUPO,MATCH($C3820,CAT_NOME,0)),"Sem categoria"))</f>
        <v/>
      </c>
      <c r="F3820" s="76" t="n"/>
      <c r="G3820" s="74" t="n"/>
      <c r="H3820" s="74" t="n"/>
      <c r="I3820" s="74" t="n"/>
      <c r="J3820" s="77" t="n"/>
      <c r="K3820" s="77" t="n"/>
      <c r="L3820" s="74" t="n"/>
      <c r="M3820" s="74" t="n"/>
      <c r="O3820" s="78">
        <f>IF($A3820="","",YEAR($A3820)*100+MONTH($A3820))</f>
        <v/>
      </c>
      <c r="P3820" s="79">
        <f>IF(OR($F3820="",$D3820=""),"",IF($D3820="Receita",$F3820,IF($D3820="Transferência",0,-$F3820)))</f>
        <v/>
      </c>
    </row>
    <row r="3821">
      <c r="A3821" s="73" t="n"/>
      <c r="B3821" s="74" t="n"/>
      <c r="C3821" s="74" t="n"/>
      <c r="D3821" s="75">
        <f>IF($C3821="","",IFERROR(INDEX(CAT_TIPO,MATCH($C3821,CAT_NOME,0)),"Sem categoria"))</f>
        <v/>
      </c>
      <c r="E3821" s="75">
        <f>IF($C3821="","",IFERROR(INDEX(CAT_GRUPO,MATCH($C3821,CAT_NOME,0)),"Sem categoria"))</f>
        <v/>
      </c>
      <c r="F3821" s="76" t="n"/>
      <c r="G3821" s="74" t="n"/>
      <c r="H3821" s="74" t="n"/>
      <c r="I3821" s="74" t="n"/>
      <c r="J3821" s="77" t="n"/>
      <c r="K3821" s="77" t="n"/>
      <c r="L3821" s="74" t="n"/>
      <c r="M3821" s="74" t="n"/>
      <c r="O3821" s="78">
        <f>IF($A3821="","",YEAR($A3821)*100+MONTH($A3821))</f>
        <v/>
      </c>
      <c r="P3821" s="79">
        <f>IF(OR($F3821="",$D3821=""),"",IF($D3821="Receita",$F3821,IF($D3821="Transferência",0,-$F3821)))</f>
        <v/>
      </c>
    </row>
    <row r="3822">
      <c r="A3822" s="73" t="n"/>
      <c r="B3822" s="74" t="n"/>
      <c r="C3822" s="74" t="n"/>
      <c r="D3822" s="75">
        <f>IF($C3822="","",IFERROR(INDEX(CAT_TIPO,MATCH($C3822,CAT_NOME,0)),"Sem categoria"))</f>
        <v/>
      </c>
      <c r="E3822" s="75">
        <f>IF($C3822="","",IFERROR(INDEX(CAT_GRUPO,MATCH($C3822,CAT_NOME,0)),"Sem categoria"))</f>
        <v/>
      </c>
      <c r="F3822" s="76" t="n"/>
      <c r="G3822" s="74" t="n"/>
      <c r="H3822" s="74" t="n"/>
      <c r="I3822" s="74" t="n"/>
      <c r="J3822" s="77" t="n"/>
      <c r="K3822" s="77" t="n"/>
      <c r="L3822" s="74" t="n"/>
      <c r="M3822" s="74" t="n"/>
      <c r="O3822" s="78">
        <f>IF($A3822="","",YEAR($A3822)*100+MONTH($A3822))</f>
        <v/>
      </c>
      <c r="P3822" s="79">
        <f>IF(OR($F3822="",$D3822=""),"",IF($D3822="Receita",$F3822,IF($D3822="Transferência",0,-$F3822)))</f>
        <v/>
      </c>
    </row>
    <row r="3823">
      <c r="A3823" s="73" t="n"/>
      <c r="B3823" s="74" t="n"/>
      <c r="C3823" s="74" t="n"/>
      <c r="D3823" s="75">
        <f>IF($C3823="","",IFERROR(INDEX(CAT_TIPO,MATCH($C3823,CAT_NOME,0)),"Sem categoria"))</f>
        <v/>
      </c>
      <c r="E3823" s="75">
        <f>IF($C3823="","",IFERROR(INDEX(CAT_GRUPO,MATCH($C3823,CAT_NOME,0)),"Sem categoria"))</f>
        <v/>
      </c>
      <c r="F3823" s="76" t="n"/>
      <c r="G3823" s="74" t="n"/>
      <c r="H3823" s="74" t="n"/>
      <c r="I3823" s="74" t="n"/>
      <c r="J3823" s="77" t="n"/>
      <c r="K3823" s="77" t="n"/>
      <c r="L3823" s="74" t="n"/>
      <c r="M3823" s="74" t="n"/>
      <c r="O3823" s="78">
        <f>IF($A3823="","",YEAR($A3823)*100+MONTH($A3823))</f>
        <v/>
      </c>
      <c r="P3823" s="79">
        <f>IF(OR($F3823="",$D3823=""),"",IF($D3823="Receita",$F3823,IF($D3823="Transferência",0,-$F3823)))</f>
        <v/>
      </c>
    </row>
    <row r="3824">
      <c r="A3824" s="73" t="n"/>
      <c r="B3824" s="74" t="n"/>
      <c r="C3824" s="74" t="n"/>
      <c r="D3824" s="75">
        <f>IF($C3824="","",IFERROR(INDEX(CAT_TIPO,MATCH($C3824,CAT_NOME,0)),"Sem categoria"))</f>
        <v/>
      </c>
      <c r="E3824" s="75">
        <f>IF($C3824="","",IFERROR(INDEX(CAT_GRUPO,MATCH($C3824,CAT_NOME,0)),"Sem categoria"))</f>
        <v/>
      </c>
      <c r="F3824" s="76" t="n"/>
      <c r="G3824" s="74" t="n"/>
      <c r="H3824" s="74" t="n"/>
      <c r="I3824" s="74" t="n"/>
      <c r="J3824" s="77" t="n"/>
      <c r="K3824" s="77" t="n"/>
      <c r="L3824" s="74" t="n"/>
      <c r="M3824" s="74" t="n"/>
      <c r="O3824" s="78">
        <f>IF($A3824="","",YEAR($A3824)*100+MONTH($A3824))</f>
        <v/>
      </c>
      <c r="P3824" s="79">
        <f>IF(OR($F3824="",$D3824=""),"",IF($D3824="Receita",$F3824,IF($D3824="Transferência",0,-$F3824)))</f>
        <v/>
      </c>
    </row>
    <row r="3825">
      <c r="A3825" s="73" t="n"/>
      <c r="B3825" s="74" t="n"/>
      <c r="C3825" s="74" t="n"/>
      <c r="D3825" s="75">
        <f>IF($C3825="","",IFERROR(INDEX(CAT_TIPO,MATCH($C3825,CAT_NOME,0)),"Sem categoria"))</f>
        <v/>
      </c>
      <c r="E3825" s="75">
        <f>IF($C3825="","",IFERROR(INDEX(CAT_GRUPO,MATCH($C3825,CAT_NOME,0)),"Sem categoria"))</f>
        <v/>
      </c>
      <c r="F3825" s="76" t="n"/>
      <c r="G3825" s="74" t="n"/>
      <c r="H3825" s="74" t="n"/>
      <c r="I3825" s="74" t="n"/>
      <c r="J3825" s="77" t="n"/>
      <c r="K3825" s="77" t="n"/>
      <c r="L3825" s="74" t="n"/>
      <c r="M3825" s="74" t="n"/>
      <c r="O3825" s="78">
        <f>IF($A3825="","",YEAR($A3825)*100+MONTH($A3825))</f>
        <v/>
      </c>
      <c r="P3825" s="79">
        <f>IF(OR($F3825="",$D3825=""),"",IF($D3825="Receita",$F3825,IF($D3825="Transferência",0,-$F3825)))</f>
        <v/>
      </c>
    </row>
    <row r="3826">
      <c r="A3826" s="73" t="n"/>
      <c r="B3826" s="74" t="n"/>
      <c r="C3826" s="74" t="n"/>
      <c r="D3826" s="75">
        <f>IF($C3826="","",IFERROR(INDEX(CAT_TIPO,MATCH($C3826,CAT_NOME,0)),"Sem categoria"))</f>
        <v/>
      </c>
      <c r="E3826" s="75">
        <f>IF($C3826="","",IFERROR(INDEX(CAT_GRUPO,MATCH($C3826,CAT_NOME,0)),"Sem categoria"))</f>
        <v/>
      </c>
      <c r="F3826" s="76" t="n"/>
      <c r="G3826" s="74" t="n"/>
      <c r="H3826" s="74" t="n"/>
      <c r="I3826" s="74" t="n"/>
      <c r="J3826" s="77" t="n"/>
      <c r="K3826" s="77" t="n"/>
      <c r="L3826" s="74" t="n"/>
      <c r="M3826" s="74" t="n"/>
      <c r="O3826" s="78">
        <f>IF($A3826="","",YEAR($A3826)*100+MONTH($A3826))</f>
        <v/>
      </c>
      <c r="P3826" s="79">
        <f>IF(OR($F3826="",$D3826=""),"",IF($D3826="Receita",$F3826,IF($D3826="Transferência",0,-$F3826)))</f>
        <v/>
      </c>
    </row>
    <row r="3827">
      <c r="A3827" s="73" t="n"/>
      <c r="B3827" s="74" t="n"/>
      <c r="C3827" s="74" t="n"/>
      <c r="D3827" s="75">
        <f>IF($C3827="","",IFERROR(INDEX(CAT_TIPO,MATCH($C3827,CAT_NOME,0)),"Sem categoria"))</f>
        <v/>
      </c>
      <c r="E3827" s="75">
        <f>IF($C3827="","",IFERROR(INDEX(CAT_GRUPO,MATCH($C3827,CAT_NOME,0)),"Sem categoria"))</f>
        <v/>
      </c>
      <c r="F3827" s="76" t="n"/>
      <c r="G3827" s="74" t="n"/>
      <c r="H3827" s="74" t="n"/>
      <c r="I3827" s="74" t="n"/>
      <c r="J3827" s="77" t="n"/>
      <c r="K3827" s="77" t="n"/>
      <c r="L3827" s="74" t="n"/>
      <c r="M3827" s="74" t="n"/>
      <c r="O3827" s="78">
        <f>IF($A3827="","",YEAR($A3827)*100+MONTH($A3827))</f>
        <v/>
      </c>
      <c r="P3827" s="79">
        <f>IF(OR($F3827="",$D3827=""),"",IF($D3827="Receita",$F3827,IF($D3827="Transferência",0,-$F3827)))</f>
        <v/>
      </c>
    </row>
    <row r="3828">
      <c r="A3828" s="73" t="n"/>
      <c r="B3828" s="74" t="n"/>
      <c r="C3828" s="74" t="n"/>
      <c r="D3828" s="75">
        <f>IF($C3828="","",IFERROR(INDEX(CAT_TIPO,MATCH($C3828,CAT_NOME,0)),"Sem categoria"))</f>
        <v/>
      </c>
      <c r="E3828" s="75">
        <f>IF($C3828="","",IFERROR(INDEX(CAT_GRUPO,MATCH($C3828,CAT_NOME,0)),"Sem categoria"))</f>
        <v/>
      </c>
      <c r="F3828" s="76" t="n"/>
      <c r="G3828" s="74" t="n"/>
      <c r="H3828" s="74" t="n"/>
      <c r="I3828" s="74" t="n"/>
      <c r="J3828" s="77" t="n"/>
      <c r="K3828" s="77" t="n"/>
      <c r="L3828" s="74" t="n"/>
      <c r="M3828" s="74" t="n"/>
      <c r="O3828" s="78">
        <f>IF($A3828="","",YEAR($A3828)*100+MONTH($A3828))</f>
        <v/>
      </c>
      <c r="P3828" s="79">
        <f>IF(OR($F3828="",$D3828=""),"",IF($D3828="Receita",$F3828,IF($D3828="Transferência",0,-$F3828)))</f>
        <v/>
      </c>
    </row>
    <row r="3829">
      <c r="A3829" s="73" t="n"/>
      <c r="B3829" s="74" t="n"/>
      <c r="C3829" s="74" t="n"/>
      <c r="D3829" s="75">
        <f>IF($C3829="","",IFERROR(INDEX(CAT_TIPO,MATCH($C3829,CAT_NOME,0)),"Sem categoria"))</f>
        <v/>
      </c>
      <c r="E3829" s="75">
        <f>IF($C3829="","",IFERROR(INDEX(CAT_GRUPO,MATCH($C3829,CAT_NOME,0)),"Sem categoria"))</f>
        <v/>
      </c>
      <c r="F3829" s="76" t="n"/>
      <c r="G3829" s="74" t="n"/>
      <c r="H3829" s="74" t="n"/>
      <c r="I3829" s="74" t="n"/>
      <c r="J3829" s="77" t="n"/>
      <c r="K3829" s="77" t="n"/>
      <c r="L3829" s="74" t="n"/>
      <c r="M3829" s="74" t="n"/>
      <c r="O3829" s="78">
        <f>IF($A3829="","",YEAR($A3829)*100+MONTH($A3829))</f>
        <v/>
      </c>
      <c r="P3829" s="79">
        <f>IF(OR($F3829="",$D3829=""),"",IF($D3829="Receita",$F3829,IF($D3829="Transferência",0,-$F3829)))</f>
        <v/>
      </c>
    </row>
    <row r="3830">
      <c r="A3830" s="73" t="n"/>
      <c r="B3830" s="74" t="n"/>
      <c r="C3830" s="74" t="n"/>
      <c r="D3830" s="75">
        <f>IF($C3830="","",IFERROR(INDEX(CAT_TIPO,MATCH($C3830,CAT_NOME,0)),"Sem categoria"))</f>
        <v/>
      </c>
      <c r="E3830" s="75">
        <f>IF($C3830="","",IFERROR(INDEX(CAT_GRUPO,MATCH($C3830,CAT_NOME,0)),"Sem categoria"))</f>
        <v/>
      </c>
      <c r="F3830" s="76" t="n"/>
      <c r="G3830" s="74" t="n"/>
      <c r="H3830" s="74" t="n"/>
      <c r="I3830" s="74" t="n"/>
      <c r="J3830" s="77" t="n"/>
      <c r="K3830" s="77" t="n"/>
      <c r="L3830" s="74" t="n"/>
      <c r="M3830" s="74" t="n"/>
      <c r="O3830" s="78">
        <f>IF($A3830="","",YEAR($A3830)*100+MONTH($A3830))</f>
        <v/>
      </c>
      <c r="P3830" s="79">
        <f>IF(OR($F3830="",$D3830=""),"",IF($D3830="Receita",$F3830,IF($D3830="Transferência",0,-$F3830)))</f>
        <v/>
      </c>
    </row>
    <row r="3831">
      <c r="A3831" s="73" t="n"/>
      <c r="B3831" s="74" t="n"/>
      <c r="C3831" s="74" t="n"/>
      <c r="D3831" s="75">
        <f>IF($C3831="","",IFERROR(INDEX(CAT_TIPO,MATCH($C3831,CAT_NOME,0)),"Sem categoria"))</f>
        <v/>
      </c>
      <c r="E3831" s="75">
        <f>IF($C3831="","",IFERROR(INDEX(CAT_GRUPO,MATCH($C3831,CAT_NOME,0)),"Sem categoria"))</f>
        <v/>
      </c>
      <c r="F3831" s="76" t="n"/>
      <c r="G3831" s="74" t="n"/>
      <c r="H3831" s="74" t="n"/>
      <c r="I3831" s="74" t="n"/>
      <c r="J3831" s="77" t="n"/>
      <c r="K3831" s="77" t="n"/>
      <c r="L3831" s="74" t="n"/>
      <c r="M3831" s="74" t="n"/>
      <c r="O3831" s="78">
        <f>IF($A3831="","",YEAR($A3831)*100+MONTH($A3831))</f>
        <v/>
      </c>
      <c r="P3831" s="79">
        <f>IF(OR($F3831="",$D3831=""),"",IF($D3831="Receita",$F3831,IF($D3831="Transferência",0,-$F3831)))</f>
        <v/>
      </c>
    </row>
    <row r="3832">
      <c r="A3832" s="73" t="n"/>
      <c r="B3832" s="74" t="n"/>
      <c r="C3832" s="74" t="n"/>
      <c r="D3832" s="75">
        <f>IF($C3832="","",IFERROR(INDEX(CAT_TIPO,MATCH($C3832,CAT_NOME,0)),"Sem categoria"))</f>
        <v/>
      </c>
      <c r="E3832" s="75">
        <f>IF($C3832="","",IFERROR(INDEX(CAT_GRUPO,MATCH($C3832,CAT_NOME,0)),"Sem categoria"))</f>
        <v/>
      </c>
      <c r="F3832" s="76" t="n"/>
      <c r="G3832" s="74" t="n"/>
      <c r="H3832" s="74" t="n"/>
      <c r="I3832" s="74" t="n"/>
      <c r="J3832" s="77" t="n"/>
      <c r="K3832" s="77" t="n"/>
      <c r="L3832" s="74" t="n"/>
      <c r="M3832" s="74" t="n"/>
      <c r="O3832" s="78">
        <f>IF($A3832="","",YEAR($A3832)*100+MONTH($A3832))</f>
        <v/>
      </c>
      <c r="P3832" s="79">
        <f>IF(OR($F3832="",$D3832=""),"",IF($D3832="Receita",$F3832,IF($D3832="Transferência",0,-$F3832)))</f>
        <v/>
      </c>
    </row>
    <row r="3833">
      <c r="A3833" s="73" t="n"/>
      <c r="B3833" s="74" t="n"/>
      <c r="C3833" s="74" t="n"/>
      <c r="D3833" s="75">
        <f>IF($C3833="","",IFERROR(INDEX(CAT_TIPO,MATCH($C3833,CAT_NOME,0)),"Sem categoria"))</f>
        <v/>
      </c>
      <c r="E3833" s="75">
        <f>IF($C3833="","",IFERROR(INDEX(CAT_GRUPO,MATCH($C3833,CAT_NOME,0)),"Sem categoria"))</f>
        <v/>
      </c>
      <c r="F3833" s="76" t="n"/>
      <c r="G3833" s="74" t="n"/>
      <c r="H3833" s="74" t="n"/>
      <c r="I3833" s="74" t="n"/>
      <c r="J3833" s="77" t="n"/>
      <c r="K3833" s="77" t="n"/>
      <c r="L3833" s="74" t="n"/>
      <c r="M3833" s="74" t="n"/>
      <c r="O3833" s="78">
        <f>IF($A3833="","",YEAR($A3833)*100+MONTH($A3833))</f>
        <v/>
      </c>
      <c r="P3833" s="79">
        <f>IF(OR($F3833="",$D3833=""),"",IF($D3833="Receita",$F3833,IF($D3833="Transferência",0,-$F3833)))</f>
        <v/>
      </c>
    </row>
    <row r="3834">
      <c r="A3834" s="73" t="n"/>
      <c r="B3834" s="74" t="n"/>
      <c r="C3834" s="74" t="n"/>
      <c r="D3834" s="75">
        <f>IF($C3834="","",IFERROR(INDEX(CAT_TIPO,MATCH($C3834,CAT_NOME,0)),"Sem categoria"))</f>
        <v/>
      </c>
      <c r="E3834" s="75">
        <f>IF($C3834="","",IFERROR(INDEX(CAT_GRUPO,MATCH($C3834,CAT_NOME,0)),"Sem categoria"))</f>
        <v/>
      </c>
      <c r="F3834" s="76" t="n"/>
      <c r="G3834" s="74" t="n"/>
      <c r="H3834" s="74" t="n"/>
      <c r="I3834" s="74" t="n"/>
      <c r="J3834" s="77" t="n"/>
      <c r="K3834" s="77" t="n"/>
      <c r="L3834" s="74" t="n"/>
      <c r="M3834" s="74" t="n"/>
      <c r="O3834" s="78">
        <f>IF($A3834="","",YEAR($A3834)*100+MONTH($A3834))</f>
        <v/>
      </c>
      <c r="P3834" s="79">
        <f>IF(OR($F3834="",$D3834=""),"",IF($D3834="Receita",$F3834,IF($D3834="Transferência",0,-$F3834)))</f>
        <v/>
      </c>
    </row>
    <row r="3835">
      <c r="A3835" s="73" t="n"/>
      <c r="B3835" s="74" t="n"/>
      <c r="C3835" s="74" t="n"/>
      <c r="D3835" s="75">
        <f>IF($C3835="","",IFERROR(INDEX(CAT_TIPO,MATCH($C3835,CAT_NOME,0)),"Sem categoria"))</f>
        <v/>
      </c>
      <c r="E3835" s="75">
        <f>IF($C3835="","",IFERROR(INDEX(CAT_GRUPO,MATCH($C3835,CAT_NOME,0)),"Sem categoria"))</f>
        <v/>
      </c>
      <c r="F3835" s="76" t="n"/>
      <c r="G3835" s="74" t="n"/>
      <c r="H3835" s="74" t="n"/>
      <c r="I3835" s="74" t="n"/>
      <c r="J3835" s="77" t="n"/>
      <c r="K3835" s="77" t="n"/>
      <c r="L3835" s="74" t="n"/>
      <c r="M3835" s="74" t="n"/>
      <c r="O3835" s="78">
        <f>IF($A3835="","",YEAR($A3835)*100+MONTH($A3835))</f>
        <v/>
      </c>
      <c r="P3835" s="79">
        <f>IF(OR($F3835="",$D3835=""),"",IF($D3835="Receita",$F3835,IF($D3835="Transferência",0,-$F3835)))</f>
        <v/>
      </c>
    </row>
    <row r="3836">
      <c r="A3836" s="73" t="n"/>
      <c r="B3836" s="74" t="n"/>
      <c r="C3836" s="74" t="n"/>
      <c r="D3836" s="75">
        <f>IF($C3836="","",IFERROR(INDEX(CAT_TIPO,MATCH($C3836,CAT_NOME,0)),"Sem categoria"))</f>
        <v/>
      </c>
      <c r="E3836" s="75">
        <f>IF($C3836="","",IFERROR(INDEX(CAT_GRUPO,MATCH($C3836,CAT_NOME,0)),"Sem categoria"))</f>
        <v/>
      </c>
      <c r="F3836" s="76" t="n"/>
      <c r="G3836" s="74" t="n"/>
      <c r="H3836" s="74" t="n"/>
      <c r="I3836" s="74" t="n"/>
      <c r="J3836" s="77" t="n"/>
      <c r="K3836" s="77" t="n"/>
      <c r="L3836" s="74" t="n"/>
      <c r="M3836" s="74" t="n"/>
      <c r="O3836" s="78">
        <f>IF($A3836="","",YEAR($A3836)*100+MONTH($A3836))</f>
        <v/>
      </c>
      <c r="P3836" s="79">
        <f>IF(OR($F3836="",$D3836=""),"",IF($D3836="Receita",$F3836,IF($D3836="Transferência",0,-$F3836)))</f>
        <v/>
      </c>
    </row>
    <row r="3837">
      <c r="A3837" s="73" t="n"/>
      <c r="B3837" s="74" t="n"/>
      <c r="C3837" s="74" t="n"/>
      <c r="D3837" s="75">
        <f>IF($C3837="","",IFERROR(INDEX(CAT_TIPO,MATCH($C3837,CAT_NOME,0)),"Sem categoria"))</f>
        <v/>
      </c>
      <c r="E3837" s="75">
        <f>IF($C3837="","",IFERROR(INDEX(CAT_GRUPO,MATCH($C3837,CAT_NOME,0)),"Sem categoria"))</f>
        <v/>
      </c>
      <c r="F3837" s="76" t="n"/>
      <c r="G3837" s="74" t="n"/>
      <c r="H3837" s="74" t="n"/>
      <c r="I3837" s="74" t="n"/>
      <c r="J3837" s="77" t="n"/>
      <c r="K3837" s="77" t="n"/>
      <c r="L3837" s="74" t="n"/>
      <c r="M3837" s="74" t="n"/>
      <c r="O3837" s="78">
        <f>IF($A3837="","",YEAR($A3837)*100+MONTH($A3837))</f>
        <v/>
      </c>
      <c r="P3837" s="79">
        <f>IF(OR($F3837="",$D3837=""),"",IF($D3837="Receita",$F3837,IF($D3837="Transferência",0,-$F3837)))</f>
        <v/>
      </c>
    </row>
    <row r="3838">
      <c r="A3838" s="73" t="n"/>
      <c r="B3838" s="74" t="n"/>
      <c r="C3838" s="74" t="n"/>
      <c r="D3838" s="75">
        <f>IF($C3838="","",IFERROR(INDEX(CAT_TIPO,MATCH($C3838,CAT_NOME,0)),"Sem categoria"))</f>
        <v/>
      </c>
      <c r="E3838" s="75">
        <f>IF($C3838="","",IFERROR(INDEX(CAT_GRUPO,MATCH($C3838,CAT_NOME,0)),"Sem categoria"))</f>
        <v/>
      </c>
      <c r="F3838" s="76" t="n"/>
      <c r="G3838" s="74" t="n"/>
      <c r="H3838" s="74" t="n"/>
      <c r="I3838" s="74" t="n"/>
      <c r="J3838" s="77" t="n"/>
      <c r="K3838" s="77" t="n"/>
      <c r="L3838" s="74" t="n"/>
      <c r="M3838" s="74" t="n"/>
      <c r="O3838" s="78">
        <f>IF($A3838="","",YEAR($A3838)*100+MONTH($A3838))</f>
        <v/>
      </c>
      <c r="P3838" s="79">
        <f>IF(OR($F3838="",$D3838=""),"",IF($D3838="Receita",$F3838,IF($D3838="Transferência",0,-$F3838)))</f>
        <v/>
      </c>
    </row>
    <row r="3839">
      <c r="A3839" s="73" t="n"/>
      <c r="B3839" s="74" t="n"/>
      <c r="C3839" s="74" t="n"/>
      <c r="D3839" s="75">
        <f>IF($C3839="","",IFERROR(INDEX(CAT_TIPO,MATCH($C3839,CAT_NOME,0)),"Sem categoria"))</f>
        <v/>
      </c>
      <c r="E3839" s="75">
        <f>IF($C3839="","",IFERROR(INDEX(CAT_GRUPO,MATCH($C3839,CAT_NOME,0)),"Sem categoria"))</f>
        <v/>
      </c>
      <c r="F3839" s="76" t="n"/>
      <c r="G3839" s="74" t="n"/>
      <c r="H3839" s="74" t="n"/>
      <c r="I3839" s="74" t="n"/>
      <c r="J3839" s="77" t="n"/>
      <c r="K3839" s="77" t="n"/>
      <c r="L3839" s="74" t="n"/>
      <c r="M3839" s="74" t="n"/>
      <c r="O3839" s="78">
        <f>IF($A3839="","",YEAR($A3839)*100+MONTH($A3839))</f>
        <v/>
      </c>
      <c r="P3839" s="79">
        <f>IF(OR($F3839="",$D3839=""),"",IF($D3839="Receita",$F3839,IF($D3839="Transferência",0,-$F3839)))</f>
        <v/>
      </c>
    </row>
    <row r="3840">
      <c r="A3840" s="73" t="n"/>
      <c r="B3840" s="74" t="n"/>
      <c r="C3840" s="74" t="n"/>
      <c r="D3840" s="75">
        <f>IF($C3840="","",IFERROR(INDEX(CAT_TIPO,MATCH($C3840,CAT_NOME,0)),"Sem categoria"))</f>
        <v/>
      </c>
      <c r="E3840" s="75">
        <f>IF($C3840="","",IFERROR(INDEX(CAT_GRUPO,MATCH($C3840,CAT_NOME,0)),"Sem categoria"))</f>
        <v/>
      </c>
      <c r="F3840" s="76" t="n"/>
      <c r="G3840" s="74" t="n"/>
      <c r="H3840" s="74" t="n"/>
      <c r="I3840" s="74" t="n"/>
      <c r="J3840" s="77" t="n"/>
      <c r="K3840" s="77" t="n"/>
      <c r="L3840" s="74" t="n"/>
      <c r="M3840" s="74" t="n"/>
      <c r="O3840" s="78">
        <f>IF($A3840="","",YEAR($A3840)*100+MONTH($A3840))</f>
        <v/>
      </c>
      <c r="P3840" s="79">
        <f>IF(OR($F3840="",$D3840=""),"",IF($D3840="Receita",$F3840,IF($D3840="Transferência",0,-$F3840)))</f>
        <v/>
      </c>
    </row>
    <row r="3841">
      <c r="A3841" s="73" t="n"/>
      <c r="B3841" s="74" t="n"/>
      <c r="C3841" s="74" t="n"/>
      <c r="D3841" s="75">
        <f>IF($C3841="","",IFERROR(INDEX(CAT_TIPO,MATCH($C3841,CAT_NOME,0)),"Sem categoria"))</f>
        <v/>
      </c>
      <c r="E3841" s="75">
        <f>IF($C3841="","",IFERROR(INDEX(CAT_GRUPO,MATCH($C3841,CAT_NOME,0)),"Sem categoria"))</f>
        <v/>
      </c>
      <c r="F3841" s="76" t="n"/>
      <c r="G3841" s="74" t="n"/>
      <c r="H3841" s="74" t="n"/>
      <c r="I3841" s="74" t="n"/>
      <c r="J3841" s="77" t="n"/>
      <c r="K3841" s="77" t="n"/>
      <c r="L3841" s="74" t="n"/>
      <c r="M3841" s="74" t="n"/>
      <c r="O3841" s="78">
        <f>IF($A3841="","",YEAR($A3841)*100+MONTH($A3841))</f>
        <v/>
      </c>
      <c r="P3841" s="79">
        <f>IF(OR($F3841="",$D3841=""),"",IF($D3841="Receita",$F3841,IF($D3841="Transferência",0,-$F3841)))</f>
        <v/>
      </c>
    </row>
    <row r="3842">
      <c r="A3842" s="73" t="n"/>
      <c r="B3842" s="74" t="n"/>
      <c r="C3842" s="74" t="n"/>
      <c r="D3842" s="75">
        <f>IF($C3842="","",IFERROR(INDEX(CAT_TIPO,MATCH($C3842,CAT_NOME,0)),"Sem categoria"))</f>
        <v/>
      </c>
      <c r="E3842" s="75">
        <f>IF($C3842="","",IFERROR(INDEX(CAT_GRUPO,MATCH($C3842,CAT_NOME,0)),"Sem categoria"))</f>
        <v/>
      </c>
      <c r="F3842" s="76" t="n"/>
      <c r="G3842" s="74" t="n"/>
      <c r="H3842" s="74" t="n"/>
      <c r="I3842" s="74" t="n"/>
      <c r="J3842" s="77" t="n"/>
      <c r="K3842" s="77" t="n"/>
      <c r="L3842" s="74" t="n"/>
      <c r="M3842" s="74" t="n"/>
      <c r="O3842" s="78">
        <f>IF($A3842="","",YEAR($A3842)*100+MONTH($A3842))</f>
        <v/>
      </c>
      <c r="P3842" s="79">
        <f>IF(OR($F3842="",$D3842=""),"",IF($D3842="Receita",$F3842,IF($D3842="Transferência",0,-$F3842)))</f>
        <v/>
      </c>
    </row>
    <row r="3843">
      <c r="A3843" s="73" t="n"/>
      <c r="B3843" s="74" t="n"/>
      <c r="C3843" s="74" t="n"/>
      <c r="D3843" s="75">
        <f>IF($C3843="","",IFERROR(INDEX(CAT_TIPO,MATCH($C3843,CAT_NOME,0)),"Sem categoria"))</f>
        <v/>
      </c>
      <c r="E3843" s="75">
        <f>IF($C3843="","",IFERROR(INDEX(CAT_GRUPO,MATCH($C3843,CAT_NOME,0)),"Sem categoria"))</f>
        <v/>
      </c>
      <c r="F3843" s="76" t="n"/>
      <c r="G3843" s="74" t="n"/>
      <c r="H3843" s="74" t="n"/>
      <c r="I3843" s="74" t="n"/>
      <c r="J3843" s="77" t="n"/>
      <c r="K3843" s="77" t="n"/>
      <c r="L3843" s="74" t="n"/>
      <c r="M3843" s="74" t="n"/>
      <c r="O3843" s="78">
        <f>IF($A3843="","",YEAR($A3843)*100+MONTH($A3843))</f>
        <v/>
      </c>
      <c r="P3843" s="79">
        <f>IF(OR($F3843="",$D3843=""),"",IF($D3843="Receita",$F3843,IF($D3843="Transferência",0,-$F3843)))</f>
        <v/>
      </c>
    </row>
    <row r="3844">
      <c r="A3844" s="73" t="n"/>
      <c r="B3844" s="74" t="n"/>
      <c r="C3844" s="74" t="n"/>
      <c r="D3844" s="75">
        <f>IF($C3844="","",IFERROR(INDEX(CAT_TIPO,MATCH($C3844,CAT_NOME,0)),"Sem categoria"))</f>
        <v/>
      </c>
      <c r="E3844" s="75">
        <f>IF($C3844="","",IFERROR(INDEX(CAT_GRUPO,MATCH($C3844,CAT_NOME,0)),"Sem categoria"))</f>
        <v/>
      </c>
      <c r="F3844" s="76" t="n"/>
      <c r="G3844" s="74" t="n"/>
      <c r="H3844" s="74" t="n"/>
      <c r="I3844" s="74" t="n"/>
      <c r="J3844" s="77" t="n"/>
      <c r="K3844" s="77" t="n"/>
      <c r="L3844" s="74" t="n"/>
      <c r="M3844" s="74" t="n"/>
      <c r="O3844" s="78">
        <f>IF($A3844="","",YEAR($A3844)*100+MONTH($A3844))</f>
        <v/>
      </c>
      <c r="P3844" s="79">
        <f>IF(OR($F3844="",$D3844=""),"",IF($D3844="Receita",$F3844,IF($D3844="Transferência",0,-$F3844)))</f>
        <v/>
      </c>
    </row>
    <row r="3845">
      <c r="A3845" s="73" t="n"/>
      <c r="B3845" s="74" t="n"/>
      <c r="C3845" s="74" t="n"/>
      <c r="D3845" s="75">
        <f>IF($C3845="","",IFERROR(INDEX(CAT_TIPO,MATCH($C3845,CAT_NOME,0)),"Sem categoria"))</f>
        <v/>
      </c>
      <c r="E3845" s="75">
        <f>IF($C3845="","",IFERROR(INDEX(CAT_GRUPO,MATCH($C3845,CAT_NOME,0)),"Sem categoria"))</f>
        <v/>
      </c>
      <c r="F3845" s="76" t="n"/>
      <c r="G3845" s="74" t="n"/>
      <c r="H3845" s="74" t="n"/>
      <c r="I3845" s="74" t="n"/>
      <c r="J3845" s="77" t="n"/>
      <c r="K3845" s="77" t="n"/>
      <c r="L3845" s="74" t="n"/>
      <c r="M3845" s="74" t="n"/>
      <c r="O3845" s="78">
        <f>IF($A3845="","",YEAR($A3845)*100+MONTH($A3845))</f>
        <v/>
      </c>
      <c r="P3845" s="79">
        <f>IF(OR($F3845="",$D3845=""),"",IF($D3845="Receita",$F3845,IF($D3845="Transferência",0,-$F3845)))</f>
        <v/>
      </c>
    </row>
    <row r="3846">
      <c r="A3846" s="73" t="n"/>
      <c r="B3846" s="74" t="n"/>
      <c r="C3846" s="74" t="n"/>
      <c r="D3846" s="75">
        <f>IF($C3846="","",IFERROR(INDEX(CAT_TIPO,MATCH($C3846,CAT_NOME,0)),"Sem categoria"))</f>
        <v/>
      </c>
      <c r="E3846" s="75">
        <f>IF($C3846="","",IFERROR(INDEX(CAT_GRUPO,MATCH($C3846,CAT_NOME,0)),"Sem categoria"))</f>
        <v/>
      </c>
      <c r="F3846" s="76" t="n"/>
      <c r="G3846" s="74" t="n"/>
      <c r="H3846" s="74" t="n"/>
      <c r="I3846" s="74" t="n"/>
      <c r="J3846" s="77" t="n"/>
      <c r="K3846" s="77" t="n"/>
      <c r="L3846" s="74" t="n"/>
      <c r="M3846" s="74" t="n"/>
      <c r="O3846" s="78">
        <f>IF($A3846="","",YEAR($A3846)*100+MONTH($A3846))</f>
        <v/>
      </c>
      <c r="P3846" s="79">
        <f>IF(OR($F3846="",$D3846=""),"",IF($D3846="Receita",$F3846,IF($D3846="Transferência",0,-$F3846)))</f>
        <v/>
      </c>
    </row>
    <row r="3847">
      <c r="A3847" s="73" t="n"/>
      <c r="B3847" s="74" t="n"/>
      <c r="C3847" s="74" t="n"/>
      <c r="D3847" s="75">
        <f>IF($C3847="","",IFERROR(INDEX(CAT_TIPO,MATCH($C3847,CAT_NOME,0)),"Sem categoria"))</f>
        <v/>
      </c>
      <c r="E3847" s="75">
        <f>IF($C3847="","",IFERROR(INDEX(CAT_GRUPO,MATCH($C3847,CAT_NOME,0)),"Sem categoria"))</f>
        <v/>
      </c>
      <c r="F3847" s="76" t="n"/>
      <c r="G3847" s="74" t="n"/>
      <c r="H3847" s="74" t="n"/>
      <c r="I3847" s="74" t="n"/>
      <c r="J3847" s="77" t="n"/>
      <c r="K3847" s="77" t="n"/>
      <c r="L3847" s="74" t="n"/>
      <c r="M3847" s="74" t="n"/>
      <c r="O3847" s="78">
        <f>IF($A3847="","",YEAR($A3847)*100+MONTH($A3847))</f>
        <v/>
      </c>
      <c r="P3847" s="79">
        <f>IF(OR($F3847="",$D3847=""),"",IF($D3847="Receita",$F3847,IF($D3847="Transferência",0,-$F3847)))</f>
        <v/>
      </c>
    </row>
    <row r="3848">
      <c r="A3848" s="73" t="n"/>
      <c r="B3848" s="74" t="n"/>
      <c r="C3848" s="74" t="n"/>
      <c r="D3848" s="75">
        <f>IF($C3848="","",IFERROR(INDEX(CAT_TIPO,MATCH($C3848,CAT_NOME,0)),"Sem categoria"))</f>
        <v/>
      </c>
      <c r="E3848" s="75">
        <f>IF($C3848="","",IFERROR(INDEX(CAT_GRUPO,MATCH($C3848,CAT_NOME,0)),"Sem categoria"))</f>
        <v/>
      </c>
      <c r="F3848" s="76" t="n"/>
      <c r="G3848" s="74" t="n"/>
      <c r="H3848" s="74" t="n"/>
      <c r="I3848" s="74" t="n"/>
      <c r="J3848" s="77" t="n"/>
      <c r="K3848" s="77" t="n"/>
      <c r="L3848" s="74" t="n"/>
      <c r="M3848" s="74" t="n"/>
      <c r="O3848" s="78">
        <f>IF($A3848="","",YEAR($A3848)*100+MONTH($A3848))</f>
        <v/>
      </c>
      <c r="P3848" s="79">
        <f>IF(OR($F3848="",$D3848=""),"",IF($D3848="Receita",$F3848,IF($D3848="Transferência",0,-$F3848)))</f>
        <v/>
      </c>
    </row>
    <row r="3849">
      <c r="A3849" s="73" t="n"/>
      <c r="B3849" s="74" t="n"/>
      <c r="C3849" s="74" t="n"/>
      <c r="D3849" s="75">
        <f>IF($C3849="","",IFERROR(INDEX(CAT_TIPO,MATCH($C3849,CAT_NOME,0)),"Sem categoria"))</f>
        <v/>
      </c>
      <c r="E3849" s="75">
        <f>IF($C3849="","",IFERROR(INDEX(CAT_GRUPO,MATCH($C3849,CAT_NOME,0)),"Sem categoria"))</f>
        <v/>
      </c>
      <c r="F3849" s="76" t="n"/>
      <c r="G3849" s="74" t="n"/>
      <c r="H3849" s="74" t="n"/>
      <c r="I3849" s="74" t="n"/>
      <c r="J3849" s="77" t="n"/>
      <c r="K3849" s="77" t="n"/>
      <c r="L3849" s="74" t="n"/>
      <c r="M3849" s="74" t="n"/>
      <c r="O3849" s="78">
        <f>IF($A3849="","",YEAR($A3849)*100+MONTH($A3849))</f>
        <v/>
      </c>
      <c r="P3849" s="79">
        <f>IF(OR($F3849="",$D3849=""),"",IF($D3849="Receita",$F3849,IF($D3849="Transferência",0,-$F3849)))</f>
        <v/>
      </c>
    </row>
    <row r="3850">
      <c r="A3850" s="73" t="n"/>
      <c r="B3850" s="74" t="n"/>
      <c r="C3850" s="74" t="n"/>
      <c r="D3850" s="75">
        <f>IF($C3850="","",IFERROR(INDEX(CAT_TIPO,MATCH($C3850,CAT_NOME,0)),"Sem categoria"))</f>
        <v/>
      </c>
      <c r="E3850" s="75">
        <f>IF($C3850="","",IFERROR(INDEX(CAT_GRUPO,MATCH($C3850,CAT_NOME,0)),"Sem categoria"))</f>
        <v/>
      </c>
      <c r="F3850" s="76" t="n"/>
      <c r="G3850" s="74" t="n"/>
      <c r="H3850" s="74" t="n"/>
      <c r="I3850" s="74" t="n"/>
      <c r="J3850" s="77" t="n"/>
      <c r="K3850" s="77" t="n"/>
      <c r="L3850" s="74" t="n"/>
      <c r="M3850" s="74" t="n"/>
      <c r="O3850" s="78">
        <f>IF($A3850="","",YEAR($A3850)*100+MONTH($A3850))</f>
        <v/>
      </c>
      <c r="P3850" s="79">
        <f>IF(OR($F3850="",$D3850=""),"",IF($D3850="Receita",$F3850,IF($D3850="Transferência",0,-$F3850)))</f>
        <v/>
      </c>
    </row>
    <row r="3851">
      <c r="A3851" s="73" t="n"/>
      <c r="B3851" s="74" t="n"/>
      <c r="C3851" s="74" t="n"/>
      <c r="D3851" s="75">
        <f>IF($C3851="","",IFERROR(INDEX(CAT_TIPO,MATCH($C3851,CAT_NOME,0)),"Sem categoria"))</f>
        <v/>
      </c>
      <c r="E3851" s="75">
        <f>IF($C3851="","",IFERROR(INDEX(CAT_GRUPO,MATCH($C3851,CAT_NOME,0)),"Sem categoria"))</f>
        <v/>
      </c>
      <c r="F3851" s="76" t="n"/>
      <c r="G3851" s="74" t="n"/>
      <c r="H3851" s="74" t="n"/>
      <c r="I3851" s="74" t="n"/>
      <c r="J3851" s="77" t="n"/>
      <c r="K3851" s="77" t="n"/>
      <c r="L3851" s="74" t="n"/>
      <c r="M3851" s="74" t="n"/>
      <c r="O3851" s="78">
        <f>IF($A3851="","",YEAR($A3851)*100+MONTH($A3851))</f>
        <v/>
      </c>
      <c r="P3851" s="79">
        <f>IF(OR($F3851="",$D3851=""),"",IF($D3851="Receita",$F3851,IF($D3851="Transferência",0,-$F3851)))</f>
        <v/>
      </c>
    </row>
    <row r="3852">
      <c r="A3852" s="73" t="n"/>
      <c r="B3852" s="74" t="n"/>
      <c r="C3852" s="74" t="n"/>
      <c r="D3852" s="75">
        <f>IF($C3852="","",IFERROR(INDEX(CAT_TIPO,MATCH($C3852,CAT_NOME,0)),"Sem categoria"))</f>
        <v/>
      </c>
      <c r="E3852" s="75">
        <f>IF($C3852="","",IFERROR(INDEX(CAT_GRUPO,MATCH($C3852,CAT_NOME,0)),"Sem categoria"))</f>
        <v/>
      </c>
      <c r="F3852" s="76" t="n"/>
      <c r="G3852" s="74" t="n"/>
      <c r="H3852" s="74" t="n"/>
      <c r="I3852" s="74" t="n"/>
      <c r="J3852" s="77" t="n"/>
      <c r="K3852" s="77" t="n"/>
      <c r="L3852" s="74" t="n"/>
      <c r="M3852" s="74" t="n"/>
      <c r="O3852" s="78">
        <f>IF($A3852="","",YEAR($A3852)*100+MONTH($A3852))</f>
        <v/>
      </c>
      <c r="P3852" s="79">
        <f>IF(OR($F3852="",$D3852=""),"",IF($D3852="Receita",$F3852,IF($D3852="Transferência",0,-$F3852)))</f>
        <v/>
      </c>
    </row>
    <row r="3853">
      <c r="A3853" s="73" t="n"/>
      <c r="B3853" s="74" t="n"/>
      <c r="C3853" s="74" t="n"/>
      <c r="D3853" s="75">
        <f>IF($C3853="","",IFERROR(INDEX(CAT_TIPO,MATCH($C3853,CAT_NOME,0)),"Sem categoria"))</f>
        <v/>
      </c>
      <c r="E3853" s="75">
        <f>IF($C3853="","",IFERROR(INDEX(CAT_GRUPO,MATCH($C3853,CAT_NOME,0)),"Sem categoria"))</f>
        <v/>
      </c>
      <c r="F3853" s="76" t="n"/>
      <c r="G3853" s="74" t="n"/>
      <c r="H3853" s="74" t="n"/>
      <c r="I3853" s="74" t="n"/>
      <c r="J3853" s="77" t="n"/>
      <c r="K3853" s="77" t="n"/>
      <c r="L3853" s="74" t="n"/>
      <c r="M3853" s="74" t="n"/>
      <c r="O3853" s="78">
        <f>IF($A3853="","",YEAR($A3853)*100+MONTH($A3853))</f>
        <v/>
      </c>
      <c r="P3853" s="79">
        <f>IF(OR($F3853="",$D3853=""),"",IF($D3853="Receita",$F3853,IF($D3853="Transferência",0,-$F3853)))</f>
        <v/>
      </c>
    </row>
    <row r="3854">
      <c r="A3854" s="73" t="n"/>
      <c r="B3854" s="74" t="n"/>
      <c r="C3854" s="74" t="n"/>
      <c r="D3854" s="75">
        <f>IF($C3854="","",IFERROR(INDEX(CAT_TIPO,MATCH($C3854,CAT_NOME,0)),"Sem categoria"))</f>
        <v/>
      </c>
      <c r="E3854" s="75">
        <f>IF($C3854="","",IFERROR(INDEX(CAT_GRUPO,MATCH($C3854,CAT_NOME,0)),"Sem categoria"))</f>
        <v/>
      </c>
      <c r="F3854" s="76" t="n"/>
      <c r="G3854" s="74" t="n"/>
      <c r="H3854" s="74" t="n"/>
      <c r="I3854" s="74" t="n"/>
      <c r="J3854" s="77" t="n"/>
      <c r="K3854" s="77" t="n"/>
      <c r="L3854" s="74" t="n"/>
      <c r="M3854" s="74" t="n"/>
      <c r="O3854" s="78">
        <f>IF($A3854="","",YEAR($A3854)*100+MONTH($A3854))</f>
        <v/>
      </c>
      <c r="P3854" s="79">
        <f>IF(OR($F3854="",$D3854=""),"",IF($D3854="Receita",$F3854,IF($D3854="Transferência",0,-$F3854)))</f>
        <v/>
      </c>
    </row>
    <row r="3855">
      <c r="A3855" s="73" t="n"/>
      <c r="B3855" s="74" t="n"/>
      <c r="C3855" s="74" t="n"/>
      <c r="D3855" s="75">
        <f>IF($C3855="","",IFERROR(INDEX(CAT_TIPO,MATCH($C3855,CAT_NOME,0)),"Sem categoria"))</f>
        <v/>
      </c>
      <c r="E3855" s="75">
        <f>IF($C3855="","",IFERROR(INDEX(CAT_GRUPO,MATCH($C3855,CAT_NOME,0)),"Sem categoria"))</f>
        <v/>
      </c>
      <c r="F3855" s="76" t="n"/>
      <c r="G3855" s="74" t="n"/>
      <c r="H3855" s="74" t="n"/>
      <c r="I3855" s="74" t="n"/>
      <c r="J3855" s="77" t="n"/>
      <c r="K3855" s="77" t="n"/>
      <c r="L3855" s="74" t="n"/>
      <c r="M3855" s="74" t="n"/>
      <c r="O3855" s="78">
        <f>IF($A3855="","",YEAR($A3855)*100+MONTH($A3855))</f>
        <v/>
      </c>
      <c r="P3855" s="79">
        <f>IF(OR($F3855="",$D3855=""),"",IF($D3855="Receita",$F3855,IF($D3855="Transferência",0,-$F3855)))</f>
        <v/>
      </c>
    </row>
    <row r="3856">
      <c r="A3856" s="73" t="n"/>
      <c r="B3856" s="74" t="n"/>
      <c r="C3856" s="74" t="n"/>
      <c r="D3856" s="75">
        <f>IF($C3856="","",IFERROR(INDEX(CAT_TIPO,MATCH($C3856,CAT_NOME,0)),"Sem categoria"))</f>
        <v/>
      </c>
      <c r="E3856" s="75">
        <f>IF($C3856="","",IFERROR(INDEX(CAT_GRUPO,MATCH($C3856,CAT_NOME,0)),"Sem categoria"))</f>
        <v/>
      </c>
      <c r="F3856" s="76" t="n"/>
      <c r="G3856" s="74" t="n"/>
      <c r="H3856" s="74" t="n"/>
      <c r="I3856" s="74" t="n"/>
      <c r="J3856" s="77" t="n"/>
      <c r="K3856" s="77" t="n"/>
      <c r="L3856" s="74" t="n"/>
      <c r="M3856" s="74" t="n"/>
      <c r="O3856" s="78">
        <f>IF($A3856="","",YEAR($A3856)*100+MONTH($A3856))</f>
        <v/>
      </c>
      <c r="P3856" s="79">
        <f>IF(OR($F3856="",$D3856=""),"",IF($D3856="Receita",$F3856,IF($D3856="Transferência",0,-$F3856)))</f>
        <v/>
      </c>
    </row>
    <row r="3857">
      <c r="A3857" s="73" t="n"/>
      <c r="B3857" s="74" t="n"/>
      <c r="C3857" s="74" t="n"/>
      <c r="D3857" s="75">
        <f>IF($C3857="","",IFERROR(INDEX(CAT_TIPO,MATCH($C3857,CAT_NOME,0)),"Sem categoria"))</f>
        <v/>
      </c>
      <c r="E3857" s="75">
        <f>IF($C3857="","",IFERROR(INDEX(CAT_GRUPO,MATCH($C3857,CAT_NOME,0)),"Sem categoria"))</f>
        <v/>
      </c>
      <c r="F3857" s="76" t="n"/>
      <c r="G3857" s="74" t="n"/>
      <c r="H3857" s="74" t="n"/>
      <c r="I3857" s="74" t="n"/>
      <c r="J3857" s="77" t="n"/>
      <c r="K3857" s="77" t="n"/>
      <c r="L3857" s="74" t="n"/>
      <c r="M3857" s="74" t="n"/>
      <c r="O3857" s="78">
        <f>IF($A3857="","",YEAR($A3857)*100+MONTH($A3857))</f>
        <v/>
      </c>
      <c r="P3857" s="79">
        <f>IF(OR($F3857="",$D3857=""),"",IF($D3857="Receita",$F3857,IF($D3857="Transferência",0,-$F3857)))</f>
        <v/>
      </c>
    </row>
    <row r="3858">
      <c r="A3858" s="73" t="n"/>
      <c r="B3858" s="74" t="n"/>
      <c r="C3858" s="74" t="n"/>
      <c r="D3858" s="75">
        <f>IF($C3858="","",IFERROR(INDEX(CAT_TIPO,MATCH($C3858,CAT_NOME,0)),"Sem categoria"))</f>
        <v/>
      </c>
      <c r="E3858" s="75">
        <f>IF($C3858="","",IFERROR(INDEX(CAT_GRUPO,MATCH($C3858,CAT_NOME,0)),"Sem categoria"))</f>
        <v/>
      </c>
      <c r="F3858" s="76" t="n"/>
      <c r="G3858" s="74" t="n"/>
      <c r="H3858" s="74" t="n"/>
      <c r="I3858" s="74" t="n"/>
      <c r="J3858" s="77" t="n"/>
      <c r="K3858" s="77" t="n"/>
      <c r="L3858" s="74" t="n"/>
      <c r="M3858" s="74" t="n"/>
      <c r="O3858" s="78">
        <f>IF($A3858="","",YEAR($A3858)*100+MONTH($A3858))</f>
        <v/>
      </c>
      <c r="P3858" s="79">
        <f>IF(OR($F3858="",$D3858=""),"",IF($D3858="Receita",$F3858,IF($D3858="Transferência",0,-$F3858)))</f>
        <v/>
      </c>
    </row>
    <row r="3859">
      <c r="A3859" s="73" t="n"/>
      <c r="B3859" s="74" t="n"/>
      <c r="C3859" s="74" t="n"/>
      <c r="D3859" s="75">
        <f>IF($C3859="","",IFERROR(INDEX(CAT_TIPO,MATCH($C3859,CAT_NOME,0)),"Sem categoria"))</f>
        <v/>
      </c>
      <c r="E3859" s="75">
        <f>IF($C3859="","",IFERROR(INDEX(CAT_GRUPO,MATCH($C3859,CAT_NOME,0)),"Sem categoria"))</f>
        <v/>
      </c>
      <c r="F3859" s="76" t="n"/>
      <c r="G3859" s="74" t="n"/>
      <c r="H3859" s="74" t="n"/>
      <c r="I3859" s="74" t="n"/>
      <c r="J3859" s="77" t="n"/>
      <c r="K3859" s="77" t="n"/>
      <c r="L3859" s="74" t="n"/>
      <c r="M3859" s="74" t="n"/>
      <c r="O3859" s="78">
        <f>IF($A3859="","",YEAR($A3859)*100+MONTH($A3859))</f>
        <v/>
      </c>
      <c r="P3859" s="79">
        <f>IF(OR($F3859="",$D3859=""),"",IF($D3859="Receita",$F3859,IF($D3859="Transferência",0,-$F3859)))</f>
        <v/>
      </c>
    </row>
    <row r="3860">
      <c r="A3860" s="73" t="n"/>
      <c r="B3860" s="74" t="n"/>
      <c r="C3860" s="74" t="n"/>
      <c r="D3860" s="75">
        <f>IF($C3860="","",IFERROR(INDEX(CAT_TIPO,MATCH($C3860,CAT_NOME,0)),"Sem categoria"))</f>
        <v/>
      </c>
      <c r="E3860" s="75">
        <f>IF($C3860="","",IFERROR(INDEX(CAT_GRUPO,MATCH($C3860,CAT_NOME,0)),"Sem categoria"))</f>
        <v/>
      </c>
      <c r="F3860" s="76" t="n"/>
      <c r="G3860" s="74" t="n"/>
      <c r="H3860" s="74" t="n"/>
      <c r="I3860" s="74" t="n"/>
      <c r="J3860" s="77" t="n"/>
      <c r="K3860" s="77" t="n"/>
      <c r="L3860" s="74" t="n"/>
      <c r="M3860" s="74" t="n"/>
      <c r="O3860" s="78">
        <f>IF($A3860="","",YEAR($A3860)*100+MONTH($A3860))</f>
        <v/>
      </c>
      <c r="P3860" s="79">
        <f>IF(OR($F3860="",$D3860=""),"",IF($D3860="Receita",$F3860,IF($D3860="Transferência",0,-$F3860)))</f>
        <v/>
      </c>
    </row>
    <row r="3861">
      <c r="A3861" s="73" t="n"/>
      <c r="B3861" s="74" t="n"/>
      <c r="C3861" s="74" t="n"/>
      <c r="D3861" s="75">
        <f>IF($C3861="","",IFERROR(INDEX(CAT_TIPO,MATCH($C3861,CAT_NOME,0)),"Sem categoria"))</f>
        <v/>
      </c>
      <c r="E3861" s="75">
        <f>IF($C3861="","",IFERROR(INDEX(CAT_GRUPO,MATCH($C3861,CAT_NOME,0)),"Sem categoria"))</f>
        <v/>
      </c>
      <c r="F3861" s="76" t="n"/>
      <c r="G3861" s="74" t="n"/>
      <c r="H3861" s="74" t="n"/>
      <c r="I3861" s="74" t="n"/>
      <c r="J3861" s="77" t="n"/>
      <c r="K3861" s="77" t="n"/>
      <c r="L3861" s="74" t="n"/>
      <c r="M3861" s="74" t="n"/>
      <c r="O3861" s="78">
        <f>IF($A3861="","",YEAR($A3861)*100+MONTH($A3861))</f>
        <v/>
      </c>
      <c r="P3861" s="79">
        <f>IF(OR($F3861="",$D3861=""),"",IF($D3861="Receita",$F3861,IF($D3861="Transferência",0,-$F3861)))</f>
        <v/>
      </c>
    </row>
    <row r="3862">
      <c r="A3862" s="73" t="n"/>
      <c r="B3862" s="74" t="n"/>
      <c r="C3862" s="74" t="n"/>
      <c r="D3862" s="75">
        <f>IF($C3862="","",IFERROR(INDEX(CAT_TIPO,MATCH($C3862,CAT_NOME,0)),"Sem categoria"))</f>
        <v/>
      </c>
      <c r="E3862" s="75">
        <f>IF($C3862="","",IFERROR(INDEX(CAT_GRUPO,MATCH($C3862,CAT_NOME,0)),"Sem categoria"))</f>
        <v/>
      </c>
      <c r="F3862" s="76" t="n"/>
      <c r="G3862" s="74" t="n"/>
      <c r="H3862" s="74" t="n"/>
      <c r="I3862" s="74" t="n"/>
      <c r="J3862" s="77" t="n"/>
      <c r="K3862" s="77" t="n"/>
      <c r="L3862" s="74" t="n"/>
      <c r="M3862" s="74" t="n"/>
      <c r="O3862" s="78">
        <f>IF($A3862="","",YEAR($A3862)*100+MONTH($A3862))</f>
        <v/>
      </c>
      <c r="P3862" s="79">
        <f>IF(OR($F3862="",$D3862=""),"",IF($D3862="Receita",$F3862,IF($D3862="Transferência",0,-$F3862)))</f>
        <v/>
      </c>
    </row>
    <row r="3863">
      <c r="A3863" s="73" t="n"/>
      <c r="B3863" s="74" t="n"/>
      <c r="C3863" s="74" t="n"/>
      <c r="D3863" s="75">
        <f>IF($C3863="","",IFERROR(INDEX(CAT_TIPO,MATCH($C3863,CAT_NOME,0)),"Sem categoria"))</f>
        <v/>
      </c>
      <c r="E3863" s="75">
        <f>IF($C3863="","",IFERROR(INDEX(CAT_GRUPO,MATCH($C3863,CAT_NOME,0)),"Sem categoria"))</f>
        <v/>
      </c>
      <c r="F3863" s="76" t="n"/>
      <c r="G3863" s="74" t="n"/>
      <c r="H3863" s="74" t="n"/>
      <c r="I3863" s="74" t="n"/>
      <c r="J3863" s="77" t="n"/>
      <c r="K3863" s="77" t="n"/>
      <c r="L3863" s="74" t="n"/>
      <c r="M3863" s="74" t="n"/>
      <c r="O3863" s="78">
        <f>IF($A3863="","",YEAR($A3863)*100+MONTH($A3863))</f>
        <v/>
      </c>
      <c r="P3863" s="79">
        <f>IF(OR($F3863="",$D3863=""),"",IF($D3863="Receita",$F3863,IF($D3863="Transferência",0,-$F3863)))</f>
        <v/>
      </c>
    </row>
    <row r="3864">
      <c r="A3864" s="73" t="n"/>
      <c r="B3864" s="74" t="n"/>
      <c r="C3864" s="74" t="n"/>
      <c r="D3864" s="75">
        <f>IF($C3864="","",IFERROR(INDEX(CAT_TIPO,MATCH($C3864,CAT_NOME,0)),"Sem categoria"))</f>
        <v/>
      </c>
      <c r="E3864" s="75">
        <f>IF($C3864="","",IFERROR(INDEX(CAT_GRUPO,MATCH($C3864,CAT_NOME,0)),"Sem categoria"))</f>
        <v/>
      </c>
      <c r="F3864" s="76" t="n"/>
      <c r="G3864" s="74" t="n"/>
      <c r="H3864" s="74" t="n"/>
      <c r="I3864" s="74" t="n"/>
      <c r="J3864" s="77" t="n"/>
      <c r="K3864" s="77" t="n"/>
      <c r="L3864" s="74" t="n"/>
      <c r="M3864" s="74" t="n"/>
      <c r="O3864" s="78">
        <f>IF($A3864="","",YEAR($A3864)*100+MONTH($A3864))</f>
        <v/>
      </c>
      <c r="P3864" s="79">
        <f>IF(OR($F3864="",$D3864=""),"",IF($D3864="Receita",$F3864,IF($D3864="Transferência",0,-$F3864)))</f>
        <v/>
      </c>
    </row>
    <row r="3865">
      <c r="A3865" s="73" t="n"/>
      <c r="B3865" s="74" t="n"/>
      <c r="C3865" s="74" t="n"/>
      <c r="D3865" s="75">
        <f>IF($C3865="","",IFERROR(INDEX(CAT_TIPO,MATCH($C3865,CAT_NOME,0)),"Sem categoria"))</f>
        <v/>
      </c>
      <c r="E3865" s="75">
        <f>IF($C3865="","",IFERROR(INDEX(CAT_GRUPO,MATCH($C3865,CAT_NOME,0)),"Sem categoria"))</f>
        <v/>
      </c>
      <c r="F3865" s="76" t="n"/>
      <c r="G3865" s="74" t="n"/>
      <c r="H3865" s="74" t="n"/>
      <c r="I3865" s="74" t="n"/>
      <c r="J3865" s="77" t="n"/>
      <c r="K3865" s="77" t="n"/>
      <c r="L3865" s="74" t="n"/>
      <c r="M3865" s="74" t="n"/>
      <c r="O3865" s="78">
        <f>IF($A3865="","",YEAR($A3865)*100+MONTH($A3865))</f>
        <v/>
      </c>
      <c r="P3865" s="79">
        <f>IF(OR($F3865="",$D3865=""),"",IF($D3865="Receita",$F3865,IF($D3865="Transferência",0,-$F3865)))</f>
        <v/>
      </c>
    </row>
    <row r="3866">
      <c r="A3866" s="73" t="n"/>
      <c r="B3866" s="74" t="n"/>
      <c r="C3866" s="74" t="n"/>
      <c r="D3866" s="75">
        <f>IF($C3866="","",IFERROR(INDEX(CAT_TIPO,MATCH($C3866,CAT_NOME,0)),"Sem categoria"))</f>
        <v/>
      </c>
      <c r="E3866" s="75">
        <f>IF($C3866="","",IFERROR(INDEX(CAT_GRUPO,MATCH($C3866,CAT_NOME,0)),"Sem categoria"))</f>
        <v/>
      </c>
      <c r="F3866" s="76" t="n"/>
      <c r="G3866" s="74" t="n"/>
      <c r="H3866" s="74" t="n"/>
      <c r="I3866" s="74" t="n"/>
      <c r="J3866" s="77" t="n"/>
      <c r="K3866" s="77" t="n"/>
      <c r="L3866" s="74" t="n"/>
      <c r="M3866" s="74" t="n"/>
      <c r="O3866" s="78">
        <f>IF($A3866="","",YEAR($A3866)*100+MONTH($A3866))</f>
        <v/>
      </c>
      <c r="P3866" s="79">
        <f>IF(OR($F3866="",$D3866=""),"",IF($D3866="Receita",$F3866,IF($D3866="Transferência",0,-$F3866)))</f>
        <v/>
      </c>
    </row>
    <row r="3867">
      <c r="A3867" s="73" t="n"/>
      <c r="B3867" s="74" t="n"/>
      <c r="C3867" s="74" t="n"/>
      <c r="D3867" s="75">
        <f>IF($C3867="","",IFERROR(INDEX(CAT_TIPO,MATCH($C3867,CAT_NOME,0)),"Sem categoria"))</f>
        <v/>
      </c>
      <c r="E3867" s="75">
        <f>IF($C3867="","",IFERROR(INDEX(CAT_GRUPO,MATCH($C3867,CAT_NOME,0)),"Sem categoria"))</f>
        <v/>
      </c>
      <c r="F3867" s="76" t="n"/>
      <c r="G3867" s="74" t="n"/>
      <c r="H3867" s="74" t="n"/>
      <c r="I3867" s="74" t="n"/>
      <c r="J3867" s="77" t="n"/>
      <c r="K3867" s="77" t="n"/>
      <c r="L3867" s="74" t="n"/>
      <c r="M3867" s="74" t="n"/>
      <c r="O3867" s="78">
        <f>IF($A3867="","",YEAR($A3867)*100+MONTH($A3867))</f>
        <v/>
      </c>
      <c r="P3867" s="79">
        <f>IF(OR($F3867="",$D3867=""),"",IF($D3867="Receita",$F3867,IF($D3867="Transferência",0,-$F3867)))</f>
        <v/>
      </c>
    </row>
    <row r="3868">
      <c r="A3868" s="73" t="n"/>
      <c r="B3868" s="74" t="n"/>
      <c r="C3868" s="74" t="n"/>
      <c r="D3868" s="75">
        <f>IF($C3868="","",IFERROR(INDEX(CAT_TIPO,MATCH($C3868,CAT_NOME,0)),"Sem categoria"))</f>
        <v/>
      </c>
      <c r="E3868" s="75">
        <f>IF($C3868="","",IFERROR(INDEX(CAT_GRUPO,MATCH($C3868,CAT_NOME,0)),"Sem categoria"))</f>
        <v/>
      </c>
      <c r="F3868" s="76" t="n"/>
      <c r="G3868" s="74" t="n"/>
      <c r="H3868" s="74" t="n"/>
      <c r="I3868" s="74" t="n"/>
      <c r="J3868" s="77" t="n"/>
      <c r="K3868" s="77" t="n"/>
      <c r="L3868" s="74" t="n"/>
      <c r="M3868" s="74" t="n"/>
      <c r="O3868" s="78">
        <f>IF($A3868="","",YEAR($A3868)*100+MONTH($A3868))</f>
        <v/>
      </c>
      <c r="P3868" s="79">
        <f>IF(OR($F3868="",$D3868=""),"",IF($D3868="Receita",$F3868,IF($D3868="Transferência",0,-$F3868)))</f>
        <v/>
      </c>
    </row>
    <row r="3869">
      <c r="A3869" s="73" t="n"/>
      <c r="B3869" s="74" t="n"/>
      <c r="C3869" s="74" t="n"/>
      <c r="D3869" s="75">
        <f>IF($C3869="","",IFERROR(INDEX(CAT_TIPO,MATCH($C3869,CAT_NOME,0)),"Sem categoria"))</f>
        <v/>
      </c>
      <c r="E3869" s="75">
        <f>IF($C3869="","",IFERROR(INDEX(CAT_GRUPO,MATCH($C3869,CAT_NOME,0)),"Sem categoria"))</f>
        <v/>
      </c>
      <c r="F3869" s="76" t="n"/>
      <c r="G3869" s="74" t="n"/>
      <c r="H3869" s="74" t="n"/>
      <c r="I3869" s="74" t="n"/>
      <c r="J3869" s="77" t="n"/>
      <c r="K3869" s="77" t="n"/>
      <c r="L3869" s="74" t="n"/>
      <c r="M3869" s="74" t="n"/>
      <c r="O3869" s="78">
        <f>IF($A3869="","",YEAR($A3869)*100+MONTH($A3869))</f>
        <v/>
      </c>
      <c r="P3869" s="79">
        <f>IF(OR($F3869="",$D3869=""),"",IF($D3869="Receita",$F3869,IF($D3869="Transferência",0,-$F3869)))</f>
        <v/>
      </c>
    </row>
    <row r="3870">
      <c r="A3870" s="73" t="n"/>
      <c r="B3870" s="74" t="n"/>
      <c r="C3870" s="74" t="n"/>
      <c r="D3870" s="75">
        <f>IF($C3870="","",IFERROR(INDEX(CAT_TIPO,MATCH($C3870,CAT_NOME,0)),"Sem categoria"))</f>
        <v/>
      </c>
      <c r="E3870" s="75">
        <f>IF($C3870="","",IFERROR(INDEX(CAT_GRUPO,MATCH($C3870,CAT_NOME,0)),"Sem categoria"))</f>
        <v/>
      </c>
      <c r="F3870" s="76" t="n"/>
      <c r="G3870" s="74" t="n"/>
      <c r="H3870" s="74" t="n"/>
      <c r="I3870" s="74" t="n"/>
      <c r="J3870" s="77" t="n"/>
      <c r="K3870" s="77" t="n"/>
      <c r="L3870" s="74" t="n"/>
      <c r="M3870" s="74" t="n"/>
      <c r="O3870" s="78">
        <f>IF($A3870="","",YEAR($A3870)*100+MONTH($A3870))</f>
        <v/>
      </c>
      <c r="P3870" s="79">
        <f>IF(OR($F3870="",$D3870=""),"",IF($D3870="Receita",$F3870,IF($D3870="Transferência",0,-$F3870)))</f>
        <v/>
      </c>
    </row>
    <row r="3871">
      <c r="A3871" s="73" t="n"/>
      <c r="B3871" s="74" t="n"/>
      <c r="C3871" s="74" t="n"/>
      <c r="D3871" s="75">
        <f>IF($C3871="","",IFERROR(INDEX(CAT_TIPO,MATCH($C3871,CAT_NOME,0)),"Sem categoria"))</f>
        <v/>
      </c>
      <c r="E3871" s="75">
        <f>IF($C3871="","",IFERROR(INDEX(CAT_GRUPO,MATCH($C3871,CAT_NOME,0)),"Sem categoria"))</f>
        <v/>
      </c>
      <c r="F3871" s="76" t="n"/>
      <c r="G3871" s="74" t="n"/>
      <c r="H3871" s="74" t="n"/>
      <c r="I3871" s="74" t="n"/>
      <c r="J3871" s="77" t="n"/>
      <c r="K3871" s="77" t="n"/>
      <c r="L3871" s="74" t="n"/>
      <c r="M3871" s="74" t="n"/>
      <c r="O3871" s="78">
        <f>IF($A3871="","",YEAR($A3871)*100+MONTH($A3871))</f>
        <v/>
      </c>
      <c r="P3871" s="79">
        <f>IF(OR($F3871="",$D3871=""),"",IF($D3871="Receita",$F3871,IF($D3871="Transferência",0,-$F3871)))</f>
        <v/>
      </c>
    </row>
    <row r="3872">
      <c r="A3872" s="73" t="n"/>
      <c r="B3872" s="74" t="n"/>
      <c r="C3872" s="74" t="n"/>
      <c r="D3872" s="75">
        <f>IF($C3872="","",IFERROR(INDEX(CAT_TIPO,MATCH($C3872,CAT_NOME,0)),"Sem categoria"))</f>
        <v/>
      </c>
      <c r="E3872" s="75">
        <f>IF($C3872="","",IFERROR(INDEX(CAT_GRUPO,MATCH($C3872,CAT_NOME,0)),"Sem categoria"))</f>
        <v/>
      </c>
      <c r="F3872" s="76" t="n"/>
      <c r="G3872" s="74" t="n"/>
      <c r="H3872" s="74" t="n"/>
      <c r="I3872" s="74" t="n"/>
      <c r="J3872" s="77" t="n"/>
      <c r="K3872" s="77" t="n"/>
      <c r="L3872" s="74" t="n"/>
      <c r="M3872" s="74" t="n"/>
      <c r="O3872" s="78">
        <f>IF($A3872="","",YEAR($A3872)*100+MONTH($A3872))</f>
        <v/>
      </c>
      <c r="P3872" s="79">
        <f>IF(OR($F3872="",$D3872=""),"",IF($D3872="Receita",$F3872,IF($D3872="Transferência",0,-$F3872)))</f>
        <v/>
      </c>
    </row>
    <row r="3873">
      <c r="A3873" s="73" t="n"/>
      <c r="B3873" s="74" t="n"/>
      <c r="C3873" s="74" t="n"/>
      <c r="D3873" s="75">
        <f>IF($C3873="","",IFERROR(INDEX(CAT_TIPO,MATCH($C3873,CAT_NOME,0)),"Sem categoria"))</f>
        <v/>
      </c>
      <c r="E3873" s="75">
        <f>IF($C3873="","",IFERROR(INDEX(CAT_GRUPO,MATCH($C3873,CAT_NOME,0)),"Sem categoria"))</f>
        <v/>
      </c>
      <c r="F3873" s="76" t="n"/>
      <c r="G3873" s="74" t="n"/>
      <c r="H3873" s="74" t="n"/>
      <c r="I3873" s="74" t="n"/>
      <c r="J3873" s="77" t="n"/>
      <c r="K3873" s="77" t="n"/>
      <c r="L3873" s="74" t="n"/>
      <c r="M3873" s="74" t="n"/>
      <c r="O3873" s="78">
        <f>IF($A3873="","",YEAR($A3873)*100+MONTH($A3873))</f>
        <v/>
      </c>
      <c r="P3873" s="79">
        <f>IF(OR($F3873="",$D3873=""),"",IF($D3873="Receita",$F3873,IF($D3873="Transferência",0,-$F3873)))</f>
        <v/>
      </c>
    </row>
    <row r="3874">
      <c r="A3874" s="73" t="n"/>
      <c r="B3874" s="74" t="n"/>
      <c r="C3874" s="74" t="n"/>
      <c r="D3874" s="75">
        <f>IF($C3874="","",IFERROR(INDEX(CAT_TIPO,MATCH($C3874,CAT_NOME,0)),"Sem categoria"))</f>
        <v/>
      </c>
      <c r="E3874" s="75">
        <f>IF($C3874="","",IFERROR(INDEX(CAT_GRUPO,MATCH($C3874,CAT_NOME,0)),"Sem categoria"))</f>
        <v/>
      </c>
      <c r="F3874" s="76" t="n"/>
      <c r="G3874" s="74" t="n"/>
      <c r="H3874" s="74" t="n"/>
      <c r="I3874" s="74" t="n"/>
      <c r="J3874" s="77" t="n"/>
      <c r="K3874" s="77" t="n"/>
      <c r="L3874" s="74" t="n"/>
      <c r="M3874" s="74" t="n"/>
      <c r="O3874" s="78">
        <f>IF($A3874="","",YEAR($A3874)*100+MONTH($A3874))</f>
        <v/>
      </c>
      <c r="P3874" s="79">
        <f>IF(OR($F3874="",$D3874=""),"",IF($D3874="Receita",$F3874,IF($D3874="Transferência",0,-$F3874)))</f>
        <v/>
      </c>
    </row>
    <row r="3875">
      <c r="A3875" s="73" t="n"/>
      <c r="B3875" s="74" t="n"/>
      <c r="C3875" s="74" t="n"/>
      <c r="D3875" s="75">
        <f>IF($C3875="","",IFERROR(INDEX(CAT_TIPO,MATCH($C3875,CAT_NOME,0)),"Sem categoria"))</f>
        <v/>
      </c>
      <c r="E3875" s="75">
        <f>IF($C3875="","",IFERROR(INDEX(CAT_GRUPO,MATCH($C3875,CAT_NOME,0)),"Sem categoria"))</f>
        <v/>
      </c>
      <c r="F3875" s="76" t="n"/>
      <c r="G3875" s="74" t="n"/>
      <c r="H3875" s="74" t="n"/>
      <c r="I3875" s="74" t="n"/>
      <c r="J3875" s="77" t="n"/>
      <c r="K3875" s="77" t="n"/>
      <c r="L3875" s="74" t="n"/>
      <c r="M3875" s="74" t="n"/>
      <c r="O3875" s="78">
        <f>IF($A3875="","",YEAR($A3875)*100+MONTH($A3875))</f>
        <v/>
      </c>
      <c r="P3875" s="79">
        <f>IF(OR($F3875="",$D3875=""),"",IF($D3875="Receita",$F3875,IF($D3875="Transferência",0,-$F3875)))</f>
        <v/>
      </c>
    </row>
    <row r="3876">
      <c r="A3876" s="73" t="n"/>
      <c r="B3876" s="74" t="n"/>
      <c r="C3876" s="74" t="n"/>
      <c r="D3876" s="75">
        <f>IF($C3876="","",IFERROR(INDEX(CAT_TIPO,MATCH($C3876,CAT_NOME,0)),"Sem categoria"))</f>
        <v/>
      </c>
      <c r="E3876" s="75">
        <f>IF($C3876="","",IFERROR(INDEX(CAT_GRUPO,MATCH($C3876,CAT_NOME,0)),"Sem categoria"))</f>
        <v/>
      </c>
      <c r="F3876" s="76" t="n"/>
      <c r="G3876" s="74" t="n"/>
      <c r="H3876" s="74" t="n"/>
      <c r="I3876" s="74" t="n"/>
      <c r="J3876" s="77" t="n"/>
      <c r="K3876" s="77" t="n"/>
      <c r="L3876" s="74" t="n"/>
      <c r="M3876" s="74" t="n"/>
      <c r="O3876" s="78">
        <f>IF($A3876="","",YEAR($A3876)*100+MONTH($A3876))</f>
        <v/>
      </c>
      <c r="P3876" s="79">
        <f>IF(OR($F3876="",$D3876=""),"",IF($D3876="Receita",$F3876,IF($D3876="Transferência",0,-$F3876)))</f>
        <v/>
      </c>
    </row>
    <row r="3877">
      <c r="A3877" s="73" t="n"/>
      <c r="B3877" s="74" t="n"/>
      <c r="C3877" s="74" t="n"/>
      <c r="D3877" s="75">
        <f>IF($C3877="","",IFERROR(INDEX(CAT_TIPO,MATCH($C3877,CAT_NOME,0)),"Sem categoria"))</f>
        <v/>
      </c>
      <c r="E3877" s="75">
        <f>IF($C3877="","",IFERROR(INDEX(CAT_GRUPO,MATCH($C3877,CAT_NOME,0)),"Sem categoria"))</f>
        <v/>
      </c>
      <c r="F3877" s="76" t="n"/>
      <c r="G3877" s="74" t="n"/>
      <c r="H3877" s="74" t="n"/>
      <c r="I3877" s="74" t="n"/>
      <c r="J3877" s="77" t="n"/>
      <c r="K3877" s="77" t="n"/>
      <c r="L3877" s="74" t="n"/>
      <c r="M3877" s="74" t="n"/>
      <c r="O3877" s="78">
        <f>IF($A3877="","",YEAR($A3877)*100+MONTH($A3877))</f>
        <v/>
      </c>
      <c r="P3877" s="79">
        <f>IF(OR($F3877="",$D3877=""),"",IF($D3877="Receita",$F3877,IF($D3877="Transferência",0,-$F3877)))</f>
        <v/>
      </c>
    </row>
    <row r="3878">
      <c r="A3878" s="73" t="n"/>
      <c r="B3878" s="74" t="n"/>
      <c r="C3878" s="74" t="n"/>
      <c r="D3878" s="75">
        <f>IF($C3878="","",IFERROR(INDEX(CAT_TIPO,MATCH($C3878,CAT_NOME,0)),"Sem categoria"))</f>
        <v/>
      </c>
      <c r="E3878" s="75">
        <f>IF($C3878="","",IFERROR(INDEX(CAT_GRUPO,MATCH($C3878,CAT_NOME,0)),"Sem categoria"))</f>
        <v/>
      </c>
      <c r="F3878" s="76" t="n"/>
      <c r="G3878" s="74" t="n"/>
      <c r="H3878" s="74" t="n"/>
      <c r="I3878" s="74" t="n"/>
      <c r="J3878" s="77" t="n"/>
      <c r="K3878" s="77" t="n"/>
      <c r="L3878" s="74" t="n"/>
      <c r="M3878" s="74" t="n"/>
      <c r="O3878" s="78">
        <f>IF($A3878="","",YEAR($A3878)*100+MONTH($A3878))</f>
        <v/>
      </c>
      <c r="P3878" s="79">
        <f>IF(OR($F3878="",$D3878=""),"",IF($D3878="Receita",$F3878,IF($D3878="Transferência",0,-$F3878)))</f>
        <v/>
      </c>
    </row>
    <row r="3879">
      <c r="A3879" s="73" t="n"/>
      <c r="B3879" s="74" t="n"/>
      <c r="C3879" s="74" t="n"/>
      <c r="D3879" s="75">
        <f>IF($C3879="","",IFERROR(INDEX(CAT_TIPO,MATCH($C3879,CAT_NOME,0)),"Sem categoria"))</f>
        <v/>
      </c>
      <c r="E3879" s="75">
        <f>IF($C3879="","",IFERROR(INDEX(CAT_GRUPO,MATCH($C3879,CAT_NOME,0)),"Sem categoria"))</f>
        <v/>
      </c>
      <c r="F3879" s="76" t="n"/>
      <c r="G3879" s="74" t="n"/>
      <c r="H3879" s="74" t="n"/>
      <c r="I3879" s="74" t="n"/>
      <c r="J3879" s="77" t="n"/>
      <c r="K3879" s="77" t="n"/>
      <c r="L3879" s="74" t="n"/>
      <c r="M3879" s="74" t="n"/>
      <c r="O3879" s="78">
        <f>IF($A3879="","",YEAR($A3879)*100+MONTH($A3879))</f>
        <v/>
      </c>
      <c r="P3879" s="79">
        <f>IF(OR($F3879="",$D3879=""),"",IF($D3879="Receita",$F3879,IF($D3879="Transferência",0,-$F3879)))</f>
        <v/>
      </c>
    </row>
    <row r="3880">
      <c r="A3880" s="73" t="n"/>
      <c r="B3880" s="74" t="n"/>
      <c r="C3880" s="74" t="n"/>
      <c r="D3880" s="75">
        <f>IF($C3880="","",IFERROR(INDEX(CAT_TIPO,MATCH($C3880,CAT_NOME,0)),"Sem categoria"))</f>
        <v/>
      </c>
      <c r="E3880" s="75">
        <f>IF($C3880="","",IFERROR(INDEX(CAT_GRUPO,MATCH($C3880,CAT_NOME,0)),"Sem categoria"))</f>
        <v/>
      </c>
      <c r="F3880" s="76" t="n"/>
      <c r="G3880" s="74" t="n"/>
      <c r="H3880" s="74" t="n"/>
      <c r="I3880" s="74" t="n"/>
      <c r="J3880" s="77" t="n"/>
      <c r="K3880" s="77" t="n"/>
      <c r="L3880" s="74" t="n"/>
      <c r="M3880" s="74" t="n"/>
      <c r="O3880" s="78">
        <f>IF($A3880="","",YEAR($A3880)*100+MONTH($A3880))</f>
        <v/>
      </c>
      <c r="P3880" s="79">
        <f>IF(OR($F3880="",$D3880=""),"",IF($D3880="Receita",$F3880,IF($D3880="Transferência",0,-$F3880)))</f>
        <v/>
      </c>
    </row>
    <row r="3881">
      <c r="A3881" s="73" t="n"/>
      <c r="B3881" s="74" t="n"/>
      <c r="C3881" s="74" t="n"/>
      <c r="D3881" s="75">
        <f>IF($C3881="","",IFERROR(INDEX(CAT_TIPO,MATCH($C3881,CAT_NOME,0)),"Sem categoria"))</f>
        <v/>
      </c>
      <c r="E3881" s="75">
        <f>IF($C3881="","",IFERROR(INDEX(CAT_GRUPO,MATCH($C3881,CAT_NOME,0)),"Sem categoria"))</f>
        <v/>
      </c>
      <c r="F3881" s="76" t="n"/>
      <c r="G3881" s="74" t="n"/>
      <c r="H3881" s="74" t="n"/>
      <c r="I3881" s="74" t="n"/>
      <c r="J3881" s="77" t="n"/>
      <c r="K3881" s="77" t="n"/>
      <c r="L3881" s="74" t="n"/>
      <c r="M3881" s="74" t="n"/>
      <c r="O3881" s="78">
        <f>IF($A3881="","",YEAR($A3881)*100+MONTH($A3881))</f>
        <v/>
      </c>
      <c r="P3881" s="79">
        <f>IF(OR($F3881="",$D3881=""),"",IF($D3881="Receita",$F3881,IF($D3881="Transferência",0,-$F3881)))</f>
        <v/>
      </c>
    </row>
    <row r="3882">
      <c r="A3882" s="73" t="n"/>
      <c r="B3882" s="74" t="n"/>
      <c r="C3882" s="74" t="n"/>
      <c r="D3882" s="75">
        <f>IF($C3882="","",IFERROR(INDEX(CAT_TIPO,MATCH($C3882,CAT_NOME,0)),"Sem categoria"))</f>
        <v/>
      </c>
      <c r="E3882" s="75">
        <f>IF($C3882="","",IFERROR(INDEX(CAT_GRUPO,MATCH($C3882,CAT_NOME,0)),"Sem categoria"))</f>
        <v/>
      </c>
      <c r="F3882" s="76" t="n"/>
      <c r="G3882" s="74" t="n"/>
      <c r="H3882" s="74" t="n"/>
      <c r="I3882" s="74" t="n"/>
      <c r="J3882" s="77" t="n"/>
      <c r="K3882" s="77" t="n"/>
      <c r="L3882" s="74" t="n"/>
      <c r="M3882" s="74" t="n"/>
      <c r="O3882" s="78">
        <f>IF($A3882="","",YEAR($A3882)*100+MONTH($A3882))</f>
        <v/>
      </c>
      <c r="P3882" s="79">
        <f>IF(OR($F3882="",$D3882=""),"",IF($D3882="Receita",$F3882,IF($D3882="Transferência",0,-$F3882)))</f>
        <v/>
      </c>
    </row>
    <row r="3883">
      <c r="A3883" s="73" t="n"/>
      <c r="B3883" s="74" t="n"/>
      <c r="C3883" s="74" t="n"/>
      <c r="D3883" s="75">
        <f>IF($C3883="","",IFERROR(INDEX(CAT_TIPO,MATCH($C3883,CAT_NOME,0)),"Sem categoria"))</f>
        <v/>
      </c>
      <c r="E3883" s="75">
        <f>IF($C3883="","",IFERROR(INDEX(CAT_GRUPO,MATCH($C3883,CAT_NOME,0)),"Sem categoria"))</f>
        <v/>
      </c>
      <c r="F3883" s="76" t="n"/>
      <c r="G3883" s="74" t="n"/>
      <c r="H3883" s="74" t="n"/>
      <c r="I3883" s="74" t="n"/>
      <c r="J3883" s="77" t="n"/>
      <c r="K3883" s="77" t="n"/>
      <c r="L3883" s="74" t="n"/>
      <c r="M3883" s="74" t="n"/>
      <c r="O3883" s="78">
        <f>IF($A3883="","",YEAR($A3883)*100+MONTH($A3883))</f>
        <v/>
      </c>
      <c r="P3883" s="79">
        <f>IF(OR($F3883="",$D3883=""),"",IF($D3883="Receita",$F3883,IF($D3883="Transferência",0,-$F3883)))</f>
        <v/>
      </c>
    </row>
    <row r="3884">
      <c r="A3884" s="73" t="n"/>
      <c r="B3884" s="74" t="n"/>
      <c r="C3884" s="74" t="n"/>
      <c r="D3884" s="75">
        <f>IF($C3884="","",IFERROR(INDEX(CAT_TIPO,MATCH($C3884,CAT_NOME,0)),"Sem categoria"))</f>
        <v/>
      </c>
      <c r="E3884" s="75">
        <f>IF($C3884="","",IFERROR(INDEX(CAT_GRUPO,MATCH($C3884,CAT_NOME,0)),"Sem categoria"))</f>
        <v/>
      </c>
      <c r="F3884" s="76" t="n"/>
      <c r="G3884" s="74" t="n"/>
      <c r="H3884" s="74" t="n"/>
      <c r="I3884" s="74" t="n"/>
      <c r="J3884" s="77" t="n"/>
      <c r="K3884" s="77" t="n"/>
      <c r="L3884" s="74" t="n"/>
      <c r="M3884" s="74" t="n"/>
      <c r="O3884" s="78">
        <f>IF($A3884="","",YEAR($A3884)*100+MONTH($A3884))</f>
        <v/>
      </c>
      <c r="P3884" s="79">
        <f>IF(OR($F3884="",$D3884=""),"",IF($D3884="Receita",$F3884,IF($D3884="Transferência",0,-$F3884)))</f>
        <v/>
      </c>
    </row>
    <row r="3885">
      <c r="A3885" s="73" t="n"/>
      <c r="B3885" s="74" t="n"/>
      <c r="C3885" s="74" t="n"/>
      <c r="D3885" s="75">
        <f>IF($C3885="","",IFERROR(INDEX(CAT_TIPO,MATCH($C3885,CAT_NOME,0)),"Sem categoria"))</f>
        <v/>
      </c>
      <c r="E3885" s="75">
        <f>IF($C3885="","",IFERROR(INDEX(CAT_GRUPO,MATCH($C3885,CAT_NOME,0)),"Sem categoria"))</f>
        <v/>
      </c>
      <c r="F3885" s="76" t="n"/>
      <c r="G3885" s="74" t="n"/>
      <c r="H3885" s="74" t="n"/>
      <c r="I3885" s="74" t="n"/>
      <c r="J3885" s="77" t="n"/>
      <c r="K3885" s="77" t="n"/>
      <c r="L3885" s="74" t="n"/>
      <c r="M3885" s="74" t="n"/>
      <c r="O3885" s="78">
        <f>IF($A3885="","",YEAR($A3885)*100+MONTH($A3885))</f>
        <v/>
      </c>
      <c r="P3885" s="79">
        <f>IF(OR($F3885="",$D3885=""),"",IF($D3885="Receita",$F3885,IF($D3885="Transferência",0,-$F3885)))</f>
        <v/>
      </c>
    </row>
    <row r="3886">
      <c r="A3886" s="73" t="n"/>
      <c r="B3886" s="74" t="n"/>
      <c r="C3886" s="74" t="n"/>
      <c r="D3886" s="75">
        <f>IF($C3886="","",IFERROR(INDEX(CAT_TIPO,MATCH($C3886,CAT_NOME,0)),"Sem categoria"))</f>
        <v/>
      </c>
      <c r="E3886" s="75">
        <f>IF($C3886="","",IFERROR(INDEX(CAT_GRUPO,MATCH($C3886,CAT_NOME,0)),"Sem categoria"))</f>
        <v/>
      </c>
      <c r="F3886" s="76" t="n"/>
      <c r="G3886" s="74" t="n"/>
      <c r="H3886" s="74" t="n"/>
      <c r="I3886" s="74" t="n"/>
      <c r="J3886" s="77" t="n"/>
      <c r="K3886" s="77" t="n"/>
      <c r="L3886" s="74" t="n"/>
      <c r="M3886" s="74" t="n"/>
      <c r="O3886" s="78">
        <f>IF($A3886="","",YEAR($A3886)*100+MONTH($A3886))</f>
        <v/>
      </c>
      <c r="P3886" s="79">
        <f>IF(OR($F3886="",$D3886=""),"",IF($D3886="Receita",$F3886,IF($D3886="Transferência",0,-$F3886)))</f>
        <v/>
      </c>
    </row>
    <row r="3887">
      <c r="A3887" s="73" t="n"/>
      <c r="B3887" s="74" t="n"/>
      <c r="C3887" s="74" t="n"/>
      <c r="D3887" s="75">
        <f>IF($C3887="","",IFERROR(INDEX(CAT_TIPO,MATCH($C3887,CAT_NOME,0)),"Sem categoria"))</f>
        <v/>
      </c>
      <c r="E3887" s="75">
        <f>IF($C3887="","",IFERROR(INDEX(CAT_GRUPO,MATCH($C3887,CAT_NOME,0)),"Sem categoria"))</f>
        <v/>
      </c>
      <c r="F3887" s="76" t="n"/>
      <c r="G3887" s="74" t="n"/>
      <c r="H3887" s="74" t="n"/>
      <c r="I3887" s="74" t="n"/>
      <c r="J3887" s="77" t="n"/>
      <c r="K3887" s="77" t="n"/>
      <c r="L3887" s="74" t="n"/>
      <c r="M3887" s="74" t="n"/>
      <c r="O3887" s="78">
        <f>IF($A3887="","",YEAR($A3887)*100+MONTH($A3887))</f>
        <v/>
      </c>
      <c r="P3887" s="79">
        <f>IF(OR($F3887="",$D3887=""),"",IF($D3887="Receita",$F3887,IF($D3887="Transferência",0,-$F3887)))</f>
        <v/>
      </c>
    </row>
    <row r="3888">
      <c r="A3888" s="73" t="n"/>
      <c r="B3888" s="74" t="n"/>
      <c r="C3888" s="74" t="n"/>
      <c r="D3888" s="75">
        <f>IF($C3888="","",IFERROR(INDEX(CAT_TIPO,MATCH($C3888,CAT_NOME,0)),"Sem categoria"))</f>
        <v/>
      </c>
      <c r="E3888" s="75">
        <f>IF($C3888="","",IFERROR(INDEX(CAT_GRUPO,MATCH($C3888,CAT_NOME,0)),"Sem categoria"))</f>
        <v/>
      </c>
      <c r="F3888" s="76" t="n"/>
      <c r="G3888" s="74" t="n"/>
      <c r="H3888" s="74" t="n"/>
      <c r="I3888" s="74" t="n"/>
      <c r="J3888" s="77" t="n"/>
      <c r="K3888" s="77" t="n"/>
      <c r="L3888" s="74" t="n"/>
      <c r="M3888" s="74" t="n"/>
      <c r="O3888" s="78">
        <f>IF($A3888="","",YEAR($A3888)*100+MONTH($A3888))</f>
        <v/>
      </c>
      <c r="P3888" s="79">
        <f>IF(OR($F3888="",$D3888=""),"",IF($D3888="Receita",$F3888,IF($D3888="Transferência",0,-$F3888)))</f>
        <v/>
      </c>
    </row>
    <row r="3889">
      <c r="A3889" s="73" t="n"/>
      <c r="B3889" s="74" t="n"/>
      <c r="C3889" s="74" t="n"/>
      <c r="D3889" s="75">
        <f>IF($C3889="","",IFERROR(INDEX(CAT_TIPO,MATCH($C3889,CAT_NOME,0)),"Sem categoria"))</f>
        <v/>
      </c>
      <c r="E3889" s="75">
        <f>IF($C3889="","",IFERROR(INDEX(CAT_GRUPO,MATCH($C3889,CAT_NOME,0)),"Sem categoria"))</f>
        <v/>
      </c>
      <c r="F3889" s="76" t="n"/>
      <c r="G3889" s="74" t="n"/>
      <c r="H3889" s="74" t="n"/>
      <c r="I3889" s="74" t="n"/>
      <c r="J3889" s="77" t="n"/>
      <c r="K3889" s="77" t="n"/>
      <c r="L3889" s="74" t="n"/>
      <c r="M3889" s="74" t="n"/>
      <c r="O3889" s="78">
        <f>IF($A3889="","",YEAR($A3889)*100+MONTH($A3889))</f>
        <v/>
      </c>
      <c r="P3889" s="79">
        <f>IF(OR($F3889="",$D3889=""),"",IF($D3889="Receita",$F3889,IF($D3889="Transferência",0,-$F3889)))</f>
        <v/>
      </c>
    </row>
    <row r="3890">
      <c r="A3890" s="73" t="n"/>
      <c r="B3890" s="74" t="n"/>
      <c r="C3890" s="74" t="n"/>
      <c r="D3890" s="75">
        <f>IF($C3890="","",IFERROR(INDEX(CAT_TIPO,MATCH($C3890,CAT_NOME,0)),"Sem categoria"))</f>
        <v/>
      </c>
      <c r="E3890" s="75">
        <f>IF($C3890="","",IFERROR(INDEX(CAT_GRUPO,MATCH($C3890,CAT_NOME,0)),"Sem categoria"))</f>
        <v/>
      </c>
      <c r="F3890" s="76" t="n"/>
      <c r="G3890" s="74" t="n"/>
      <c r="H3890" s="74" t="n"/>
      <c r="I3890" s="74" t="n"/>
      <c r="J3890" s="77" t="n"/>
      <c r="K3890" s="77" t="n"/>
      <c r="L3890" s="74" t="n"/>
      <c r="M3890" s="74" t="n"/>
      <c r="O3890" s="78">
        <f>IF($A3890="","",YEAR($A3890)*100+MONTH($A3890))</f>
        <v/>
      </c>
      <c r="P3890" s="79">
        <f>IF(OR($F3890="",$D3890=""),"",IF($D3890="Receita",$F3890,IF($D3890="Transferência",0,-$F3890)))</f>
        <v/>
      </c>
    </row>
    <row r="3891">
      <c r="A3891" s="73" t="n"/>
      <c r="B3891" s="74" t="n"/>
      <c r="C3891" s="74" t="n"/>
      <c r="D3891" s="75">
        <f>IF($C3891="","",IFERROR(INDEX(CAT_TIPO,MATCH($C3891,CAT_NOME,0)),"Sem categoria"))</f>
        <v/>
      </c>
      <c r="E3891" s="75">
        <f>IF($C3891="","",IFERROR(INDEX(CAT_GRUPO,MATCH($C3891,CAT_NOME,0)),"Sem categoria"))</f>
        <v/>
      </c>
      <c r="F3891" s="76" t="n"/>
      <c r="G3891" s="74" t="n"/>
      <c r="H3891" s="74" t="n"/>
      <c r="I3891" s="74" t="n"/>
      <c r="J3891" s="77" t="n"/>
      <c r="K3891" s="77" t="n"/>
      <c r="L3891" s="74" t="n"/>
      <c r="M3891" s="74" t="n"/>
      <c r="O3891" s="78">
        <f>IF($A3891="","",YEAR($A3891)*100+MONTH($A3891))</f>
        <v/>
      </c>
      <c r="P3891" s="79">
        <f>IF(OR($F3891="",$D3891=""),"",IF($D3891="Receita",$F3891,IF($D3891="Transferência",0,-$F3891)))</f>
        <v/>
      </c>
    </row>
    <row r="3892">
      <c r="A3892" s="73" t="n"/>
      <c r="B3892" s="74" t="n"/>
      <c r="C3892" s="74" t="n"/>
      <c r="D3892" s="75">
        <f>IF($C3892="","",IFERROR(INDEX(CAT_TIPO,MATCH($C3892,CAT_NOME,0)),"Sem categoria"))</f>
        <v/>
      </c>
      <c r="E3892" s="75">
        <f>IF($C3892="","",IFERROR(INDEX(CAT_GRUPO,MATCH($C3892,CAT_NOME,0)),"Sem categoria"))</f>
        <v/>
      </c>
      <c r="F3892" s="76" t="n"/>
      <c r="G3892" s="74" t="n"/>
      <c r="H3892" s="74" t="n"/>
      <c r="I3892" s="74" t="n"/>
      <c r="J3892" s="77" t="n"/>
      <c r="K3892" s="77" t="n"/>
      <c r="L3892" s="74" t="n"/>
      <c r="M3892" s="74" t="n"/>
      <c r="O3892" s="78">
        <f>IF($A3892="","",YEAR($A3892)*100+MONTH($A3892))</f>
        <v/>
      </c>
      <c r="P3892" s="79">
        <f>IF(OR($F3892="",$D3892=""),"",IF($D3892="Receita",$F3892,IF($D3892="Transferência",0,-$F3892)))</f>
        <v/>
      </c>
    </row>
    <row r="3893">
      <c r="A3893" s="73" t="n"/>
      <c r="B3893" s="74" t="n"/>
      <c r="C3893" s="74" t="n"/>
      <c r="D3893" s="75">
        <f>IF($C3893="","",IFERROR(INDEX(CAT_TIPO,MATCH($C3893,CAT_NOME,0)),"Sem categoria"))</f>
        <v/>
      </c>
      <c r="E3893" s="75">
        <f>IF($C3893="","",IFERROR(INDEX(CAT_GRUPO,MATCH($C3893,CAT_NOME,0)),"Sem categoria"))</f>
        <v/>
      </c>
      <c r="F3893" s="76" t="n"/>
      <c r="G3893" s="74" t="n"/>
      <c r="H3893" s="74" t="n"/>
      <c r="I3893" s="74" t="n"/>
      <c r="J3893" s="77" t="n"/>
      <c r="K3893" s="77" t="n"/>
      <c r="L3893" s="74" t="n"/>
      <c r="M3893" s="74" t="n"/>
      <c r="O3893" s="78">
        <f>IF($A3893="","",YEAR($A3893)*100+MONTH($A3893))</f>
        <v/>
      </c>
      <c r="P3893" s="79">
        <f>IF(OR($F3893="",$D3893=""),"",IF($D3893="Receita",$F3893,IF($D3893="Transferência",0,-$F3893)))</f>
        <v/>
      </c>
    </row>
    <row r="3894">
      <c r="A3894" s="73" t="n"/>
      <c r="B3894" s="74" t="n"/>
      <c r="C3894" s="74" t="n"/>
      <c r="D3894" s="75">
        <f>IF($C3894="","",IFERROR(INDEX(CAT_TIPO,MATCH($C3894,CAT_NOME,0)),"Sem categoria"))</f>
        <v/>
      </c>
      <c r="E3894" s="75">
        <f>IF($C3894="","",IFERROR(INDEX(CAT_GRUPO,MATCH($C3894,CAT_NOME,0)),"Sem categoria"))</f>
        <v/>
      </c>
      <c r="F3894" s="76" t="n"/>
      <c r="G3894" s="74" t="n"/>
      <c r="H3894" s="74" t="n"/>
      <c r="I3894" s="74" t="n"/>
      <c r="J3894" s="77" t="n"/>
      <c r="K3894" s="77" t="n"/>
      <c r="L3894" s="74" t="n"/>
      <c r="M3894" s="74" t="n"/>
      <c r="O3894" s="78">
        <f>IF($A3894="","",YEAR($A3894)*100+MONTH($A3894))</f>
        <v/>
      </c>
      <c r="P3894" s="79">
        <f>IF(OR($F3894="",$D3894=""),"",IF($D3894="Receita",$F3894,IF($D3894="Transferência",0,-$F3894)))</f>
        <v/>
      </c>
    </row>
    <row r="3895">
      <c r="A3895" s="73" t="n"/>
      <c r="B3895" s="74" t="n"/>
      <c r="C3895" s="74" t="n"/>
      <c r="D3895" s="75">
        <f>IF($C3895="","",IFERROR(INDEX(CAT_TIPO,MATCH($C3895,CAT_NOME,0)),"Sem categoria"))</f>
        <v/>
      </c>
      <c r="E3895" s="75">
        <f>IF($C3895="","",IFERROR(INDEX(CAT_GRUPO,MATCH($C3895,CAT_NOME,0)),"Sem categoria"))</f>
        <v/>
      </c>
      <c r="F3895" s="76" t="n"/>
      <c r="G3895" s="74" t="n"/>
      <c r="H3895" s="74" t="n"/>
      <c r="I3895" s="74" t="n"/>
      <c r="J3895" s="77" t="n"/>
      <c r="K3895" s="77" t="n"/>
      <c r="L3895" s="74" t="n"/>
      <c r="M3895" s="74" t="n"/>
      <c r="O3895" s="78">
        <f>IF($A3895="","",YEAR($A3895)*100+MONTH($A3895))</f>
        <v/>
      </c>
      <c r="P3895" s="79">
        <f>IF(OR($F3895="",$D3895=""),"",IF($D3895="Receita",$F3895,IF($D3895="Transferência",0,-$F3895)))</f>
        <v/>
      </c>
    </row>
    <row r="3896">
      <c r="A3896" s="73" t="n"/>
      <c r="B3896" s="74" t="n"/>
      <c r="C3896" s="74" t="n"/>
      <c r="D3896" s="75">
        <f>IF($C3896="","",IFERROR(INDEX(CAT_TIPO,MATCH($C3896,CAT_NOME,0)),"Sem categoria"))</f>
        <v/>
      </c>
      <c r="E3896" s="75">
        <f>IF($C3896="","",IFERROR(INDEX(CAT_GRUPO,MATCH($C3896,CAT_NOME,0)),"Sem categoria"))</f>
        <v/>
      </c>
      <c r="F3896" s="76" t="n"/>
      <c r="G3896" s="74" t="n"/>
      <c r="H3896" s="74" t="n"/>
      <c r="I3896" s="74" t="n"/>
      <c r="J3896" s="77" t="n"/>
      <c r="K3896" s="77" t="n"/>
      <c r="L3896" s="74" t="n"/>
      <c r="M3896" s="74" t="n"/>
      <c r="O3896" s="78">
        <f>IF($A3896="","",YEAR($A3896)*100+MONTH($A3896))</f>
        <v/>
      </c>
      <c r="P3896" s="79">
        <f>IF(OR($F3896="",$D3896=""),"",IF($D3896="Receita",$F3896,IF($D3896="Transferência",0,-$F3896)))</f>
        <v/>
      </c>
    </row>
    <row r="3897">
      <c r="A3897" s="73" t="n"/>
      <c r="B3897" s="74" t="n"/>
      <c r="C3897" s="74" t="n"/>
      <c r="D3897" s="75">
        <f>IF($C3897="","",IFERROR(INDEX(CAT_TIPO,MATCH($C3897,CAT_NOME,0)),"Sem categoria"))</f>
        <v/>
      </c>
      <c r="E3897" s="75">
        <f>IF($C3897="","",IFERROR(INDEX(CAT_GRUPO,MATCH($C3897,CAT_NOME,0)),"Sem categoria"))</f>
        <v/>
      </c>
      <c r="F3897" s="76" t="n"/>
      <c r="G3897" s="74" t="n"/>
      <c r="H3897" s="74" t="n"/>
      <c r="I3897" s="74" t="n"/>
      <c r="J3897" s="77" t="n"/>
      <c r="K3897" s="77" t="n"/>
      <c r="L3897" s="74" t="n"/>
      <c r="M3897" s="74" t="n"/>
      <c r="O3897" s="78">
        <f>IF($A3897="","",YEAR($A3897)*100+MONTH($A3897))</f>
        <v/>
      </c>
      <c r="P3897" s="79">
        <f>IF(OR($F3897="",$D3897=""),"",IF($D3897="Receita",$F3897,IF($D3897="Transferência",0,-$F3897)))</f>
        <v/>
      </c>
    </row>
    <row r="3898">
      <c r="A3898" s="73" t="n"/>
      <c r="B3898" s="74" t="n"/>
      <c r="C3898" s="74" t="n"/>
      <c r="D3898" s="75">
        <f>IF($C3898="","",IFERROR(INDEX(CAT_TIPO,MATCH($C3898,CAT_NOME,0)),"Sem categoria"))</f>
        <v/>
      </c>
      <c r="E3898" s="75">
        <f>IF($C3898="","",IFERROR(INDEX(CAT_GRUPO,MATCH($C3898,CAT_NOME,0)),"Sem categoria"))</f>
        <v/>
      </c>
      <c r="F3898" s="76" t="n"/>
      <c r="G3898" s="74" t="n"/>
      <c r="H3898" s="74" t="n"/>
      <c r="I3898" s="74" t="n"/>
      <c r="J3898" s="77" t="n"/>
      <c r="K3898" s="77" t="n"/>
      <c r="L3898" s="74" t="n"/>
      <c r="M3898" s="74" t="n"/>
      <c r="O3898" s="78">
        <f>IF($A3898="","",YEAR($A3898)*100+MONTH($A3898))</f>
        <v/>
      </c>
      <c r="P3898" s="79">
        <f>IF(OR($F3898="",$D3898=""),"",IF($D3898="Receita",$F3898,IF($D3898="Transferência",0,-$F3898)))</f>
        <v/>
      </c>
    </row>
    <row r="3899">
      <c r="A3899" s="73" t="n"/>
      <c r="B3899" s="74" t="n"/>
      <c r="C3899" s="74" t="n"/>
      <c r="D3899" s="75">
        <f>IF($C3899="","",IFERROR(INDEX(CAT_TIPO,MATCH($C3899,CAT_NOME,0)),"Sem categoria"))</f>
        <v/>
      </c>
      <c r="E3899" s="75">
        <f>IF($C3899="","",IFERROR(INDEX(CAT_GRUPO,MATCH($C3899,CAT_NOME,0)),"Sem categoria"))</f>
        <v/>
      </c>
      <c r="F3899" s="76" t="n"/>
      <c r="G3899" s="74" t="n"/>
      <c r="H3899" s="74" t="n"/>
      <c r="I3899" s="74" t="n"/>
      <c r="J3899" s="77" t="n"/>
      <c r="K3899" s="77" t="n"/>
      <c r="L3899" s="74" t="n"/>
      <c r="M3899" s="74" t="n"/>
      <c r="O3899" s="78">
        <f>IF($A3899="","",YEAR($A3899)*100+MONTH($A3899))</f>
        <v/>
      </c>
      <c r="P3899" s="79">
        <f>IF(OR($F3899="",$D3899=""),"",IF($D3899="Receita",$F3899,IF($D3899="Transferência",0,-$F3899)))</f>
        <v/>
      </c>
    </row>
    <row r="3900">
      <c r="A3900" s="73" t="n"/>
      <c r="B3900" s="74" t="n"/>
      <c r="C3900" s="74" t="n"/>
      <c r="D3900" s="75">
        <f>IF($C3900="","",IFERROR(INDEX(CAT_TIPO,MATCH($C3900,CAT_NOME,0)),"Sem categoria"))</f>
        <v/>
      </c>
      <c r="E3900" s="75">
        <f>IF($C3900="","",IFERROR(INDEX(CAT_GRUPO,MATCH($C3900,CAT_NOME,0)),"Sem categoria"))</f>
        <v/>
      </c>
      <c r="F3900" s="76" t="n"/>
      <c r="G3900" s="74" t="n"/>
      <c r="H3900" s="74" t="n"/>
      <c r="I3900" s="74" t="n"/>
      <c r="J3900" s="77" t="n"/>
      <c r="K3900" s="77" t="n"/>
      <c r="L3900" s="74" t="n"/>
      <c r="M3900" s="74" t="n"/>
      <c r="O3900" s="78">
        <f>IF($A3900="","",YEAR($A3900)*100+MONTH($A3900))</f>
        <v/>
      </c>
      <c r="P3900" s="79">
        <f>IF(OR($F3900="",$D3900=""),"",IF($D3900="Receita",$F3900,IF($D3900="Transferência",0,-$F3900)))</f>
        <v/>
      </c>
    </row>
    <row r="3901">
      <c r="A3901" s="73" t="n"/>
      <c r="B3901" s="74" t="n"/>
      <c r="C3901" s="74" t="n"/>
      <c r="D3901" s="75">
        <f>IF($C3901="","",IFERROR(INDEX(CAT_TIPO,MATCH($C3901,CAT_NOME,0)),"Sem categoria"))</f>
        <v/>
      </c>
      <c r="E3901" s="75">
        <f>IF($C3901="","",IFERROR(INDEX(CAT_GRUPO,MATCH($C3901,CAT_NOME,0)),"Sem categoria"))</f>
        <v/>
      </c>
      <c r="F3901" s="76" t="n"/>
      <c r="G3901" s="74" t="n"/>
      <c r="H3901" s="74" t="n"/>
      <c r="I3901" s="74" t="n"/>
      <c r="J3901" s="77" t="n"/>
      <c r="K3901" s="77" t="n"/>
      <c r="L3901" s="74" t="n"/>
      <c r="M3901" s="74" t="n"/>
      <c r="O3901" s="78">
        <f>IF($A3901="","",YEAR($A3901)*100+MONTH($A3901))</f>
        <v/>
      </c>
      <c r="P3901" s="79">
        <f>IF(OR($F3901="",$D3901=""),"",IF($D3901="Receita",$F3901,IF($D3901="Transferência",0,-$F3901)))</f>
        <v/>
      </c>
    </row>
    <row r="3902">
      <c r="A3902" s="73" t="n"/>
      <c r="B3902" s="74" t="n"/>
      <c r="C3902" s="74" t="n"/>
      <c r="D3902" s="75">
        <f>IF($C3902="","",IFERROR(INDEX(CAT_TIPO,MATCH($C3902,CAT_NOME,0)),"Sem categoria"))</f>
        <v/>
      </c>
      <c r="E3902" s="75">
        <f>IF($C3902="","",IFERROR(INDEX(CAT_GRUPO,MATCH($C3902,CAT_NOME,0)),"Sem categoria"))</f>
        <v/>
      </c>
      <c r="F3902" s="76" t="n"/>
      <c r="G3902" s="74" t="n"/>
      <c r="H3902" s="74" t="n"/>
      <c r="I3902" s="74" t="n"/>
      <c r="J3902" s="77" t="n"/>
      <c r="K3902" s="77" t="n"/>
      <c r="L3902" s="74" t="n"/>
      <c r="M3902" s="74" t="n"/>
      <c r="O3902" s="78">
        <f>IF($A3902="","",YEAR($A3902)*100+MONTH($A3902))</f>
        <v/>
      </c>
      <c r="P3902" s="79">
        <f>IF(OR($F3902="",$D3902=""),"",IF($D3902="Receita",$F3902,IF($D3902="Transferência",0,-$F3902)))</f>
        <v/>
      </c>
    </row>
    <row r="3903">
      <c r="A3903" s="73" t="n"/>
      <c r="B3903" s="74" t="n"/>
      <c r="C3903" s="74" t="n"/>
      <c r="D3903" s="75">
        <f>IF($C3903="","",IFERROR(INDEX(CAT_TIPO,MATCH($C3903,CAT_NOME,0)),"Sem categoria"))</f>
        <v/>
      </c>
      <c r="E3903" s="75">
        <f>IF($C3903="","",IFERROR(INDEX(CAT_GRUPO,MATCH($C3903,CAT_NOME,0)),"Sem categoria"))</f>
        <v/>
      </c>
      <c r="F3903" s="76" t="n"/>
      <c r="G3903" s="74" t="n"/>
      <c r="H3903" s="74" t="n"/>
      <c r="I3903" s="74" t="n"/>
      <c r="J3903" s="77" t="n"/>
      <c r="K3903" s="77" t="n"/>
      <c r="L3903" s="74" t="n"/>
      <c r="M3903" s="74" t="n"/>
      <c r="O3903" s="78">
        <f>IF($A3903="","",YEAR($A3903)*100+MONTH($A3903))</f>
        <v/>
      </c>
      <c r="P3903" s="79">
        <f>IF(OR($F3903="",$D3903=""),"",IF($D3903="Receita",$F3903,IF($D3903="Transferência",0,-$F3903)))</f>
        <v/>
      </c>
    </row>
    <row r="3904">
      <c r="A3904" s="73" t="n"/>
      <c r="B3904" s="74" t="n"/>
      <c r="C3904" s="74" t="n"/>
      <c r="D3904" s="75">
        <f>IF($C3904="","",IFERROR(INDEX(CAT_TIPO,MATCH($C3904,CAT_NOME,0)),"Sem categoria"))</f>
        <v/>
      </c>
      <c r="E3904" s="75">
        <f>IF($C3904="","",IFERROR(INDEX(CAT_GRUPO,MATCH($C3904,CAT_NOME,0)),"Sem categoria"))</f>
        <v/>
      </c>
      <c r="F3904" s="76" t="n"/>
      <c r="G3904" s="74" t="n"/>
      <c r="H3904" s="74" t="n"/>
      <c r="I3904" s="74" t="n"/>
      <c r="J3904" s="77" t="n"/>
      <c r="K3904" s="77" t="n"/>
      <c r="L3904" s="74" t="n"/>
      <c r="M3904" s="74" t="n"/>
      <c r="O3904" s="78">
        <f>IF($A3904="","",YEAR($A3904)*100+MONTH($A3904))</f>
        <v/>
      </c>
      <c r="P3904" s="79">
        <f>IF(OR($F3904="",$D3904=""),"",IF($D3904="Receita",$F3904,IF($D3904="Transferência",0,-$F3904)))</f>
        <v/>
      </c>
    </row>
    <row r="3905">
      <c r="A3905" s="73" t="n"/>
      <c r="B3905" s="74" t="n"/>
      <c r="C3905" s="74" t="n"/>
      <c r="D3905" s="75">
        <f>IF($C3905="","",IFERROR(INDEX(CAT_TIPO,MATCH($C3905,CAT_NOME,0)),"Sem categoria"))</f>
        <v/>
      </c>
      <c r="E3905" s="75">
        <f>IF($C3905="","",IFERROR(INDEX(CAT_GRUPO,MATCH($C3905,CAT_NOME,0)),"Sem categoria"))</f>
        <v/>
      </c>
      <c r="F3905" s="76" t="n"/>
      <c r="G3905" s="74" t="n"/>
      <c r="H3905" s="74" t="n"/>
      <c r="I3905" s="74" t="n"/>
      <c r="J3905" s="77" t="n"/>
      <c r="K3905" s="77" t="n"/>
      <c r="L3905" s="74" t="n"/>
      <c r="M3905" s="74" t="n"/>
      <c r="O3905" s="78">
        <f>IF($A3905="","",YEAR($A3905)*100+MONTH($A3905))</f>
        <v/>
      </c>
      <c r="P3905" s="79">
        <f>IF(OR($F3905="",$D3905=""),"",IF($D3905="Receita",$F3905,IF($D3905="Transferência",0,-$F3905)))</f>
        <v/>
      </c>
    </row>
    <row r="3906">
      <c r="A3906" s="73" t="n"/>
      <c r="B3906" s="74" t="n"/>
      <c r="C3906" s="74" t="n"/>
      <c r="D3906" s="75">
        <f>IF($C3906="","",IFERROR(INDEX(CAT_TIPO,MATCH($C3906,CAT_NOME,0)),"Sem categoria"))</f>
        <v/>
      </c>
      <c r="E3906" s="75">
        <f>IF($C3906="","",IFERROR(INDEX(CAT_GRUPO,MATCH($C3906,CAT_NOME,0)),"Sem categoria"))</f>
        <v/>
      </c>
      <c r="F3906" s="76" t="n"/>
      <c r="G3906" s="74" t="n"/>
      <c r="H3906" s="74" t="n"/>
      <c r="I3906" s="74" t="n"/>
      <c r="J3906" s="77" t="n"/>
      <c r="K3906" s="77" t="n"/>
      <c r="L3906" s="74" t="n"/>
      <c r="M3906" s="74" t="n"/>
      <c r="O3906" s="78">
        <f>IF($A3906="","",YEAR($A3906)*100+MONTH($A3906))</f>
        <v/>
      </c>
      <c r="P3906" s="79">
        <f>IF(OR($F3906="",$D3906=""),"",IF($D3906="Receita",$F3906,IF($D3906="Transferência",0,-$F3906)))</f>
        <v/>
      </c>
    </row>
    <row r="3907">
      <c r="A3907" s="73" t="n"/>
      <c r="B3907" s="74" t="n"/>
      <c r="C3907" s="74" t="n"/>
      <c r="D3907" s="75">
        <f>IF($C3907="","",IFERROR(INDEX(CAT_TIPO,MATCH($C3907,CAT_NOME,0)),"Sem categoria"))</f>
        <v/>
      </c>
      <c r="E3907" s="75">
        <f>IF($C3907="","",IFERROR(INDEX(CAT_GRUPO,MATCH($C3907,CAT_NOME,0)),"Sem categoria"))</f>
        <v/>
      </c>
      <c r="F3907" s="76" t="n"/>
      <c r="G3907" s="74" t="n"/>
      <c r="H3907" s="74" t="n"/>
      <c r="I3907" s="74" t="n"/>
      <c r="J3907" s="77" t="n"/>
      <c r="K3907" s="77" t="n"/>
      <c r="L3907" s="74" t="n"/>
      <c r="M3907" s="74" t="n"/>
      <c r="O3907" s="78">
        <f>IF($A3907="","",YEAR($A3907)*100+MONTH($A3907))</f>
        <v/>
      </c>
      <c r="P3907" s="79">
        <f>IF(OR($F3907="",$D3907=""),"",IF($D3907="Receita",$F3907,IF($D3907="Transferência",0,-$F3907)))</f>
        <v/>
      </c>
    </row>
    <row r="3908">
      <c r="A3908" s="73" t="n"/>
      <c r="B3908" s="74" t="n"/>
      <c r="C3908" s="74" t="n"/>
      <c r="D3908" s="75">
        <f>IF($C3908="","",IFERROR(INDEX(CAT_TIPO,MATCH($C3908,CAT_NOME,0)),"Sem categoria"))</f>
        <v/>
      </c>
      <c r="E3908" s="75">
        <f>IF($C3908="","",IFERROR(INDEX(CAT_GRUPO,MATCH($C3908,CAT_NOME,0)),"Sem categoria"))</f>
        <v/>
      </c>
      <c r="F3908" s="76" t="n"/>
      <c r="G3908" s="74" t="n"/>
      <c r="H3908" s="74" t="n"/>
      <c r="I3908" s="74" t="n"/>
      <c r="J3908" s="77" t="n"/>
      <c r="K3908" s="77" t="n"/>
      <c r="L3908" s="74" t="n"/>
      <c r="M3908" s="74" t="n"/>
      <c r="O3908" s="78">
        <f>IF($A3908="","",YEAR($A3908)*100+MONTH($A3908))</f>
        <v/>
      </c>
      <c r="P3908" s="79">
        <f>IF(OR($F3908="",$D3908=""),"",IF($D3908="Receita",$F3908,IF($D3908="Transferência",0,-$F3908)))</f>
        <v/>
      </c>
    </row>
    <row r="3909">
      <c r="A3909" s="73" t="n"/>
      <c r="B3909" s="74" t="n"/>
      <c r="C3909" s="74" t="n"/>
      <c r="D3909" s="75">
        <f>IF($C3909="","",IFERROR(INDEX(CAT_TIPO,MATCH($C3909,CAT_NOME,0)),"Sem categoria"))</f>
        <v/>
      </c>
      <c r="E3909" s="75">
        <f>IF($C3909="","",IFERROR(INDEX(CAT_GRUPO,MATCH($C3909,CAT_NOME,0)),"Sem categoria"))</f>
        <v/>
      </c>
      <c r="F3909" s="76" t="n"/>
      <c r="G3909" s="74" t="n"/>
      <c r="H3909" s="74" t="n"/>
      <c r="I3909" s="74" t="n"/>
      <c r="J3909" s="77" t="n"/>
      <c r="K3909" s="77" t="n"/>
      <c r="L3909" s="74" t="n"/>
      <c r="M3909" s="74" t="n"/>
      <c r="O3909" s="78">
        <f>IF($A3909="","",YEAR($A3909)*100+MONTH($A3909))</f>
        <v/>
      </c>
      <c r="P3909" s="79">
        <f>IF(OR($F3909="",$D3909=""),"",IF($D3909="Receita",$F3909,IF($D3909="Transferência",0,-$F3909)))</f>
        <v/>
      </c>
    </row>
    <row r="3910">
      <c r="A3910" s="73" t="n"/>
      <c r="B3910" s="74" t="n"/>
      <c r="C3910" s="74" t="n"/>
      <c r="D3910" s="75">
        <f>IF($C3910="","",IFERROR(INDEX(CAT_TIPO,MATCH($C3910,CAT_NOME,0)),"Sem categoria"))</f>
        <v/>
      </c>
      <c r="E3910" s="75">
        <f>IF($C3910="","",IFERROR(INDEX(CAT_GRUPO,MATCH($C3910,CAT_NOME,0)),"Sem categoria"))</f>
        <v/>
      </c>
      <c r="F3910" s="76" t="n"/>
      <c r="G3910" s="74" t="n"/>
      <c r="H3910" s="74" t="n"/>
      <c r="I3910" s="74" t="n"/>
      <c r="J3910" s="77" t="n"/>
      <c r="K3910" s="77" t="n"/>
      <c r="L3910" s="74" t="n"/>
      <c r="M3910" s="74" t="n"/>
      <c r="O3910" s="78">
        <f>IF($A3910="","",YEAR($A3910)*100+MONTH($A3910))</f>
        <v/>
      </c>
      <c r="P3910" s="79">
        <f>IF(OR($F3910="",$D3910=""),"",IF($D3910="Receita",$F3910,IF($D3910="Transferência",0,-$F3910)))</f>
        <v/>
      </c>
    </row>
    <row r="3911">
      <c r="A3911" s="73" t="n"/>
      <c r="B3911" s="74" t="n"/>
      <c r="C3911" s="74" t="n"/>
      <c r="D3911" s="75">
        <f>IF($C3911="","",IFERROR(INDEX(CAT_TIPO,MATCH($C3911,CAT_NOME,0)),"Sem categoria"))</f>
        <v/>
      </c>
      <c r="E3911" s="75">
        <f>IF($C3911="","",IFERROR(INDEX(CAT_GRUPO,MATCH($C3911,CAT_NOME,0)),"Sem categoria"))</f>
        <v/>
      </c>
      <c r="F3911" s="76" t="n"/>
      <c r="G3911" s="74" t="n"/>
      <c r="H3911" s="74" t="n"/>
      <c r="I3911" s="74" t="n"/>
      <c r="J3911" s="77" t="n"/>
      <c r="K3911" s="77" t="n"/>
      <c r="L3911" s="74" t="n"/>
      <c r="M3911" s="74" t="n"/>
      <c r="O3911" s="78">
        <f>IF($A3911="","",YEAR($A3911)*100+MONTH($A3911))</f>
        <v/>
      </c>
      <c r="P3911" s="79">
        <f>IF(OR($F3911="",$D3911=""),"",IF($D3911="Receita",$F3911,IF($D3911="Transferência",0,-$F3911)))</f>
        <v/>
      </c>
    </row>
    <row r="3912">
      <c r="A3912" s="73" t="n"/>
      <c r="B3912" s="74" t="n"/>
      <c r="C3912" s="74" t="n"/>
      <c r="D3912" s="75">
        <f>IF($C3912="","",IFERROR(INDEX(CAT_TIPO,MATCH($C3912,CAT_NOME,0)),"Sem categoria"))</f>
        <v/>
      </c>
      <c r="E3912" s="75">
        <f>IF($C3912="","",IFERROR(INDEX(CAT_GRUPO,MATCH($C3912,CAT_NOME,0)),"Sem categoria"))</f>
        <v/>
      </c>
      <c r="F3912" s="76" t="n"/>
      <c r="G3912" s="74" t="n"/>
      <c r="H3912" s="74" t="n"/>
      <c r="I3912" s="74" t="n"/>
      <c r="J3912" s="77" t="n"/>
      <c r="K3912" s="77" t="n"/>
      <c r="L3912" s="74" t="n"/>
      <c r="M3912" s="74" t="n"/>
      <c r="O3912" s="78">
        <f>IF($A3912="","",YEAR($A3912)*100+MONTH($A3912))</f>
        <v/>
      </c>
      <c r="P3912" s="79">
        <f>IF(OR($F3912="",$D3912=""),"",IF($D3912="Receita",$F3912,IF($D3912="Transferência",0,-$F3912)))</f>
        <v/>
      </c>
    </row>
    <row r="3913">
      <c r="A3913" s="73" t="n"/>
      <c r="B3913" s="74" t="n"/>
      <c r="C3913" s="74" t="n"/>
      <c r="D3913" s="75">
        <f>IF($C3913="","",IFERROR(INDEX(CAT_TIPO,MATCH($C3913,CAT_NOME,0)),"Sem categoria"))</f>
        <v/>
      </c>
      <c r="E3913" s="75">
        <f>IF($C3913="","",IFERROR(INDEX(CAT_GRUPO,MATCH($C3913,CAT_NOME,0)),"Sem categoria"))</f>
        <v/>
      </c>
      <c r="F3913" s="76" t="n"/>
      <c r="G3913" s="74" t="n"/>
      <c r="H3913" s="74" t="n"/>
      <c r="I3913" s="74" t="n"/>
      <c r="J3913" s="77" t="n"/>
      <c r="K3913" s="77" t="n"/>
      <c r="L3913" s="74" t="n"/>
      <c r="M3913" s="74" t="n"/>
      <c r="O3913" s="78">
        <f>IF($A3913="","",YEAR($A3913)*100+MONTH($A3913))</f>
        <v/>
      </c>
      <c r="P3913" s="79">
        <f>IF(OR($F3913="",$D3913=""),"",IF($D3913="Receita",$F3913,IF($D3913="Transferência",0,-$F3913)))</f>
        <v/>
      </c>
    </row>
    <row r="3914">
      <c r="A3914" s="73" t="n"/>
      <c r="B3914" s="74" t="n"/>
      <c r="C3914" s="74" t="n"/>
      <c r="D3914" s="75">
        <f>IF($C3914="","",IFERROR(INDEX(CAT_TIPO,MATCH($C3914,CAT_NOME,0)),"Sem categoria"))</f>
        <v/>
      </c>
      <c r="E3914" s="75">
        <f>IF($C3914="","",IFERROR(INDEX(CAT_GRUPO,MATCH($C3914,CAT_NOME,0)),"Sem categoria"))</f>
        <v/>
      </c>
      <c r="F3914" s="76" t="n"/>
      <c r="G3914" s="74" t="n"/>
      <c r="H3914" s="74" t="n"/>
      <c r="I3914" s="74" t="n"/>
      <c r="J3914" s="77" t="n"/>
      <c r="K3914" s="77" t="n"/>
      <c r="L3914" s="74" t="n"/>
      <c r="M3914" s="74" t="n"/>
      <c r="O3914" s="78">
        <f>IF($A3914="","",YEAR($A3914)*100+MONTH($A3914))</f>
        <v/>
      </c>
      <c r="P3914" s="79">
        <f>IF(OR($F3914="",$D3914=""),"",IF($D3914="Receita",$F3914,IF($D3914="Transferência",0,-$F3914)))</f>
        <v/>
      </c>
    </row>
    <row r="3915">
      <c r="A3915" s="73" t="n"/>
      <c r="B3915" s="74" t="n"/>
      <c r="C3915" s="74" t="n"/>
      <c r="D3915" s="75">
        <f>IF($C3915="","",IFERROR(INDEX(CAT_TIPO,MATCH($C3915,CAT_NOME,0)),"Sem categoria"))</f>
        <v/>
      </c>
      <c r="E3915" s="75">
        <f>IF($C3915="","",IFERROR(INDEX(CAT_GRUPO,MATCH($C3915,CAT_NOME,0)),"Sem categoria"))</f>
        <v/>
      </c>
      <c r="F3915" s="76" t="n"/>
      <c r="G3915" s="74" t="n"/>
      <c r="H3915" s="74" t="n"/>
      <c r="I3915" s="74" t="n"/>
      <c r="J3915" s="77" t="n"/>
      <c r="K3915" s="77" t="n"/>
      <c r="L3915" s="74" t="n"/>
      <c r="M3915" s="74" t="n"/>
      <c r="O3915" s="78">
        <f>IF($A3915="","",YEAR($A3915)*100+MONTH($A3915))</f>
        <v/>
      </c>
      <c r="P3915" s="79">
        <f>IF(OR($F3915="",$D3915=""),"",IF($D3915="Receita",$F3915,IF($D3915="Transferência",0,-$F3915)))</f>
        <v/>
      </c>
    </row>
    <row r="3916">
      <c r="A3916" s="73" t="n"/>
      <c r="B3916" s="74" t="n"/>
      <c r="C3916" s="74" t="n"/>
      <c r="D3916" s="75">
        <f>IF($C3916="","",IFERROR(INDEX(CAT_TIPO,MATCH($C3916,CAT_NOME,0)),"Sem categoria"))</f>
        <v/>
      </c>
      <c r="E3916" s="75">
        <f>IF($C3916="","",IFERROR(INDEX(CAT_GRUPO,MATCH($C3916,CAT_NOME,0)),"Sem categoria"))</f>
        <v/>
      </c>
      <c r="F3916" s="76" t="n"/>
      <c r="G3916" s="74" t="n"/>
      <c r="H3916" s="74" t="n"/>
      <c r="I3916" s="74" t="n"/>
      <c r="J3916" s="77" t="n"/>
      <c r="K3916" s="77" t="n"/>
      <c r="L3916" s="74" t="n"/>
      <c r="M3916" s="74" t="n"/>
      <c r="O3916" s="78">
        <f>IF($A3916="","",YEAR($A3916)*100+MONTH($A3916))</f>
        <v/>
      </c>
      <c r="P3916" s="79">
        <f>IF(OR($F3916="",$D3916=""),"",IF($D3916="Receita",$F3916,IF($D3916="Transferência",0,-$F3916)))</f>
        <v/>
      </c>
    </row>
    <row r="3917">
      <c r="A3917" s="73" t="n"/>
      <c r="B3917" s="74" t="n"/>
      <c r="C3917" s="74" t="n"/>
      <c r="D3917" s="75">
        <f>IF($C3917="","",IFERROR(INDEX(CAT_TIPO,MATCH($C3917,CAT_NOME,0)),"Sem categoria"))</f>
        <v/>
      </c>
      <c r="E3917" s="75">
        <f>IF($C3917="","",IFERROR(INDEX(CAT_GRUPO,MATCH($C3917,CAT_NOME,0)),"Sem categoria"))</f>
        <v/>
      </c>
      <c r="F3917" s="76" t="n"/>
      <c r="G3917" s="74" t="n"/>
      <c r="H3917" s="74" t="n"/>
      <c r="I3917" s="74" t="n"/>
      <c r="J3917" s="77" t="n"/>
      <c r="K3917" s="77" t="n"/>
      <c r="L3917" s="74" t="n"/>
      <c r="M3917" s="74" t="n"/>
      <c r="O3917" s="78">
        <f>IF($A3917="","",YEAR($A3917)*100+MONTH($A3917))</f>
        <v/>
      </c>
      <c r="P3917" s="79">
        <f>IF(OR($F3917="",$D3917=""),"",IF($D3917="Receita",$F3917,IF($D3917="Transferência",0,-$F3917)))</f>
        <v/>
      </c>
    </row>
    <row r="3918">
      <c r="A3918" s="73" t="n"/>
      <c r="B3918" s="74" t="n"/>
      <c r="C3918" s="74" t="n"/>
      <c r="D3918" s="75">
        <f>IF($C3918="","",IFERROR(INDEX(CAT_TIPO,MATCH($C3918,CAT_NOME,0)),"Sem categoria"))</f>
        <v/>
      </c>
      <c r="E3918" s="75">
        <f>IF($C3918="","",IFERROR(INDEX(CAT_GRUPO,MATCH($C3918,CAT_NOME,0)),"Sem categoria"))</f>
        <v/>
      </c>
      <c r="F3918" s="76" t="n"/>
      <c r="G3918" s="74" t="n"/>
      <c r="H3918" s="74" t="n"/>
      <c r="I3918" s="74" t="n"/>
      <c r="J3918" s="77" t="n"/>
      <c r="K3918" s="77" t="n"/>
      <c r="L3918" s="74" t="n"/>
      <c r="M3918" s="74" t="n"/>
      <c r="O3918" s="78">
        <f>IF($A3918="","",YEAR($A3918)*100+MONTH($A3918))</f>
        <v/>
      </c>
      <c r="P3918" s="79">
        <f>IF(OR($F3918="",$D3918=""),"",IF($D3918="Receita",$F3918,IF($D3918="Transferência",0,-$F3918)))</f>
        <v/>
      </c>
    </row>
    <row r="3919">
      <c r="A3919" s="73" t="n"/>
      <c r="B3919" s="74" t="n"/>
      <c r="C3919" s="74" t="n"/>
      <c r="D3919" s="75">
        <f>IF($C3919="","",IFERROR(INDEX(CAT_TIPO,MATCH($C3919,CAT_NOME,0)),"Sem categoria"))</f>
        <v/>
      </c>
      <c r="E3919" s="75">
        <f>IF($C3919="","",IFERROR(INDEX(CAT_GRUPO,MATCH($C3919,CAT_NOME,0)),"Sem categoria"))</f>
        <v/>
      </c>
      <c r="F3919" s="76" t="n"/>
      <c r="G3919" s="74" t="n"/>
      <c r="H3919" s="74" t="n"/>
      <c r="I3919" s="74" t="n"/>
      <c r="J3919" s="77" t="n"/>
      <c r="K3919" s="77" t="n"/>
      <c r="L3919" s="74" t="n"/>
      <c r="M3919" s="74" t="n"/>
      <c r="O3919" s="78">
        <f>IF($A3919="","",YEAR($A3919)*100+MONTH($A3919))</f>
        <v/>
      </c>
      <c r="P3919" s="79">
        <f>IF(OR($F3919="",$D3919=""),"",IF($D3919="Receita",$F3919,IF($D3919="Transferência",0,-$F3919)))</f>
        <v/>
      </c>
    </row>
    <row r="3920">
      <c r="A3920" s="73" t="n"/>
      <c r="B3920" s="74" t="n"/>
      <c r="C3920" s="74" t="n"/>
      <c r="D3920" s="75">
        <f>IF($C3920="","",IFERROR(INDEX(CAT_TIPO,MATCH($C3920,CAT_NOME,0)),"Sem categoria"))</f>
        <v/>
      </c>
      <c r="E3920" s="75">
        <f>IF($C3920="","",IFERROR(INDEX(CAT_GRUPO,MATCH($C3920,CAT_NOME,0)),"Sem categoria"))</f>
        <v/>
      </c>
      <c r="F3920" s="76" t="n"/>
      <c r="G3920" s="74" t="n"/>
      <c r="H3920" s="74" t="n"/>
      <c r="I3920" s="74" t="n"/>
      <c r="J3920" s="77" t="n"/>
      <c r="K3920" s="77" t="n"/>
      <c r="L3920" s="74" t="n"/>
      <c r="M3920" s="74" t="n"/>
      <c r="O3920" s="78">
        <f>IF($A3920="","",YEAR($A3920)*100+MONTH($A3920))</f>
        <v/>
      </c>
      <c r="P3920" s="79">
        <f>IF(OR($F3920="",$D3920=""),"",IF($D3920="Receita",$F3920,IF($D3920="Transferência",0,-$F3920)))</f>
        <v/>
      </c>
    </row>
    <row r="3921">
      <c r="A3921" s="73" t="n"/>
      <c r="B3921" s="74" t="n"/>
      <c r="C3921" s="74" t="n"/>
      <c r="D3921" s="75">
        <f>IF($C3921="","",IFERROR(INDEX(CAT_TIPO,MATCH($C3921,CAT_NOME,0)),"Sem categoria"))</f>
        <v/>
      </c>
      <c r="E3921" s="75">
        <f>IF($C3921="","",IFERROR(INDEX(CAT_GRUPO,MATCH($C3921,CAT_NOME,0)),"Sem categoria"))</f>
        <v/>
      </c>
      <c r="F3921" s="76" t="n"/>
      <c r="G3921" s="74" t="n"/>
      <c r="H3921" s="74" t="n"/>
      <c r="I3921" s="74" t="n"/>
      <c r="J3921" s="77" t="n"/>
      <c r="K3921" s="77" t="n"/>
      <c r="L3921" s="74" t="n"/>
      <c r="M3921" s="74" t="n"/>
      <c r="O3921" s="78">
        <f>IF($A3921="","",YEAR($A3921)*100+MONTH($A3921))</f>
        <v/>
      </c>
      <c r="P3921" s="79">
        <f>IF(OR($F3921="",$D3921=""),"",IF($D3921="Receita",$F3921,IF($D3921="Transferência",0,-$F3921)))</f>
        <v/>
      </c>
    </row>
    <row r="3922">
      <c r="A3922" s="73" t="n"/>
      <c r="B3922" s="74" t="n"/>
      <c r="C3922" s="74" t="n"/>
      <c r="D3922" s="75">
        <f>IF($C3922="","",IFERROR(INDEX(CAT_TIPO,MATCH($C3922,CAT_NOME,0)),"Sem categoria"))</f>
        <v/>
      </c>
      <c r="E3922" s="75">
        <f>IF($C3922="","",IFERROR(INDEX(CAT_GRUPO,MATCH($C3922,CAT_NOME,0)),"Sem categoria"))</f>
        <v/>
      </c>
      <c r="F3922" s="76" t="n"/>
      <c r="G3922" s="74" t="n"/>
      <c r="H3922" s="74" t="n"/>
      <c r="I3922" s="74" t="n"/>
      <c r="J3922" s="77" t="n"/>
      <c r="K3922" s="77" t="n"/>
      <c r="L3922" s="74" t="n"/>
      <c r="M3922" s="74" t="n"/>
      <c r="O3922" s="78">
        <f>IF($A3922="","",YEAR($A3922)*100+MONTH($A3922))</f>
        <v/>
      </c>
      <c r="P3922" s="79">
        <f>IF(OR($F3922="",$D3922=""),"",IF($D3922="Receita",$F3922,IF($D3922="Transferência",0,-$F3922)))</f>
        <v/>
      </c>
    </row>
    <row r="3923">
      <c r="A3923" s="73" t="n"/>
      <c r="B3923" s="74" t="n"/>
      <c r="C3923" s="74" t="n"/>
      <c r="D3923" s="75">
        <f>IF($C3923="","",IFERROR(INDEX(CAT_TIPO,MATCH($C3923,CAT_NOME,0)),"Sem categoria"))</f>
        <v/>
      </c>
      <c r="E3923" s="75">
        <f>IF($C3923="","",IFERROR(INDEX(CAT_GRUPO,MATCH($C3923,CAT_NOME,0)),"Sem categoria"))</f>
        <v/>
      </c>
      <c r="F3923" s="76" t="n"/>
      <c r="G3923" s="74" t="n"/>
      <c r="H3923" s="74" t="n"/>
      <c r="I3923" s="74" t="n"/>
      <c r="J3923" s="77" t="n"/>
      <c r="K3923" s="77" t="n"/>
      <c r="L3923" s="74" t="n"/>
      <c r="M3923" s="74" t="n"/>
      <c r="O3923" s="78">
        <f>IF($A3923="","",YEAR($A3923)*100+MONTH($A3923))</f>
        <v/>
      </c>
      <c r="P3923" s="79">
        <f>IF(OR($F3923="",$D3923=""),"",IF($D3923="Receita",$F3923,IF($D3923="Transferência",0,-$F3923)))</f>
        <v/>
      </c>
    </row>
    <row r="3924">
      <c r="A3924" s="73" t="n"/>
      <c r="B3924" s="74" t="n"/>
      <c r="C3924" s="74" t="n"/>
      <c r="D3924" s="75">
        <f>IF($C3924="","",IFERROR(INDEX(CAT_TIPO,MATCH($C3924,CAT_NOME,0)),"Sem categoria"))</f>
        <v/>
      </c>
      <c r="E3924" s="75">
        <f>IF($C3924="","",IFERROR(INDEX(CAT_GRUPO,MATCH($C3924,CAT_NOME,0)),"Sem categoria"))</f>
        <v/>
      </c>
      <c r="F3924" s="76" t="n"/>
      <c r="G3924" s="74" t="n"/>
      <c r="H3924" s="74" t="n"/>
      <c r="I3924" s="74" t="n"/>
      <c r="J3924" s="77" t="n"/>
      <c r="K3924" s="77" t="n"/>
      <c r="L3924" s="74" t="n"/>
      <c r="M3924" s="74" t="n"/>
      <c r="O3924" s="78">
        <f>IF($A3924="","",YEAR($A3924)*100+MONTH($A3924))</f>
        <v/>
      </c>
      <c r="P3924" s="79">
        <f>IF(OR($F3924="",$D3924=""),"",IF($D3924="Receita",$F3924,IF($D3924="Transferência",0,-$F3924)))</f>
        <v/>
      </c>
    </row>
    <row r="3925">
      <c r="A3925" s="73" t="n"/>
      <c r="B3925" s="74" t="n"/>
      <c r="C3925" s="74" t="n"/>
      <c r="D3925" s="75">
        <f>IF($C3925="","",IFERROR(INDEX(CAT_TIPO,MATCH($C3925,CAT_NOME,0)),"Sem categoria"))</f>
        <v/>
      </c>
      <c r="E3925" s="75">
        <f>IF($C3925="","",IFERROR(INDEX(CAT_GRUPO,MATCH($C3925,CAT_NOME,0)),"Sem categoria"))</f>
        <v/>
      </c>
      <c r="F3925" s="76" t="n"/>
      <c r="G3925" s="74" t="n"/>
      <c r="H3925" s="74" t="n"/>
      <c r="I3925" s="74" t="n"/>
      <c r="J3925" s="77" t="n"/>
      <c r="K3925" s="77" t="n"/>
      <c r="L3925" s="74" t="n"/>
      <c r="M3925" s="74" t="n"/>
      <c r="O3925" s="78">
        <f>IF($A3925="","",YEAR($A3925)*100+MONTH($A3925))</f>
        <v/>
      </c>
      <c r="P3925" s="79">
        <f>IF(OR($F3925="",$D3925=""),"",IF($D3925="Receita",$F3925,IF($D3925="Transferência",0,-$F3925)))</f>
        <v/>
      </c>
    </row>
    <row r="3926">
      <c r="A3926" s="73" t="n"/>
      <c r="B3926" s="74" t="n"/>
      <c r="C3926" s="74" t="n"/>
      <c r="D3926" s="75">
        <f>IF($C3926="","",IFERROR(INDEX(CAT_TIPO,MATCH($C3926,CAT_NOME,0)),"Sem categoria"))</f>
        <v/>
      </c>
      <c r="E3926" s="75">
        <f>IF($C3926="","",IFERROR(INDEX(CAT_GRUPO,MATCH($C3926,CAT_NOME,0)),"Sem categoria"))</f>
        <v/>
      </c>
      <c r="F3926" s="76" t="n"/>
      <c r="G3926" s="74" t="n"/>
      <c r="H3926" s="74" t="n"/>
      <c r="I3926" s="74" t="n"/>
      <c r="J3926" s="77" t="n"/>
      <c r="K3926" s="77" t="n"/>
      <c r="L3926" s="74" t="n"/>
      <c r="M3926" s="74" t="n"/>
      <c r="O3926" s="78">
        <f>IF($A3926="","",YEAR($A3926)*100+MONTH($A3926))</f>
        <v/>
      </c>
      <c r="P3926" s="79">
        <f>IF(OR($F3926="",$D3926=""),"",IF($D3926="Receita",$F3926,IF($D3926="Transferência",0,-$F3926)))</f>
        <v/>
      </c>
    </row>
    <row r="3927">
      <c r="A3927" s="73" t="n"/>
      <c r="B3927" s="74" t="n"/>
      <c r="C3927" s="74" t="n"/>
      <c r="D3927" s="75">
        <f>IF($C3927="","",IFERROR(INDEX(CAT_TIPO,MATCH($C3927,CAT_NOME,0)),"Sem categoria"))</f>
        <v/>
      </c>
      <c r="E3927" s="75">
        <f>IF($C3927="","",IFERROR(INDEX(CAT_GRUPO,MATCH($C3927,CAT_NOME,0)),"Sem categoria"))</f>
        <v/>
      </c>
      <c r="F3927" s="76" t="n"/>
      <c r="G3927" s="74" t="n"/>
      <c r="H3927" s="74" t="n"/>
      <c r="I3927" s="74" t="n"/>
      <c r="J3927" s="77" t="n"/>
      <c r="K3927" s="77" t="n"/>
      <c r="L3927" s="74" t="n"/>
      <c r="M3927" s="74" t="n"/>
      <c r="O3927" s="78">
        <f>IF($A3927="","",YEAR($A3927)*100+MONTH($A3927))</f>
        <v/>
      </c>
      <c r="P3927" s="79">
        <f>IF(OR($F3927="",$D3927=""),"",IF($D3927="Receita",$F3927,IF($D3927="Transferência",0,-$F3927)))</f>
        <v/>
      </c>
    </row>
    <row r="3928">
      <c r="A3928" s="73" t="n"/>
      <c r="B3928" s="74" t="n"/>
      <c r="C3928" s="74" t="n"/>
      <c r="D3928" s="75">
        <f>IF($C3928="","",IFERROR(INDEX(CAT_TIPO,MATCH($C3928,CAT_NOME,0)),"Sem categoria"))</f>
        <v/>
      </c>
      <c r="E3928" s="75">
        <f>IF($C3928="","",IFERROR(INDEX(CAT_GRUPO,MATCH($C3928,CAT_NOME,0)),"Sem categoria"))</f>
        <v/>
      </c>
      <c r="F3928" s="76" t="n"/>
      <c r="G3928" s="74" t="n"/>
      <c r="H3928" s="74" t="n"/>
      <c r="I3928" s="74" t="n"/>
      <c r="J3928" s="77" t="n"/>
      <c r="K3928" s="77" t="n"/>
      <c r="L3928" s="74" t="n"/>
      <c r="M3928" s="74" t="n"/>
      <c r="O3928" s="78">
        <f>IF($A3928="","",YEAR($A3928)*100+MONTH($A3928))</f>
        <v/>
      </c>
      <c r="P3928" s="79">
        <f>IF(OR($F3928="",$D3928=""),"",IF($D3928="Receita",$F3928,IF($D3928="Transferência",0,-$F3928)))</f>
        <v/>
      </c>
    </row>
    <row r="3929">
      <c r="A3929" s="73" t="n"/>
      <c r="B3929" s="74" t="n"/>
      <c r="C3929" s="74" t="n"/>
      <c r="D3929" s="75">
        <f>IF($C3929="","",IFERROR(INDEX(CAT_TIPO,MATCH($C3929,CAT_NOME,0)),"Sem categoria"))</f>
        <v/>
      </c>
      <c r="E3929" s="75">
        <f>IF($C3929="","",IFERROR(INDEX(CAT_GRUPO,MATCH($C3929,CAT_NOME,0)),"Sem categoria"))</f>
        <v/>
      </c>
      <c r="F3929" s="76" t="n"/>
      <c r="G3929" s="74" t="n"/>
      <c r="H3929" s="74" t="n"/>
      <c r="I3929" s="74" t="n"/>
      <c r="J3929" s="77" t="n"/>
      <c r="K3929" s="77" t="n"/>
      <c r="L3929" s="74" t="n"/>
      <c r="M3929" s="74" t="n"/>
      <c r="O3929" s="78">
        <f>IF($A3929="","",YEAR($A3929)*100+MONTH($A3929))</f>
        <v/>
      </c>
      <c r="P3929" s="79">
        <f>IF(OR($F3929="",$D3929=""),"",IF($D3929="Receita",$F3929,IF($D3929="Transferência",0,-$F3929)))</f>
        <v/>
      </c>
    </row>
    <row r="3930">
      <c r="A3930" s="73" t="n"/>
      <c r="B3930" s="74" t="n"/>
      <c r="C3930" s="74" t="n"/>
      <c r="D3930" s="75">
        <f>IF($C3930="","",IFERROR(INDEX(CAT_TIPO,MATCH($C3930,CAT_NOME,0)),"Sem categoria"))</f>
        <v/>
      </c>
      <c r="E3930" s="75">
        <f>IF($C3930="","",IFERROR(INDEX(CAT_GRUPO,MATCH($C3930,CAT_NOME,0)),"Sem categoria"))</f>
        <v/>
      </c>
      <c r="F3930" s="76" t="n"/>
      <c r="G3930" s="74" t="n"/>
      <c r="H3930" s="74" t="n"/>
      <c r="I3930" s="74" t="n"/>
      <c r="J3930" s="77" t="n"/>
      <c r="K3930" s="77" t="n"/>
      <c r="L3930" s="74" t="n"/>
      <c r="M3930" s="74" t="n"/>
      <c r="O3930" s="78">
        <f>IF($A3930="","",YEAR($A3930)*100+MONTH($A3930))</f>
        <v/>
      </c>
      <c r="P3930" s="79">
        <f>IF(OR($F3930="",$D3930=""),"",IF($D3930="Receita",$F3930,IF($D3930="Transferência",0,-$F3930)))</f>
        <v/>
      </c>
    </row>
    <row r="3931">
      <c r="A3931" s="73" t="n"/>
      <c r="B3931" s="74" t="n"/>
      <c r="C3931" s="74" t="n"/>
      <c r="D3931" s="75">
        <f>IF($C3931="","",IFERROR(INDEX(CAT_TIPO,MATCH($C3931,CAT_NOME,0)),"Sem categoria"))</f>
        <v/>
      </c>
      <c r="E3931" s="75">
        <f>IF($C3931="","",IFERROR(INDEX(CAT_GRUPO,MATCH($C3931,CAT_NOME,0)),"Sem categoria"))</f>
        <v/>
      </c>
      <c r="F3931" s="76" t="n"/>
      <c r="G3931" s="74" t="n"/>
      <c r="H3931" s="74" t="n"/>
      <c r="I3931" s="74" t="n"/>
      <c r="J3931" s="77" t="n"/>
      <c r="K3931" s="77" t="n"/>
      <c r="L3931" s="74" t="n"/>
      <c r="M3931" s="74" t="n"/>
      <c r="O3931" s="78">
        <f>IF($A3931="","",YEAR($A3931)*100+MONTH($A3931))</f>
        <v/>
      </c>
      <c r="P3931" s="79">
        <f>IF(OR($F3931="",$D3931=""),"",IF($D3931="Receita",$F3931,IF($D3931="Transferência",0,-$F3931)))</f>
        <v/>
      </c>
    </row>
    <row r="3932">
      <c r="A3932" s="73" t="n"/>
      <c r="B3932" s="74" t="n"/>
      <c r="C3932" s="74" t="n"/>
      <c r="D3932" s="75">
        <f>IF($C3932="","",IFERROR(INDEX(CAT_TIPO,MATCH($C3932,CAT_NOME,0)),"Sem categoria"))</f>
        <v/>
      </c>
      <c r="E3932" s="75">
        <f>IF($C3932="","",IFERROR(INDEX(CAT_GRUPO,MATCH($C3932,CAT_NOME,0)),"Sem categoria"))</f>
        <v/>
      </c>
      <c r="F3932" s="76" t="n"/>
      <c r="G3932" s="74" t="n"/>
      <c r="H3932" s="74" t="n"/>
      <c r="I3932" s="74" t="n"/>
      <c r="J3932" s="77" t="n"/>
      <c r="K3932" s="77" t="n"/>
      <c r="L3932" s="74" t="n"/>
      <c r="M3932" s="74" t="n"/>
      <c r="O3932" s="78">
        <f>IF($A3932="","",YEAR($A3932)*100+MONTH($A3932))</f>
        <v/>
      </c>
      <c r="P3932" s="79">
        <f>IF(OR($F3932="",$D3932=""),"",IF($D3932="Receita",$F3932,IF($D3932="Transferência",0,-$F3932)))</f>
        <v/>
      </c>
    </row>
    <row r="3933">
      <c r="A3933" s="73" t="n"/>
      <c r="B3933" s="74" t="n"/>
      <c r="C3933" s="74" t="n"/>
      <c r="D3933" s="75">
        <f>IF($C3933="","",IFERROR(INDEX(CAT_TIPO,MATCH($C3933,CAT_NOME,0)),"Sem categoria"))</f>
        <v/>
      </c>
      <c r="E3933" s="75">
        <f>IF($C3933="","",IFERROR(INDEX(CAT_GRUPO,MATCH($C3933,CAT_NOME,0)),"Sem categoria"))</f>
        <v/>
      </c>
      <c r="F3933" s="76" t="n"/>
      <c r="G3933" s="74" t="n"/>
      <c r="H3933" s="74" t="n"/>
      <c r="I3933" s="74" t="n"/>
      <c r="J3933" s="77" t="n"/>
      <c r="K3933" s="77" t="n"/>
      <c r="L3933" s="74" t="n"/>
      <c r="M3933" s="74" t="n"/>
      <c r="O3933" s="78">
        <f>IF($A3933="","",YEAR($A3933)*100+MONTH($A3933))</f>
        <v/>
      </c>
      <c r="P3933" s="79">
        <f>IF(OR($F3933="",$D3933=""),"",IF($D3933="Receita",$F3933,IF($D3933="Transferência",0,-$F3933)))</f>
        <v/>
      </c>
    </row>
    <row r="3934">
      <c r="A3934" s="73" t="n"/>
      <c r="B3934" s="74" t="n"/>
      <c r="C3934" s="74" t="n"/>
      <c r="D3934" s="75">
        <f>IF($C3934="","",IFERROR(INDEX(CAT_TIPO,MATCH($C3934,CAT_NOME,0)),"Sem categoria"))</f>
        <v/>
      </c>
      <c r="E3934" s="75">
        <f>IF($C3934="","",IFERROR(INDEX(CAT_GRUPO,MATCH($C3934,CAT_NOME,0)),"Sem categoria"))</f>
        <v/>
      </c>
      <c r="F3934" s="76" t="n"/>
      <c r="G3934" s="74" t="n"/>
      <c r="H3934" s="74" t="n"/>
      <c r="I3934" s="74" t="n"/>
      <c r="J3934" s="77" t="n"/>
      <c r="K3934" s="77" t="n"/>
      <c r="L3934" s="74" t="n"/>
      <c r="M3934" s="74" t="n"/>
      <c r="O3934" s="78">
        <f>IF($A3934="","",YEAR($A3934)*100+MONTH($A3934))</f>
        <v/>
      </c>
      <c r="P3934" s="79">
        <f>IF(OR($F3934="",$D3934=""),"",IF($D3934="Receita",$F3934,IF($D3934="Transferência",0,-$F3934)))</f>
        <v/>
      </c>
    </row>
    <row r="3935">
      <c r="A3935" s="73" t="n"/>
      <c r="B3935" s="74" t="n"/>
      <c r="C3935" s="74" t="n"/>
      <c r="D3935" s="75">
        <f>IF($C3935="","",IFERROR(INDEX(CAT_TIPO,MATCH($C3935,CAT_NOME,0)),"Sem categoria"))</f>
        <v/>
      </c>
      <c r="E3935" s="75">
        <f>IF($C3935="","",IFERROR(INDEX(CAT_GRUPO,MATCH($C3935,CAT_NOME,0)),"Sem categoria"))</f>
        <v/>
      </c>
      <c r="F3935" s="76" t="n"/>
      <c r="G3935" s="74" t="n"/>
      <c r="H3935" s="74" t="n"/>
      <c r="I3935" s="74" t="n"/>
      <c r="J3935" s="77" t="n"/>
      <c r="K3935" s="77" t="n"/>
      <c r="L3935" s="74" t="n"/>
      <c r="M3935" s="74" t="n"/>
      <c r="O3935" s="78">
        <f>IF($A3935="","",YEAR($A3935)*100+MONTH($A3935))</f>
        <v/>
      </c>
      <c r="P3935" s="79">
        <f>IF(OR($F3935="",$D3935=""),"",IF($D3935="Receita",$F3935,IF($D3935="Transferência",0,-$F3935)))</f>
        <v/>
      </c>
    </row>
    <row r="3936">
      <c r="A3936" s="73" t="n"/>
      <c r="B3936" s="74" t="n"/>
      <c r="C3936" s="74" t="n"/>
      <c r="D3936" s="75">
        <f>IF($C3936="","",IFERROR(INDEX(CAT_TIPO,MATCH($C3936,CAT_NOME,0)),"Sem categoria"))</f>
        <v/>
      </c>
      <c r="E3936" s="75">
        <f>IF($C3936="","",IFERROR(INDEX(CAT_GRUPO,MATCH($C3936,CAT_NOME,0)),"Sem categoria"))</f>
        <v/>
      </c>
      <c r="F3936" s="76" t="n"/>
      <c r="G3936" s="74" t="n"/>
      <c r="H3936" s="74" t="n"/>
      <c r="I3936" s="74" t="n"/>
      <c r="J3936" s="77" t="n"/>
      <c r="K3936" s="77" t="n"/>
      <c r="L3936" s="74" t="n"/>
      <c r="M3936" s="74" t="n"/>
      <c r="O3936" s="78">
        <f>IF($A3936="","",YEAR($A3936)*100+MONTH($A3936))</f>
        <v/>
      </c>
      <c r="P3936" s="79">
        <f>IF(OR($F3936="",$D3936=""),"",IF($D3936="Receita",$F3936,IF($D3936="Transferência",0,-$F3936)))</f>
        <v/>
      </c>
    </row>
    <row r="3937">
      <c r="A3937" s="73" t="n"/>
      <c r="B3937" s="74" t="n"/>
      <c r="C3937" s="74" t="n"/>
      <c r="D3937" s="75">
        <f>IF($C3937="","",IFERROR(INDEX(CAT_TIPO,MATCH($C3937,CAT_NOME,0)),"Sem categoria"))</f>
        <v/>
      </c>
      <c r="E3937" s="75">
        <f>IF($C3937="","",IFERROR(INDEX(CAT_GRUPO,MATCH($C3937,CAT_NOME,0)),"Sem categoria"))</f>
        <v/>
      </c>
      <c r="F3937" s="76" t="n"/>
      <c r="G3937" s="74" t="n"/>
      <c r="H3937" s="74" t="n"/>
      <c r="I3937" s="74" t="n"/>
      <c r="J3937" s="77" t="n"/>
      <c r="K3937" s="77" t="n"/>
      <c r="L3937" s="74" t="n"/>
      <c r="M3937" s="74" t="n"/>
      <c r="O3937" s="78">
        <f>IF($A3937="","",YEAR($A3937)*100+MONTH($A3937))</f>
        <v/>
      </c>
      <c r="P3937" s="79">
        <f>IF(OR($F3937="",$D3937=""),"",IF($D3937="Receita",$F3937,IF($D3937="Transferência",0,-$F3937)))</f>
        <v/>
      </c>
    </row>
    <row r="3938">
      <c r="A3938" s="73" t="n"/>
      <c r="B3938" s="74" t="n"/>
      <c r="C3938" s="74" t="n"/>
      <c r="D3938" s="75">
        <f>IF($C3938="","",IFERROR(INDEX(CAT_TIPO,MATCH($C3938,CAT_NOME,0)),"Sem categoria"))</f>
        <v/>
      </c>
      <c r="E3938" s="75">
        <f>IF($C3938="","",IFERROR(INDEX(CAT_GRUPO,MATCH($C3938,CAT_NOME,0)),"Sem categoria"))</f>
        <v/>
      </c>
      <c r="F3938" s="76" t="n"/>
      <c r="G3938" s="74" t="n"/>
      <c r="H3938" s="74" t="n"/>
      <c r="I3938" s="74" t="n"/>
      <c r="J3938" s="77" t="n"/>
      <c r="K3938" s="77" t="n"/>
      <c r="L3938" s="74" t="n"/>
      <c r="M3938" s="74" t="n"/>
      <c r="O3938" s="78">
        <f>IF($A3938="","",YEAR($A3938)*100+MONTH($A3938))</f>
        <v/>
      </c>
      <c r="P3938" s="79">
        <f>IF(OR($F3938="",$D3938=""),"",IF($D3938="Receita",$F3938,IF($D3938="Transferência",0,-$F3938)))</f>
        <v/>
      </c>
    </row>
    <row r="3939">
      <c r="A3939" s="73" t="n"/>
      <c r="B3939" s="74" t="n"/>
      <c r="C3939" s="74" t="n"/>
      <c r="D3939" s="75">
        <f>IF($C3939="","",IFERROR(INDEX(CAT_TIPO,MATCH($C3939,CAT_NOME,0)),"Sem categoria"))</f>
        <v/>
      </c>
      <c r="E3939" s="75">
        <f>IF($C3939="","",IFERROR(INDEX(CAT_GRUPO,MATCH($C3939,CAT_NOME,0)),"Sem categoria"))</f>
        <v/>
      </c>
      <c r="F3939" s="76" t="n"/>
      <c r="G3939" s="74" t="n"/>
      <c r="H3939" s="74" t="n"/>
      <c r="I3939" s="74" t="n"/>
      <c r="J3939" s="77" t="n"/>
      <c r="K3939" s="77" t="n"/>
      <c r="L3939" s="74" t="n"/>
      <c r="M3939" s="74" t="n"/>
      <c r="O3939" s="78">
        <f>IF($A3939="","",YEAR($A3939)*100+MONTH($A3939))</f>
        <v/>
      </c>
      <c r="P3939" s="79">
        <f>IF(OR($F3939="",$D3939=""),"",IF($D3939="Receita",$F3939,IF($D3939="Transferência",0,-$F3939)))</f>
        <v/>
      </c>
    </row>
    <row r="3940">
      <c r="A3940" s="73" t="n"/>
      <c r="B3940" s="74" t="n"/>
      <c r="C3940" s="74" t="n"/>
      <c r="D3940" s="75">
        <f>IF($C3940="","",IFERROR(INDEX(CAT_TIPO,MATCH($C3940,CAT_NOME,0)),"Sem categoria"))</f>
        <v/>
      </c>
      <c r="E3940" s="75">
        <f>IF($C3940="","",IFERROR(INDEX(CAT_GRUPO,MATCH($C3940,CAT_NOME,0)),"Sem categoria"))</f>
        <v/>
      </c>
      <c r="F3940" s="76" t="n"/>
      <c r="G3940" s="74" t="n"/>
      <c r="H3940" s="74" t="n"/>
      <c r="I3940" s="74" t="n"/>
      <c r="J3940" s="77" t="n"/>
      <c r="K3940" s="77" t="n"/>
      <c r="L3940" s="74" t="n"/>
      <c r="M3940" s="74" t="n"/>
      <c r="O3940" s="78">
        <f>IF($A3940="","",YEAR($A3940)*100+MONTH($A3940))</f>
        <v/>
      </c>
      <c r="P3940" s="79">
        <f>IF(OR($F3940="",$D3940=""),"",IF($D3940="Receita",$F3940,IF($D3940="Transferência",0,-$F3940)))</f>
        <v/>
      </c>
    </row>
    <row r="3941">
      <c r="A3941" s="73" t="n"/>
      <c r="B3941" s="74" t="n"/>
      <c r="C3941" s="74" t="n"/>
      <c r="D3941" s="75">
        <f>IF($C3941="","",IFERROR(INDEX(CAT_TIPO,MATCH($C3941,CAT_NOME,0)),"Sem categoria"))</f>
        <v/>
      </c>
      <c r="E3941" s="75">
        <f>IF($C3941="","",IFERROR(INDEX(CAT_GRUPO,MATCH($C3941,CAT_NOME,0)),"Sem categoria"))</f>
        <v/>
      </c>
      <c r="F3941" s="76" t="n"/>
      <c r="G3941" s="74" t="n"/>
      <c r="H3941" s="74" t="n"/>
      <c r="I3941" s="74" t="n"/>
      <c r="J3941" s="77" t="n"/>
      <c r="K3941" s="77" t="n"/>
      <c r="L3941" s="74" t="n"/>
      <c r="M3941" s="74" t="n"/>
      <c r="O3941" s="78">
        <f>IF($A3941="","",YEAR($A3941)*100+MONTH($A3941))</f>
        <v/>
      </c>
      <c r="P3941" s="79">
        <f>IF(OR($F3941="",$D3941=""),"",IF($D3941="Receita",$F3941,IF($D3941="Transferência",0,-$F3941)))</f>
        <v/>
      </c>
    </row>
    <row r="3942">
      <c r="A3942" s="73" t="n"/>
      <c r="B3942" s="74" t="n"/>
      <c r="C3942" s="74" t="n"/>
      <c r="D3942" s="75">
        <f>IF($C3942="","",IFERROR(INDEX(CAT_TIPO,MATCH($C3942,CAT_NOME,0)),"Sem categoria"))</f>
        <v/>
      </c>
      <c r="E3942" s="75">
        <f>IF($C3942="","",IFERROR(INDEX(CAT_GRUPO,MATCH($C3942,CAT_NOME,0)),"Sem categoria"))</f>
        <v/>
      </c>
      <c r="F3942" s="76" t="n"/>
      <c r="G3942" s="74" t="n"/>
      <c r="H3942" s="74" t="n"/>
      <c r="I3942" s="74" t="n"/>
      <c r="J3942" s="77" t="n"/>
      <c r="K3942" s="77" t="n"/>
      <c r="L3942" s="74" t="n"/>
      <c r="M3942" s="74" t="n"/>
      <c r="O3942" s="78">
        <f>IF($A3942="","",YEAR($A3942)*100+MONTH($A3942))</f>
        <v/>
      </c>
      <c r="P3942" s="79">
        <f>IF(OR($F3942="",$D3942=""),"",IF($D3942="Receita",$F3942,IF($D3942="Transferência",0,-$F3942)))</f>
        <v/>
      </c>
    </row>
    <row r="3943">
      <c r="A3943" s="73" t="n"/>
      <c r="B3943" s="74" t="n"/>
      <c r="C3943" s="74" t="n"/>
      <c r="D3943" s="75">
        <f>IF($C3943="","",IFERROR(INDEX(CAT_TIPO,MATCH($C3943,CAT_NOME,0)),"Sem categoria"))</f>
        <v/>
      </c>
      <c r="E3943" s="75">
        <f>IF($C3943="","",IFERROR(INDEX(CAT_GRUPO,MATCH($C3943,CAT_NOME,0)),"Sem categoria"))</f>
        <v/>
      </c>
      <c r="F3943" s="76" t="n"/>
      <c r="G3943" s="74" t="n"/>
      <c r="H3943" s="74" t="n"/>
      <c r="I3943" s="74" t="n"/>
      <c r="J3943" s="77" t="n"/>
      <c r="K3943" s="77" t="n"/>
      <c r="L3943" s="74" t="n"/>
      <c r="M3943" s="74" t="n"/>
      <c r="O3943" s="78">
        <f>IF($A3943="","",YEAR($A3943)*100+MONTH($A3943))</f>
        <v/>
      </c>
      <c r="P3943" s="79">
        <f>IF(OR($F3943="",$D3943=""),"",IF($D3943="Receita",$F3943,IF($D3943="Transferência",0,-$F3943)))</f>
        <v/>
      </c>
    </row>
    <row r="3944">
      <c r="A3944" s="73" t="n"/>
      <c r="B3944" s="74" t="n"/>
      <c r="C3944" s="74" t="n"/>
      <c r="D3944" s="75">
        <f>IF($C3944="","",IFERROR(INDEX(CAT_TIPO,MATCH($C3944,CAT_NOME,0)),"Sem categoria"))</f>
        <v/>
      </c>
      <c r="E3944" s="75">
        <f>IF($C3944="","",IFERROR(INDEX(CAT_GRUPO,MATCH($C3944,CAT_NOME,0)),"Sem categoria"))</f>
        <v/>
      </c>
      <c r="F3944" s="76" t="n"/>
      <c r="G3944" s="74" t="n"/>
      <c r="H3944" s="74" t="n"/>
      <c r="I3944" s="74" t="n"/>
      <c r="J3944" s="77" t="n"/>
      <c r="K3944" s="77" t="n"/>
      <c r="L3944" s="74" t="n"/>
      <c r="M3944" s="74" t="n"/>
      <c r="O3944" s="78">
        <f>IF($A3944="","",YEAR($A3944)*100+MONTH($A3944))</f>
        <v/>
      </c>
      <c r="P3944" s="79">
        <f>IF(OR($F3944="",$D3944=""),"",IF($D3944="Receita",$F3944,IF($D3944="Transferência",0,-$F3944)))</f>
        <v/>
      </c>
    </row>
    <row r="3945">
      <c r="A3945" s="73" t="n"/>
      <c r="B3945" s="74" t="n"/>
      <c r="C3945" s="74" t="n"/>
      <c r="D3945" s="75">
        <f>IF($C3945="","",IFERROR(INDEX(CAT_TIPO,MATCH($C3945,CAT_NOME,0)),"Sem categoria"))</f>
        <v/>
      </c>
      <c r="E3945" s="75">
        <f>IF($C3945="","",IFERROR(INDEX(CAT_GRUPO,MATCH($C3945,CAT_NOME,0)),"Sem categoria"))</f>
        <v/>
      </c>
      <c r="F3945" s="76" t="n"/>
      <c r="G3945" s="74" t="n"/>
      <c r="H3945" s="74" t="n"/>
      <c r="I3945" s="74" t="n"/>
      <c r="J3945" s="77" t="n"/>
      <c r="K3945" s="77" t="n"/>
      <c r="L3945" s="74" t="n"/>
      <c r="M3945" s="74" t="n"/>
      <c r="O3945" s="78">
        <f>IF($A3945="","",YEAR($A3945)*100+MONTH($A3945))</f>
        <v/>
      </c>
      <c r="P3945" s="79">
        <f>IF(OR($F3945="",$D3945=""),"",IF($D3945="Receita",$F3945,IF($D3945="Transferência",0,-$F3945)))</f>
        <v/>
      </c>
    </row>
    <row r="3946">
      <c r="A3946" s="73" t="n"/>
      <c r="B3946" s="74" t="n"/>
      <c r="C3946" s="74" t="n"/>
      <c r="D3946" s="75">
        <f>IF($C3946="","",IFERROR(INDEX(CAT_TIPO,MATCH($C3946,CAT_NOME,0)),"Sem categoria"))</f>
        <v/>
      </c>
      <c r="E3946" s="75">
        <f>IF($C3946="","",IFERROR(INDEX(CAT_GRUPO,MATCH($C3946,CAT_NOME,0)),"Sem categoria"))</f>
        <v/>
      </c>
      <c r="F3946" s="76" t="n"/>
      <c r="G3946" s="74" t="n"/>
      <c r="H3946" s="74" t="n"/>
      <c r="I3946" s="74" t="n"/>
      <c r="J3946" s="77" t="n"/>
      <c r="K3946" s="77" t="n"/>
      <c r="L3946" s="74" t="n"/>
      <c r="M3946" s="74" t="n"/>
      <c r="O3946" s="78">
        <f>IF($A3946="","",YEAR($A3946)*100+MONTH($A3946))</f>
        <v/>
      </c>
      <c r="P3946" s="79">
        <f>IF(OR($F3946="",$D3946=""),"",IF($D3946="Receita",$F3946,IF($D3946="Transferência",0,-$F3946)))</f>
        <v/>
      </c>
    </row>
    <row r="3947">
      <c r="A3947" s="73" t="n"/>
      <c r="B3947" s="74" t="n"/>
      <c r="C3947" s="74" t="n"/>
      <c r="D3947" s="75">
        <f>IF($C3947="","",IFERROR(INDEX(CAT_TIPO,MATCH($C3947,CAT_NOME,0)),"Sem categoria"))</f>
        <v/>
      </c>
      <c r="E3947" s="75">
        <f>IF($C3947="","",IFERROR(INDEX(CAT_GRUPO,MATCH($C3947,CAT_NOME,0)),"Sem categoria"))</f>
        <v/>
      </c>
      <c r="F3947" s="76" t="n"/>
      <c r="G3947" s="74" t="n"/>
      <c r="H3947" s="74" t="n"/>
      <c r="I3947" s="74" t="n"/>
      <c r="J3947" s="77" t="n"/>
      <c r="K3947" s="77" t="n"/>
      <c r="L3947" s="74" t="n"/>
      <c r="M3947" s="74" t="n"/>
      <c r="O3947" s="78">
        <f>IF($A3947="","",YEAR($A3947)*100+MONTH($A3947))</f>
        <v/>
      </c>
      <c r="P3947" s="79">
        <f>IF(OR($F3947="",$D3947=""),"",IF($D3947="Receita",$F3947,IF($D3947="Transferência",0,-$F3947)))</f>
        <v/>
      </c>
    </row>
    <row r="3948">
      <c r="A3948" s="73" t="n"/>
      <c r="B3948" s="74" t="n"/>
      <c r="C3948" s="74" t="n"/>
      <c r="D3948" s="75">
        <f>IF($C3948="","",IFERROR(INDEX(CAT_TIPO,MATCH($C3948,CAT_NOME,0)),"Sem categoria"))</f>
        <v/>
      </c>
      <c r="E3948" s="75">
        <f>IF($C3948="","",IFERROR(INDEX(CAT_GRUPO,MATCH($C3948,CAT_NOME,0)),"Sem categoria"))</f>
        <v/>
      </c>
      <c r="F3948" s="76" t="n"/>
      <c r="G3948" s="74" t="n"/>
      <c r="H3948" s="74" t="n"/>
      <c r="I3948" s="74" t="n"/>
      <c r="J3948" s="77" t="n"/>
      <c r="K3948" s="77" t="n"/>
      <c r="L3948" s="74" t="n"/>
      <c r="M3948" s="74" t="n"/>
      <c r="O3948" s="78">
        <f>IF($A3948="","",YEAR($A3948)*100+MONTH($A3948))</f>
        <v/>
      </c>
      <c r="P3948" s="79">
        <f>IF(OR($F3948="",$D3948=""),"",IF($D3948="Receita",$F3948,IF($D3948="Transferência",0,-$F3948)))</f>
        <v/>
      </c>
    </row>
    <row r="3949">
      <c r="A3949" s="73" t="n"/>
      <c r="B3949" s="74" t="n"/>
      <c r="C3949" s="74" t="n"/>
      <c r="D3949" s="75">
        <f>IF($C3949="","",IFERROR(INDEX(CAT_TIPO,MATCH($C3949,CAT_NOME,0)),"Sem categoria"))</f>
        <v/>
      </c>
      <c r="E3949" s="75">
        <f>IF($C3949="","",IFERROR(INDEX(CAT_GRUPO,MATCH($C3949,CAT_NOME,0)),"Sem categoria"))</f>
        <v/>
      </c>
      <c r="F3949" s="76" t="n"/>
      <c r="G3949" s="74" t="n"/>
      <c r="H3949" s="74" t="n"/>
      <c r="I3949" s="74" t="n"/>
      <c r="J3949" s="77" t="n"/>
      <c r="K3949" s="77" t="n"/>
      <c r="L3949" s="74" t="n"/>
      <c r="M3949" s="74" t="n"/>
      <c r="O3949" s="78">
        <f>IF($A3949="","",YEAR($A3949)*100+MONTH($A3949))</f>
        <v/>
      </c>
      <c r="P3949" s="79">
        <f>IF(OR($F3949="",$D3949=""),"",IF($D3949="Receita",$F3949,IF($D3949="Transferência",0,-$F3949)))</f>
        <v/>
      </c>
    </row>
    <row r="3950">
      <c r="A3950" s="73" t="n"/>
      <c r="B3950" s="74" t="n"/>
      <c r="C3950" s="74" t="n"/>
      <c r="D3950" s="75">
        <f>IF($C3950="","",IFERROR(INDEX(CAT_TIPO,MATCH($C3950,CAT_NOME,0)),"Sem categoria"))</f>
        <v/>
      </c>
      <c r="E3950" s="75">
        <f>IF($C3950="","",IFERROR(INDEX(CAT_GRUPO,MATCH($C3950,CAT_NOME,0)),"Sem categoria"))</f>
        <v/>
      </c>
      <c r="F3950" s="76" t="n"/>
      <c r="G3950" s="74" t="n"/>
      <c r="H3950" s="74" t="n"/>
      <c r="I3950" s="74" t="n"/>
      <c r="J3950" s="77" t="n"/>
      <c r="K3950" s="77" t="n"/>
      <c r="L3950" s="74" t="n"/>
      <c r="M3950" s="74" t="n"/>
      <c r="O3950" s="78">
        <f>IF($A3950="","",YEAR($A3950)*100+MONTH($A3950))</f>
        <v/>
      </c>
      <c r="P3950" s="79">
        <f>IF(OR($F3950="",$D3950=""),"",IF($D3950="Receita",$F3950,IF($D3950="Transferência",0,-$F3950)))</f>
        <v/>
      </c>
    </row>
    <row r="3951">
      <c r="A3951" s="73" t="n"/>
      <c r="B3951" s="74" t="n"/>
      <c r="C3951" s="74" t="n"/>
      <c r="D3951" s="75">
        <f>IF($C3951="","",IFERROR(INDEX(CAT_TIPO,MATCH($C3951,CAT_NOME,0)),"Sem categoria"))</f>
        <v/>
      </c>
      <c r="E3951" s="75">
        <f>IF($C3951="","",IFERROR(INDEX(CAT_GRUPO,MATCH($C3951,CAT_NOME,0)),"Sem categoria"))</f>
        <v/>
      </c>
      <c r="F3951" s="76" t="n"/>
      <c r="G3951" s="74" t="n"/>
      <c r="H3951" s="74" t="n"/>
      <c r="I3951" s="74" t="n"/>
      <c r="J3951" s="77" t="n"/>
      <c r="K3951" s="77" t="n"/>
      <c r="L3951" s="74" t="n"/>
      <c r="M3951" s="74" t="n"/>
      <c r="O3951" s="78">
        <f>IF($A3951="","",YEAR($A3951)*100+MONTH($A3951))</f>
        <v/>
      </c>
      <c r="P3951" s="79">
        <f>IF(OR($F3951="",$D3951=""),"",IF($D3951="Receita",$F3951,IF($D3951="Transferência",0,-$F3951)))</f>
        <v/>
      </c>
    </row>
    <row r="3952">
      <c r="A3952" s="73" t="n"/>
      <c r="B3952" s="74" t="n"/>
      <c r="C3952" s="74" t="n"/>
      <c r="D3952" s="75">
        <f>IF($C3952="","",IFERROR(INDEX(CAT_TIPO,MATCH($C3952,CAT_NOME,0)),"Sem categoria"))</f>
        <v/>
      </c>
      <c r="E3952" s="75">
        <f>IF($C3952="","",IFERROR(INDEX(CAT_GRUPO,MATCH($C3952,CAT_NOME,0)),"Sem categoria"))</f>
        <v/>
      </c>
      <c r="F3952" s="76" t="n"/>
      <c r="G3952" s="74" t="n"/>
      <c r="H3952" s="74" t="n"/>
      <c r="I3952" s="74" t="n"/>
      <c r="J3952" s="77" t="n"/>
      <c r="K3952" s="77" t="n"/>
      <c r="L3952" s="74" t="n"/>
      <c r="M3952" s="74" t="n"/>
      <c r="O3952" s="78">
        <f>IF($A3952="","",YEAR($A3952)*100+MONTH($A3952))</f>
        <v/>
      </c>
      <c r="P3952" s="79">
        <f>IF(OR($F3952="",$D3952=""),"",IF($D3952="Receita",$F3952,IF($D3952="Transferência",0,-$F3952)))</f>
        <v/>
      </c>
    </row>
    <row r="3953">
      <c r="A3953" s="73" t="n"/>
      <c r="B3953" s="74" t="n"/>
      <c r="C3953" s="74" t="n"/>
      <c r="D3953" s="75">
        <f>IF($C3953="","",IFERROR(INDEX(CAT_TIPO,MATCH($C3953,CAT_NOME,0)),"Sem categoria"))</f>
        <v/>
      </c>
      <c r="E3953" s="75">
        <f>IF($C3953="","",IFERROR(INDEX(CAT_GRUPO,MATCH($C3953,CAT_NOME,0)),"Sem categoria"))</f>
        <v/>
      </c>
      <c r="F3953" s="76" t="n"/>
      <c r="G3953" s="74" t="n"/>
      <c r="H3953" s="74" t="n"/>
      <c r="I3953" s="74" t="n"/>
      <c r="J3953" s="77" t="n"/>
      <c r="K3953" s="77" t="n"/>
      <c r="L3953" s="74" t="n"/>
      <c r="M3953" s="74" t="n"/>
      <c r="O3953" s="78">
        <f>IF($A3953="","",YEAR($A3953)*100+MONTH($A3953))</f>
        <v/>
      </c>
      <c r="P3953" s="79">
        <f>IF(OR($F3953="",$D3953=""),"",IF($D3953="Receita",$F3953,IF($D3953="Transferência",0,-$F3953)))</f>
        <v/>
      </c>
    </row>
    <row r="3954">
      <c r="A3954" s="73" t="n"/>
      <c r="B3954" s="74" t="n"/>
      <c r="C3954" s="74" t="n"/>
      <c r="D3954" s="75">
        <f>IF($C3954="","",IFERROR(INDEX(CAT_TIPO,MATCH($C3954,CAT_NOME,0)),"Sem categoria"))</f>
        <v/>
      </c>
      <c r="E3954" s="75">
        <f>IF($C3954="","",IFERROR(INDEX(CAT_GRUPO,MATCH($C3954,CAT_NOME,0)),"Sem categoria"))</f>
        <v/>
      </c>
      <c r="F3954" s="76" t="n"/>
      <c r="G3954" s="74" t="n"/>
      <c r="H3954" s="74" t="n"/>
      <c r="I3954" s="74" t="n"/>
      <c r="J3954" s="77" t="n"/>
      <c r="K3954" s="77" t="n"/>
      <c r="L3954" s="74" t="n"/>
      <c r="M3954" s="74" t="n"/>
      <c r="O3954" s="78">
        <f>IF($A3954="","",YEAR($A3954)*100+MONTH($A3954))</f>
        <v/>
      </c>
      <c r="P3954" s="79">
        <f>IF(OR($F3954="",$D3954=""),"",IF($D3954="Receita",$F3954,IF($D3954="Transferência",0,-$F3954)))</f>
        <v/>
      </c>
    </row>
    <row r="3955">
      <c r="A3955" s="73" t="n"/>
      <c r="B3955" s="74" t="n"/>
      <c r="C3955" s="74" t="n"/>
      <c r="D3955" s="75">
        <f>IF($C3955="","",IFERROR(INDEX(CAT_TIPO,MATCH($C3955,CAT_NOME,0)),"Sem categoria"))</f>
        <v/>
      </c>
      <c r="E3955" s="75">
        <f>IF($C3955="","",IFERROR(INDEX(CAT_GRUPO,MATCH($C3955,CAT_NOME,0)),"Sem categoria"))</f>
        <v/>
      </c>
      <c r="F3955" s="76" t="n"/>
      <c r="G3955" s="74" t="n"/>
      <c r="H3955" s="74" t="n"/>
      <c r="I3955" s="74" t="n"/>
      <c r="J3955" s="77" t="n"/>
      <c r="K3955" s="77" t="n"/>
      <c r="L3955" s="74" t="n"/>
      <c r="M3955" s="74" t="n"/>
      <c r="O3955" s="78">
        <f>IF($A3955="","",YEAR($A3955)*100+MONTH($A3955))</f>
        <v/>
      </c>
      <c r="P3955" s="79">
        <f>IF(OR($F3955="",$D3955=""),"",IF($D3955="Receita",$F3955,IF($D3955="Transferência",0,-$F3955)))</f>
        <v/>
      </c>
    </row>
    <row r="3956">
      <c r="A3956" s="73" t="n"/>
      <c r="B3956" s="74" t="n"/>
      <c r="C3956" s="74" t="n"/>
      <c r="D3956" s="75">
        <f>IF($C3956="","",IFERROR(INDEX(CAT_TIPO,MATCH($C3956,CAT_NOME,0)),"Sem categoria"))</f>
        <v/>
      </c>
      <c r="E3956" s="75">
        <f>IF($C3956="","",IFERROR(INDEX(CAT_GRUPO,MATCH($C3956,CAT_NOME,0)),"Sem categoria"))</f>
        <v/>
      </c>
      <c r="F3956" s="76" t="n"/>
      <c r="G3956" s="74" t="n"/>
      <c r="H3956" s="74" t="n"/>
      <c r="I3956" s="74" t="n"/>
      <c r="J3956" s="77" t="n"/>
      <c r="K3956" s="77" t="n"/>
      <c r="L3956" s="74" t="n"/>
      <c r="M3956" s="74" t="n"/>
      <c r="O3956" s="78">
        <f>IF($A3956="","",YEAR($A3956)*100+MONTH($A3956))</f>
        <v/>
      </c>
      <c r="P3956" s="79">
        <f>IF(OR($F3956="",$D3956=""),"",IF($D3956="Receita",$F3956,IF($D3956="Transferência",0,-$F3956)))</f>
        <v/>
      </c>
    </row>
    <row r="3957">
      <c r="A3957" s="73" t="n"/>
      <c r="B3957" s="74" t="n"/>
      <c r="C3957" s="74" t="n"/>
      <c r="D3957" s="75">
        <f>IF($C3957="","",IFERROR(INDEX(CAT_TIPO,MATCH($C3957,CAT_NOME,0)),"Sem categoria"))</f>
        <v/>
      </c>
      <c r="E3957" s="75">
        <f>IF($C3957="","",IFERROR(INDEX(CAT_GRUPO,MATCH($C3957,CAT_NOME,0)),"Sem categoria"))</f>
        <v/>
      </c>
      <c r="F3957" s="76" t="n"/>
      <c r="G3957" s="74" t="n"/>
      <c r="H3957" s="74" t="n"/>
      <c r="I3957" s="74" t="n"/>
      <c r="J3957" s="77" t="n"/>
      <c r="K3957" s="77" t="n"/>
      <c r="L3957" s="74" t="n"/>
      <c r="M3957" s="74" t="n"/>
      <c r="O3957" s="78">
        <f>IF($A3957="","",YEAR($A3957)*100+MONTH($A3957))</f>
        <v/>
      </c>
      <c r="P3957" s="79">
        <f>IF(OR($F3957="",$D3957=""),"",IF($D3957="Receita",$F3957,IF($D3957="Transferência",0,-$F3957)))</f>
        <v/>
      </c>
    </row>
    <row r="3958">
      <c r="A3958" s="73" t="n"/>
      <c r="B3958" s="74" t="n"/>
      <c r="C3958" s="74" t="n"/>
      <c r="D3958" s="75">
        <f>IF($C3958="","",IFERROR(INDEX(CAT_TIPO,MATCH($C3958,CAT_NOME,0)),"Sem categoria"))</f>
        <v/>
      </c>
      <c r="E3958" s="75">
        <f>IF($C3958="","",IFERROR(INDEX(CAT_GRUPO,MATCH($C3958,CAT_NOME,0)),"Sem categoria"))</f>
        <v/>
      </c>
      <c r="F3958" s="76" t="n"/>
      <c r="G3958" s="74" t="n"/>
      <c r="H3958" s="74" t="n"/>
      <c r="I3958" s="74" t="n"/>
      <c r="J3958" s="77" t="n"/>
      <c r="K3958" s="77" t="n"/>
      <c r="L3958" s="74" t="n"/>
      <c r="M3958" s="74" t="n"/>
      <c r="O3958" s="78">
        <f>IF($A3958="","",YEAR($A3958)*100+MONTH($A3958))</f>
        <v/>
      </c>
      <c r="P3958" s="79">
        <f>IF(OR($F3958="",$D3958=""),"",IF($D3958="Receita",$F3958,IF($D3958="Transferência",0,-$F3958)))</f>
        <v/>
      </c>
    </row>
    <row r="3959">
      <c r="A3959" s="73" t="n"/>
      <c r="B3959" s="74" t="n"/>
      <c r="C3959" s="74" t="n"/>
      <c r="D3959" s="75">
        <f>IF($C3959="","",IFERROR(INDEX(CAT_TIPO,MATCH($C3959,CAT_NOME,0)),"Sem categoria"))</f>
        <v/>
      </c>
      <c r="E3959" s="75">
        <f>IF($C3959="","",IFERROR(INDEX(CAT_GRUPO,MATCH($C3959,CAT_NOME,0)),"Sem categoria"))</f>
        <v/>
      </c>
      <c r="F3959" s="76" t="n"/>
      <c r="G3959" s="74" t="n"/>
      <c r="H3959" s="74" t="n"/>
      <c r="I3959" s="74" t="n"/>
      <c r="J3959" s="77" t="n"/>
      <c r="K3959" s="77" t="n"/>
      <c r="L3959" s="74" t="n"/>
      <c r="M3959" s="74" t="n"/>
      <c r="O3959" s="78">
        <f>IF($A3959="","",YEAR($A3959)*100+MONTH($A3959))</f>
        <v/>
      </c>
      <c r="P3959" s="79">
        <f>IF(OR($F3959="",$D3959=""),"",IF($D3959="Receita",$F3959,IF($D3959="Transferência",0,-$F3959)))</f>
        <v/>
      </c>
    </row>
    <row r="3960">
      <c r="A3960" s="73" t="n"/>
      <c r="B3960" s="74" t="n"/>
      <c r="C3960" s="74" t="n"/>
      <c r="D3960" s="75">
        <f>IF($C3960="","",IFERROR(INDEX(CAT_TIPO,MATCH($C3960,CAT_NOME,0)),"Sem categoria"))</f>
        <v/>
      </c>
      <c r="E3960" s="75">
        <f>IF($C3960="","",IFERROR(INDEX(CAT_GRUPO,MATCH($C3960,CAT_NOME,0)),"Sem categoria"))</f>
        <v/>
      </c>
      <c r="F3960" s="76" t="n"/>
      <c r="G3960" s="74" t="n"/>
      <c r="H3960" s="74" t="n"/>
      <c r="I3960" s="74" t="n"/>
      <c r="J3960" s="77" t="n"/>
      <c r="K3960" s="77" t="n"/>
      <c r="L3960" s="74" t="n"/>
      <c r="M3960" s="74" t="n"/>
      <c r="O3960" s="78">
        <f>IF($A3960="","",YEAR($A3960)*100+MONTH($A3960))</f>
        <v/>
      </c>
      <c r="P3960" s="79">
        <f>IF(OR($F3960="",$D3960=""),"",IF($D3960="Receita",$F3960,IF($D3960="Transferência",0,-$F3960)))</f>
        <v/>
      </c>
    </row>
    <row r="3961">
      <c r="A3961" s="73" t="n"/>
      <c r="B3961" s="74" t="n"/>
      <c r="C3961" s="74" t="n"/>
      <c r="D3961" s="75">
        <f>IF($C3961="","",IFERROR(INDEX(CAT_TIPO,MATCH($C3961,CAT_NOME,0)),"Sem categoria"))</f>
        <v/>
      </c>
      <c r="E3961" s="75">
        <f>IF($C3961="","",IFERROR(INDEX(CAT_GRUPO,MATCH($C3961,CAT_NOME,0)),"Sem categoria"))</f>
        <v/>
      </c>
      <c r="F3961" s="76" t="n"/>
      <c r="G3961" s="74" t="n"/>
      <c r="H3961" s="74" t="n"/>
      <c r="I3961" s="74" t="n"/>
      <c r="J3961" s="77" t="n"/>
      <c r="K3961" s="77" t="n"/>
      <c r="L3961" s="74" t="n"/>
      <c r="M3961" s="74" t="n"/>
      <c r="O3961" s="78">
        <f>IF($A3961="","",YEAR($A3961)*100+MONTH($A3961))</f>
        <v/>
      </c>
      <c r="P3961" s="79">
        <f>IF(OR($F3961="",$D3961=""),"",IF($D3961="Receita",$F3961,IF($D3961="Transferência",0,-$F3961)))</f>
        <v/>
      </c>
    </row>
    <row r="3962">
      <c r="A3962" s="73" t="n"/>
      <c r="B3962" s="74" t="n"/>
      <c r="C3962" s="74" t="n"/>
      <c r="D3962" s="75">
        <f>IF($C3962="","",IFERROR(INDEX(CAT_TIPO,MATCH($C3962,CAT_NOME,0)),"Sem categoria"))</f>
        <v/>
      </c>
      <c r="E3962" s="75">
        <f>IF($C3962="","",IFERROR(INDEX(CAT_GRUPO,MATCH($C3962,CAT_NOME,0)),"Sem categoria"))</f>
        <v/>
      </c>
      <c r="F3962" s="76" t="n"/>
      <c r="G3962" s="74" t="n"/>
      <c r="H3962" s="74" t="n"/>
      <c r="I3962" s="74" t="n"/>
      <c r="J3962" s="77" t="n"/>
      <c r="K3962" s="77" t="n"/>
      <c r="L3962" s="74" t="n"/>
      <c r="M3962" s="74" t="n"/>
      <c r="O3962" s="78">
        <f>IF($A3962="","",YEAR($A3962)*100+MONTH($A3962))</f>
        <v/>
      </c>
      <c r="P3962" s="79">
        <f>IF(OR($F3962="",$D3962=""),"",IF($D3962="Receita",$F3962,IF($D3962="Transferência",0,-$F3962)))</f>
        <v/>
      </c>
    </row>
    <row r="3963">
      <c r="A3963" s="73" t="n"/>
      <c r="B3963" s="74" t="n"/>
      <c r="C3963" s="74" t="n"/>
      <c r="D3963" s="75">
        <f>IF($C3963="","",IFERROR(INDEX(CAT_TIPO,MATCH($C3963,CAT_NOME,0)),"Sem categoria"))</f>
        <v/>
      </c>
      <c r="E3963" s="75">
        <f>IF($C3963="","",IFERROR(INDEX(CAT_GRUPO,MATCH($C3963,CAT_NOME,0)),"Sem categoria"))</f>
        <v/>
      </c>
      <c r="F3963" s="76" t="n"/>
      <c r="G3963" s="74" t="n"/>
      <c r="H3963" s="74" t="n"/>
      <c r="I3963" s="74" t="n"/>
      <c r="J3963" s="77" t="n"/>
      <c r="K3963" s="77" t="n"/>
      <c r="L3963" s="74" t="n"/>
      <c r="M3963" s="74" t="n"/>
      <c r="O3963" s="78">
        <f>IF($A3963="","",YEAR($A3963)*100+MONTH($A3963))</f>
        <v/>
      </c>
      <c r="P3963" s="79">
        <f>IF(OR($F3963="",$D3963=""),"",IF($D3963="Receita",$F3963,IF($D3963="Transferência",0,-$F3963)))</f>
        <v/>
      </c>
    </row>
    <row r="3964">
      <c r="A3964" s="73" t="n"/>
      <c r="B3964" s="74" t="n"/>
      <c r="C3964" s="74" t="n"/>
      <c r="D3964" s="75">
        <f>IF($C3964="","",IFERROR(INDEX(CAT_TIPO,MATCH($C3964,CAT_NOME,0)),"Sem categoria"))</f>
        <v/>
      </c>
      <c r="E3964" s="75">
        <f>IF($C3964="","",IFERROR(INDEX(CAT_GRUPO,MATCH($C3964,CAT_NOME,0)),"Sem categoria"))</f>
        <v/>
      </c>
      <c r="F3964" s="76" t="n"/>
      <c r="G3964" s="74" t="n"/>
      <c r="H3964" s="74" t="n"/>
      <c r="I3964" s="74" t="n"/>
      <c r="J3964" s="77" t="n"/>
      <c r="K3964" s="77" t="n"/>
      <c r="L3964" s="74" t="n"/>
      <c r="M3964" s="74" t="n"/>
      <c r="O3964" s="78">
        <f>IF($A3964="","",YEAR($A3964)*100+MONTH($A3964))</f>
        <v/>
      </c>
      <c r="P3964" s="79">
        <f>IF(OR($F3964="",$D3964=""),"",IF($D3964="Receita",$F3964,IF($D3964="Transferência",0,-$F3964)))</f>
        <v/>
      </c>
    </row>
    <row r="3965">
      <c r="A3965" s="73" t="n"/>
      <c r="B3965" s="74" t="n"/>
      <c r="C3965" s="74" t="n"/>
      <c r="D3965" s="75">
        <f>IF($C3965="","",IFERROR(INDEX(CAT_TIPO,MATCH($C3965,CAT_NOME,0)),"Sem categoria"))</f>
        <v/>
      </c>
      <c r="E3965" s="75">
        <f>IF($C3965="","",IFERROR(INDEX(CAT_GRUPO,MATCH($C3965,CAT_NOME,0)),"Sem categoria"))</f>
        <v/>
      </c>
      <c r="F3965" s="76" t="n"/>
      <c r="G3965" s="74" t="n"/>
      <c r="H3965" s="74" t="n"/>
      <c r="I3965" s="74" t="n"/>
      <c r="J3965" s="77" t="n"/>
      <c r="K3965" s="77" t="n"/>
      <c r="L3965" s="74" t="n"/>
      <c r="M3965" s="74" t="n"/>
      <c r="O3965" s="78">
        <f>IF($A3965="","",YEAR($A3965)*100+MONTH($A3965))</f>
        <v/>
      </c>
      <c r="P3965" s="79">
        <f>IF(OR($F3965="",$D3965=""),"",IF($D3965="Receita",$F3965,IF($D3965="Transferência",0,-$F3965)))</f>
        <v/>
      </c>
    </row>
    <row r="3966">
      <c r="A3966" s="73" t="n"/>
      <c r="B3966" s="74" t="n"/>
      <c r="C3966" s="74" t="n"/>
      <c r="D3966" s="75">
        <f>IF($C3966="","",IFERROR(INDEX(CAT_TIPO,MATCH($C3966,CAT_NOME,0)),"Sem categoria"))</f>
        <v/>
      </c>
      <c r="E3966" s="75">
        <f>IF($C3966="","",IFERROR(INDEX(CAT_GRUPO,MATCH($C3966,CAT_NOME,0)),"Sem categoria"))</f>
        <v/>
      </c>
      <c r="F3966" s="76" t="n"/>
      <c r="G3966" s="74" t="n"/>
      <c r="H3966" s="74" t="n"/>
      <c r="I3966" s="74" t="n"/>
      <c r="J3966" s="77" t="n"/>
      <c r="K3966" s="77" t="n"/>
      <c r="L3966" s="74" t="n"/>
      <c r="M3966" s="74" t="n"/>
      <c r="O3966" s="78">
        <f>IF($A3966="","",YEAR($A3966)*100+MONTH($A3966))</f>
        <v/>
      </c>
      <c r="P3966" s="79">
        <f>IF(OR($F3966="",$D3966=""),"",IF($D3966="Receita",$F3966,IF($D3966="Transferência",0,-$F3966)))</f>
        <v/>
      </c>
    </row>
    <row r="3967">
      <c r="A3967" s="73" t="n"/>
      <c r="B3967" s="74" t="n"/>
      <c r="C3967" s="74" t="n"/>
      <c r="D3967" s="75">
        <f>IF($C3967="","",IFERROR(INDEX(CAT_TIPO,MATCH($C3967,CAT_NOME,0)),"Sem categoria"))</f>
        <v/>
      </c>
      <c r="E3967" s="75">
        <f>IF($C3967="","",IFERROR(INDEX(CAT_GRUPO,MATCH($C3967,CAT_NOME,0)),"Sem categoria"))</f>
        <v/>
      </c>
      <c r="F3967" s="76" t="n"/>
      <c r="G3967" s="74" t="n"/>
      <c r="H3967" s="74" t="n"/>
      <c r="I3967" s="74" t="n"/>
      <c r="J3967" s="77" t="n"/>
      <c r="K3967" s="77" t="n"/>
      <c r="L3967" s="74" t="n"/>
      <c r="M3967" s="74" t="n"/>
      <c r="O3967" s="78">
        <f>IF($A3967="","",YEAR($A3967)*100+MONTH($A3967))</f>
        <v/>
      </c>
      <c r="P3967" s="79">
        <f>IF(OR($F3967="",$D3967=""),"",IF($D3967="Receita",$F3967,IF($D3967="Transferência",0,-$F3967)))</f>
        <v/>
      </c>
    </row>
    <row r="3968">
      <c r="A3968" s="73" t="n"/>
      <c r="B3968" s="74" t="n"/>
      <c r="C3968" s="74" t="n"/>
      <c r="D3968" s="75">
        <f>IF($C3968="","",IFERROR(INDEX(CAT_TIPO,MATCH($C3968,CAT_NOME,0)),"Sem categoria"))</f>
        <v/>
      </c>
      <c r="E3968" s="75">
        <f>IF($C3968="","",IFERROR(INDEX(CAT_GRUPO,MATCH($C3968,CAT_NOME,0)),"Sem categoria"))</f>
        <v/>
      </c>
      <c r="F3968" s="76" t="n"/>
      <c r="G3968" s="74" t="n"/>
      <c r="H3968" s="74" t="n"/>
      <c r="I3968" s="74" t="n"/>
      <c r="J3968" s="77" t="n"/>
      <c r="K3968" s="77" t="n"/>
      <c r="L3968" s="74" t="n"/>
      <c r="M3968" s="74" t="n"/>
      <c r="O3968" s="78">
        <f>IF($A3968="","",YEAR($A3968)*100+MONTH($A3968))</f>
        <v/>
      </c>
      <c r="P3968" s="79">
        <f>IF(OR($F3968="",$D3968=""),"",IF($D3968="Receita",$F3968,IF($D3968="Transferência",0,-$F3968)))</f>
        <v/>
      </c>
    </row>
    <row r="3969">
      <c r="A3969" s="73" t="n"/>
      <c r="B3969" s="74" t="n"/>
      <c r="C3969" s="74" t="n"/>
      <c r="D3969" s="75">
        <f>IF($C3969="","",IFERROR(INDEX(CAT_TIPO,MATCH($C3969,CAT_NOME,0)),"Sem categoria"))</f>
        <v/>
      </c>
      <c r="E3969" s="75">
        <f>IF($C3969="","",IFERROR(INDEX(CAT_GRUPO,MATCH($C3969,CAT_NOME,0)),"Sem categoria"))</f>
        <v/>
      </c>
      <c r="F3969" s="76" t="n"/>
      <c r="G3969" s="74" t="n"/>
      <c r="H3969" s="74" t="n"/>
      <c r="I3969" s="74" t="n"/>
      <c r="J3969" s="77" t="n"/>
      <c r="K3969" s="77" t="n"/>
      <c r="L3969" s="74" t="n"/>
      <c r="M3969" s="74" t="n"/>
      <c r="O3969" s="78">
        <f>IF($A3969="","",YEAR($A3969)*100+MONTH($A3969))</f>
        <v/>
      </c>
      <c r="P3969" s="79">
        <f>IF(OR($F3969="",$D3969=""),"",IF($D3969="Receita",$F3969,IF($D3969="Transferência",0,-$F3969)))</f>
        <v/>
      </c>
    </row>
    <row r="3970">
      <c r="A3970" s="73" t="n"/>
      <c r="B3970" s="74" t="n"/>
      <c r="C3970" s="74" t="n"/>
      <c r="D3970" s="75">
        <f>IF($C3970="","",IFERROR(INDEX(CAT_TIPO,MATCH($C3970,CAT_NOME,0)),"Sem categoria"))</f>
        <v/>
      </c>
      <c r="E3970" s="75">
        <f>IF($C3970="","",IFERROR(INDEX(CAT_GRUPO,MATCH($C3970,CAT_NOME,0)),"Sem categoria"))</f>
        <v/>
      </c>
      <c r="F3970" s="76" t="n"/>
      <c r="G3970" s="74" t="n"/>
      <c r="H3970" s="74" t="n"/>
      <c r="I3970" s="74" t="n"/>
      <c r="J3970" s="77" t="n"/>
      <c r="K3970" s="77" t="n"/>
      <c r="L3970" s="74" t="n"/>
      <c r="M3970" s="74" t="n"/>
      <c r="O3970" s="78">
        <f>IF($A3970="","",YEAR($A3970)*100+MONTH($A3970))</f>
        <v/>
      </c>
      <c r="P3970" s="79">
        <f>IF(OR($F3970="",$D3970=""),"",IF($D3970="Receita",$F3970,IF($D3970="Transferência",0,-$F3970)))</f>
        <v/>
      </c>
    </row>
    <row r="3971">
      <c r="A3971" s="73" t="n"/>
      <c r="B3971" s="74" t="n"/>
      <c r="C3971" s="74" t="n"/>
      <c r="D3971" s="75">
        <f>IF($C3971="","",IFERROR(INDEX(CAT_TIPO,MATCH($C3971,CAT_NOME,0)),"Sem categoria"))</f>
        <v/>
      </c>
      <c r="E3971" s="75">
        <f>IF($C3971="","",IFERROR(INDEX(CAT_GRUPO,MATCH($C3971,CAT_NOME,0)),"Sem categoria"))</f>
        <v/>
      </c>
      <c r="F3971" s="76" t="n"/>
      <c r="G3971" s="74" t="n"/>
      <c r="H3971" s="74" t="n"/>
      <c r="I3971" s="74" t="n"/>
      <c r="J3971" s="77" t="n"/>
      <c r="K3971" s="77" t="n"/>
      <c r="L3971" s="74" t="n"/>
      <c r="M3971" s="74" t="n"/>
      <c r="O3971" s="78">
        <f>IF($A3971="","",YEAR($A3971)*100+MONTH($A3971))</f>
        <v/>
      </c>
      <c r="P3971" s="79">
        <f>IF(OR($F3971="",$D3971=""),"",IF($D3971="Receita",$F3971,IF($D3971="Transferência",0,-$F3971)))</f>
        <v/>
      </c>
    </row>
    <row r="3972">
      <c r="A3972" s="73" t="n"/>
      <c r="B3972" s="74" t="n"/>
      <c r="C3972" s="74" t="n"/>
      <c r="D3972" s="75">
        <f>IF($C3972="","",IFERROR(INDEX(CAT_TIPO,MATCH($C3972,CAT_NOME,0)),"Sem categoria"))</f>
        <v/>
      </c>
      <c r="E3972" s="75">
        <f>IF($C3972="","",IFERROR(INDEX(CAT_GRUPO,MATCH($C3972,CAT_NOME,0)),"Sem categoria"))</f>
        <v/>
      </c>
      <c r="F3972" s="76" t="n"/>
      <c r="G3972" s="74" t="n"/>
      <c r="H3972" s="74" t="n"/>
      <c r="I3972" s="74" t="n"/>
      <c r="J3972" s="77" t="n"/>
      <c r="K3972" s="77" t="n"/>
      <c r="L3972" s="74" t="n"/>
      <c r="M3972" s="74" t="n"/>
      <c r="O3972" s="78">
        <f>IF($A3972="","",YEAR($A3972)*100+MONTH($A3972))</f>
        <v/>
      </c>
      <c r="P3972" s="79">
        <f>IF(OR($F3972="",$D3972=""),"",IF($D3972="Receita",$F3972,IF($D3972="Transferência",0,-$F3972)))</f>
        <v/>
      </c>
    </row>
    <row r="3973">
      <c r="A3973" s="73" t="n"/>
      <c r="B3973" s="74" t="n"/>
      <c r="C3973" s="74" t="n"/>
      <c r="D3973" s="75">
        <f>IF($C3973="","",IFERROR(INDEX(CAT_TIPO,MATCH($C3973,CAT_NOME,0)),"Sem categoria"))</f>
        <v/>
      </c>
      <c r="E3973" s="75">
        <f>IF($C3973="","",IFERROR(INDEX(CAT_GRUPO,MATCH($C3973,CAT_NOME,0)),"Sem categoria"))</f>
        <v/>
      </c>
      <c r="F3973" s="76" t="n"/>
      <c r="G3973" s="74" t="n"/>
      <c r="H3973" s="74" t="n"/>
      <c r="I3973" s="74" t="n"/>
      <c r="J3973" s="77" t="n"/>
      <c r="K3973" s="77" t="n"/>
      <c r="L3973" s="74" t="n"/>
      <c r="M3973" s="74" t="n"/>
      <c r="O3973" s="78">
        <f>IF($A3973="","",YEAR($A3973)*100+MONTH($A3973))</f>
        <v/>
      </c>
      <c r="P3973" s="79">
        <f>IF(OR($F3973="",$D3973=""),"",IF($D3973="Receita",$F3973,IF($D3973="Transferência",0,-$F3973)))</f>
        <v/>
      </c>
    </row>
    <row r="3974">
      <c r="A3974" s="73" t="n"/>
      <c r="B3974" s="74" t="n"/>
      <c r="C3974" s="74" t="n"/>
      <c r="D3974" s="75">
        <f>IF($C3974="","",IFERROR(INDEX(CAT_TIPO,MATCH($C3974,CAT_NOME,0)),"Sem categoria"))</f>
        <v/>
      </c>
      <c r="E3974" s="75">
        <f>IF($C3974="","",IFERROR(INDEX(CAT_GRUPO,MATCH($C3974,CAT_NOME,0)),"Sem categoria"))</f>
        <v/>
      </c>
      <c r="F3974" s="76" t="n"/>
      <c r="G3974" s="74" t="n"/>
      <c r="H3974" s="74" t="n"/>
      <c r="I3974" s="74" t="n"/>
      <c r="J3974" s="77" t="n"/>
      <c r="K3974" s="77" t="n"/>
      <c r="L3974" s="74" t="n"/>
      <c r="M3974" s="74" t="n"/>
      <c r="O3974" s="78">
        <f>IF($A3974="","",YEAR($A3974)*100+MONTH($A3974))</f>
        <v/>
      </c>
      <c r="P3974" s="79">
        <f>IF(OR($F3974="",$D3974=""),"",IF($D3974="Receita",$F3974,IF($D3974="Transferência",0,-$F3974)))</f>
        <v/>
      </c>
    </row>
    <row r="3975">
      <c r="A3975" s="73" t="n"/>
      <c r="B3975" s="74" t="n"/>
      <c r="C3975" s="74" t="n"/>
      <c r="D3975" s="75">
        <f>IF($C3975="","",IFERROR(INDEX(CAT_TIPO,MATCH($C3975,CAT_NOME,0)),"Sem categoria"))</f>
        <v/>
      </c>
      <c r="E3975" s="75">
        <f>IF($C3975="","",IFERROR(INDEX(CAT_GRUPO,MATCH($C3975,CAT_NOME,0)),"Sem categoria"))</f>
        <v/>
      </c>
      <c r="F3975" s="76" t="n"/>
      <c r="G3975" s="74" t="n"/>
      <c r="H3975" s="74" t="n"/>
      <c r="I3975" s="74" t="n"/>
      <c r="J3975" s="77" t="n"/>
      <c r="K3975" s="77" t="n"/>
      <c r="L3975" s="74" t="n"/>
      <c r="M3975" s="74" t="n"/>
      <c r="O3975" s="78">
        <f>IF($A3975="","",YEAR($A3975)*100+MONTH($A3975))</f>
        <v/>
      </c>
      <c r="P3975" s="79">
        <f>IF(OR($F3975="",$D3975=""),"",IF($D3975="Receita",$F3975,IF($D3975="Transferência",0,-$F3975)))</f>
        <v/>
      </c>
    </row>
    <row r="3976">
      <c r="A3976" s="73" t="n"/>
      <c r="B3976" s="74" t="n"/>
      <c r="C3976" s="74" t="n"/>
      <c r="D3976" s="75">
        <f>IF($C3976="","",IFERROR(INDEX(CAT_TIPO,MATCH($C3976,CAT_NOME,0)),"Sem categoria"))</f>
        <v/>
      </c>
      <c r="E3976" s="75">
        <f>IF($C3976="","",IFERROR(INDEX(CAT_GRUPO,MATCH($C3976,CAT_NOME,0)),"Sem categoria"))</f>
        <v/>
      </c>
      <c r="F3976" s="76" t="n"/>
      <c r="G3976" s="74" t="n"/>
      <c r="H3976" s="74" t="n"/>
      <c r="I3976" s="74" t="n"/>
      <c r="J3976" s="77" t="n"/>
      <c r="K3976" s="77" t="n"/>
      <c r="L3976" s="74" t="n"/>
      <c r="M3976" s="74" t="n"/>
      <c r="O3976" s="78">
        <f>IF($A3976="","",YEAR($A3976)*100+MONTH($A3976))</f>
        <v/>
      </c>
      <c r="P3976" s="79">
        <f>IF(OR($F3976="",$D3976=""),"",IF($D3976="Receita",$F3976,IF($D3976="Transferência",0,-$F3976)))</f>
        <v/>
      </c>
    </row>
    <row r="3977">
      <c r="A3977" s="73" t="n"/>
      <c r="B3977" s="74" t="n"/>
      <c r="C3977" s="74" t="n"/>
      <c r="D3977" s="75">
        <f>IF($C3977="","",IFERROR(INDEX(CAT_TIPO,MATCH($C3977,CAT_NOME,0)),"Sem categoria"))</f>
        <v/>
      </c>
      <c r="E3977" s="75">
        <f>IF($C3977="","",IFERROR(INDEX(CAT_GRUPO,MATCH($C3977,CAT_NOME,0)),"Sem categoria"))</f>
        <v/>
      </c>
      <c r="F3977" s="76" t="n"/>
      <c r="G3977" s="74" t="n"/>
      <c r="H3977" s="74" t="n"/>
      <c r="I3977" s="74" t="n"/>
      <c r="J3977" s="77" t="n"/>
      <c r="K3977" s="77" t="n"/>
      <c r="L3977" s="74" t="n"/>
      <c r="M3977" s="74" t="n"/>
      <c r="O3977" s="78">
        <f>IF($A3977="","",YEAR($A3977)*100+MONTH($A3977))</f>
        <v/>
      </c>
      <c r="P3977" s="79">
        <f>IF(OR($F3977="",$D3977=""),"",IF($D3977="Receita",$F3977,IF($D3977="Transferência",0,-$F3977)))</f>
        <v/>
      </c>
    </row>
    <row r="3978">
      <c r="A3978" s="73" t="n"/>
      <c r="B3978" s="74" t="n"/>
      <c r="C3978" s="74" t="n"/>
      <c r="D3978" s="75">
        <f>IF($C3978="","",IFERROR(INDEX(CAT_TIPO,MATCH($C3978,CAT_NOME,0)),"Sem categoria"))</f>
        <v/>
      </c>
      <c r="E3978" s="75">
        <f>IF($C3978="","",IFERROR(INDEX(CAT_GRUPO,MATCH($C3978,CAT_NOME,0)),"Sem categoria"))</f>
        <v/>
      </c>
      <c r="F3978" s="76" t="n"/>
      <c r="G3978" s="74" t="n"/>
      <c r="H3978" s="74" t="n"/>
      <c r="I3978" s="74" t="n"/>
      <c r="J3978" s="77" t="n"/>
      <c r="K3978" s="77" t="n"/>
      <c r="L3978" s="74" t="n"/>
      <c r="M3978" s="74" t="n"/>
      <c r="O3978" s="78">
        <f>IF($A3978="","",YEAR($A3978)*100+MONTH($A3978))</f>
        <v/>
      </c>
      <c r="P3978" s="79">
        <f>IF(OR($F3978="",$D3978=""),"",IF($D3978="Receita",$F3978,IF($D3978="Transferência",0,-$F3978)))</f>
        <v/>
      </c>
    </row>
    <row r="3979">
      <c r="A3979" s="73" t="n"/>
      <c r="B3979" s="74" t="n"/>
      <c r="C3979" s="74" t="n"/>
      <c r="D3979" s="75">
        <f>IF($C3979="","",IFERROR(INDEX(CAT_TIPO,MATCH($C3979,CAT_NOME,0)),"Sem categoria"))</f>
        <v/>
      </c>
      <c r="E3979" s="75">
        <f>IF($C3979="","",IFERROR(INDEX(CAT_GRUPO,MATCH($C3979,CAT_NOME,0)),"Sem categoria"))</f>
        <v/>
      </c>
      <c r="F3979" s="76" t="n"/>
      <c r="G3979" s="74" t="n"/>
      <c r="H3979" s="74" t="n"/>
      <c r="I3979" s="74" t="n"/>
      <c r="J3979" s="77" t="n"/>
      <c r="K3979" s="77" t="n"/>
      <c r="L3979" s="74" t="n"/>
      <c r="M3979" s="74" t="n"/>
      <c r="O3979" s="78">
        <f>IF($A3979="","",YEAR($A3979)*100+MONTH($A3979))</f>
        <v/>
      </c>
      <c r="P3979" s="79">
        <f>IF(OR($F3979="",$D3979=""),"",IF($D3979="Receita",$F3979,IF($D3979="Transferência",0,-$F3979)))</f>
        <v/>
      </c>
    </row>
    <row r="3980">
      <c r="A3980" s="73" t="n"/>
      <c r="B3980" s="74" t="n"/>
      <c r="C3980" s="74" t="n"/>
      <c r="D3980" s="75">
        <f>IF($C3980="","",IFERROR(INDEX(CAT_TIPO,MATCH($C3980,CAT_NOME,0)),"Sem categoria"))</f>
        <v/>
      </c>
      <c r="E3980" s="75">
        <f>IF($C3980="","",IFERROR(INDEX(CAT_GRUPO,MATCH($C3980,CAT_NOME,0)),"Sem categoria"))</f>
        <v/>
      </c>
      <c r="F3980" s="76" t="n"/>
      <c r="G3980" s="74" t="n"/>
      <c r="H3980" s="74" t="n"/>
      <c r="I3980" s="74" t="n"/>
      <c r="J3980" s="77" t="n"/>
      <c r="K3980" s="77" t="n"/>
      <c r="L3980" s="74" t="n"/>
      <c r="M3980" s="74" t="n"/>
      <c r="O3980" s="78">
        <f>IF($A3980="","",YEAR($A3980)*100+MONTH($A3980))</f>
        <v/>
      </c>
      <c r="P3980" s="79">
        <f>IF(OR($F3980="",$D3980=""),"",IF($D3980="Receita",$F3980,IF($D3980="Transferência",0,-$F3980)))</f>
        <v/>
      </c>
    </row>
    <row r="3981">
      <c r="A3981" s="73" t="n"/>
      <c r="B3981" s="74" t="n"/>
      <c r="C3981" s="74" t="n"/>
      <c r="D3981" s="75">
        <f>IF($C3981="","",IFERROR(INDEX(CAT_TIPO,MATCH($C3981,CAT_NOME,0)),"Sem categoria"))</f>
        <v/>
      </c>
      <c r="E3981" s="75">
        <f>IF($C3981="","",IFERROR(INDEX(CAT_GRUPO,MATCH($C3981,CAT_NOME,0)),"Sem categoria"))</f>
        <v/>
      </c>
      <c r="F3981" s="76" t="n"/>
      <c r="G3981" s="74" t="n"/>
      <c r="H3981" s="74" t="n"/>
      <c r="I3981" s="74" t="n"/>
      <c r="J3981" s="77" t="n"/>
      <c r="K3981" s="77" t="n"/>
      <c r="L3981" s="74" t="n"/>
      <c r="M3981" s="74" t="n"/>
      <c r="O3981" s="78">
        <f>IF($A3981="","",YEAR($A3981)*100+MONTH($A3981))</f>
        <v/>
      </c>
      <c r="P3981" s="79">
        <f>IF(OR($F3981="",$D3981=""),"",IF($D3981="Receita",$F3981,IF($D3981="Transferência",0,-$F3981)))</f>
        <v/>
      </c>
    </row>
    <row r="3982">
      <c r="A3982" s="73" t="n"/>
      <c r="B3982" s="74" t="n"/>
      <c r="C3982" s="74" t="n"/>
      <c r="D3982" s="75">
        <f>IF($C3982="","",IFERROR(INDEX(CAT_TIPO,MATCH($C3982,CAT_NOME,0)),"Sem categoria"))</f>
        <v/>
      </c>
      <c r="E3982" s="75">
        <f>IF($C3982="","",IFERROR(INDEX(CAT_GRUPO,MATCH($C3982,CAT_NOME,0)),"Sem categoria"))</f>
        <v/>
      </c>
      <c r="F3982" s="76" t="n"/>
      <c r="G3982" s="74" t="n"/>
      <c r="H3982" s="74" t="n"/>
      <c r="I3982" s="74" t="n"/>
      <c r="J3982" s="77" t="n"/>
      <c r="K3982" s="77" t="n"/>
      <c r="L3982" s="74" t="n"/>
      <c r="M3982" s="74" t="n"/>
      <c r="O3982" s="78">
        <f>IF($A3982="","",YEAR($A3982)*100+MONTH($A3982))</f>
        <v/>
      </c>
      <c r="P3982" s="79">
        <f>IF(OR($F3982="",$D3982=""),"",IF($D3982="Receita",$F3982,IF($D3982="Transferência",0,-$F3982)))</f>
        <v/>
      </c>
    </row>
    <row r="3983">
      <c r="A3983" s="73" t="n"/>
      <c r="B3983" s="74" t="n"/>
      <c r="C3983" s="74" t="n"/>
      <c r="D3983" s="75">
        <f>IF($C3983="","",IFERROR(INDEX(CAT_TIPO,MATCH($C3983,CAT_NOME,0)),"Sem categoria"))</f>
        <v/>
      </c>
      <c r="E3983" s="75">
        <f>IF($C3983="","",IFERROR(INDEX(CAT_GRUPO,MATCH($C3983,CAT_NOME,0)),"Sem categoria"))</f>
        <v/>
      </c>
      <c r="F3983" s="76" t="n"/>
      <c r="G3983" s="74" t="n"/>
      <c r="H3983" s="74" t="n"/>
      <c r="I3983" s="74" t="n"/>
      <c r="J3983" s="77" t="n"/>
      <c r="K3983" s="77" t="n"/>
      <c r="L3983" s="74" t="n"/>
      <c r="M3983" s="74" t="n"/>
      <c r="O3983" s="78">
        <f>IF($A3983="","",YEAR($A3983)*100+MONTH($A3983))</f>
        <v/>
      </c>
      <c r="P3983" s="79">
        <f>IF(OR($F3983="",$D3983=""),"",IF($D3983="Receita",$F3983,IF($D3983="Transferência",0,-$F3983)))</f>
        <v/>
      </c>
    </row>
    <row r="3984">
      <c r="A3984" s="73" t="n"/>
      <c r="B3984" s="74" t="n"/>
      <c r="C3984" s="74" t="n"/>
      <c r="D3984" s="75">
        <f>IF($C3984="","",IFERROR(INDEX(CAT_TIPO,MATCH($C3984,CAT_NOME,0)),"Sem categoria"))</f>
        <v/>
      </c>
      <c r="E3984" s="75">
        <f>IF($C3984="","",IFERROR(INDEX(CAT_GRUPO,MATCH($C3984,CAT_NOME,0)),"Sem categoria"))</f>
        <v/>
      </c>
      <c r="F3984" s="76" t="n"/>
      <c r="G3984" s="74" t="n"/>
      <c r="H3984" s="74" t="n"/>
      <c r="I3984" s="74" t="n"/>
      <c r="J3984" s="77" t="n"/>
      <c r="K3984" s="77" t="n"/>
      <c r="L3984" s="74" t="n"/>
      <c r="M3984" s="74" t="n"/>
      <c r="O3984" s="78">
        <f>IF($A3984="","",YEAR($A3984)*100+MONTH($A3984))</f>
        <v/>
      </c>
      <c r="P3984" s="79">
        <f>IF(OR($F3984="",$D3984=""),"",IF($D3984="Receita",$F3984,IF($D3984="Transferência",0,-$F3984)))</f>
        <v/>
      </c>
    </row>
    <row r="3985">
      <c r="A3985" s="73" t="n"/>
      <c r="B3985" s="74" t="n"/>
      <c r="C3985" s="74" t="n"/>
      <c r="D3985" s="75">
        <f>IF($C3985="","",IFERROR(INDEX(CAT_TIPO,MATCH($C3985,CAT_NOME,0)),"Sem categoria"))</f>
        <v/>
      </c>
      <c r="E3985" s="75">
        <f>IF($C3985="","",IFERROR(INDEX(CAT_GRUPO,MATCH($C3985,CAT_NOME,0)),"Sem categoria"))</f>
        <v/>
      </c>
      <c r="F3985" s="76" t="n"/>
      <c r="G3985" s="74" t="n"/>
      <c r="H3985" s="74" t="n"/>
      <c r="I3985" s="74" t="n"/>
      <c r="J3985" s="77" t="n"/>
      <c r="K3985" s="77" t="n"/>
      <c r="L3985" s="74" t="n"/>
      <c r="M3985" s="74" t="n"/>
      <c r="O3985" s="78">
        <f>IF($A3985="","",YEAR($A3985)*100+MONTH($A3985))</f>
        <v/>
      </c>
      <c r="P3985" s="79">
        <f>IF(OR($F3985="",$D3985=""),"",IF($D3985="Receita",$F3985,IF($D3985="Transferência",0,-$F3985)))</f>
        <v/>
      </c>
    </row>
    <row r="3986">
      <c r="A3986" s="73" t="n"/>
      <c r="B3986" s="74" t="n"/>
      <c r="C3986" s="74" t="n"/>
      <c r="D3986" s="75">
        <f>IF($C3986="","",IFERROR(INDEX(CAT_TIPO,MATCH($C3986,CAT_NOME,0)),"Sem categoria"))</f>
        <v/>
      </c>
      <c r="E3986" s="75">
        <f>IF($C3986="","",IFERROR(INDEX(CAT_GRUPO,MATCH($C3986,CAT_NOME,0)),"Sem categoria"))</f>
        <v/>
      </c>
      <c r="F3986" s="76" t="n"/>
      <c r="G3986" s="74" t="n"/>
      <c r="H3986" s="74" t="n"/>
      <c r="I3986" s="74" t="n"/>
      <c r="J3986" s="77" t="n"/>
      <c r="K3986" s="77" t="n"/>
      <c r="L3986" s="74" t="n"/>
      <c r="M3986" s="74" t="n"/>
      <c r="O3986" s="78">
        <f>IF($A3986="","",YEAR($A3986)*100+MONTH($A3986))</f>
        <v/>
      </c>
      <c r="P3986" s="79">
        <f>IF(OR($F3986="",$D3986=""),"",IF($D3986="Receita",$F3986,IF($D3986="Transferência",0,-$F3986)))</f>
        <v/>
      </c>
    </row>
    <row r="3987">
      <c r="A3987" s="73" t="n"/>
      <c r="B3987" s="74" t="n"/>
      <c r="C3987" s="74" t="n"/>
      <c r="D3987" s="75">
        <f>IF($C3987="","",IFERROR(INDEX(CAT_TIPO,MATCH($C3987,CAT_NOME,0)),"Sem categoria"))</f>
        <v/>
      </c>
      <c r="E3987" s="75">
        <f>IF($C3987="","",IFERROR(INDEX(CAT_GRUPO,MATCH($C3987,CAT_NOME,0)),"Sem categoria"))</f>
        <v/>
      </c>
      <c r="F3987" s="76" t="n"/>
      <c r="G3987" s="74" t="n"/>
      <c r="H3987" s="74" t="n"/>
      <c r="I3987" s="74" t="n"/>
      <c r="J3987" s="77" t="n"/>
      <c r="K3987" s="77" t="n"/>
      <c r="L3987" s="74" t="n"/>
      <c r="M3987" s="74" t="n"/>
      <c r="O3987" s="78">
        <f>IF($A3987="","",YEAR($A3987)*100+MONTH($A3987))</f>
        <v/>
      </c>
      <c r="P3987" s="79">
        <f>IF(OR($F3987="",$D3987=""),"",IF($D3987="Receita",$F3987,IF($D3987="Transferência",0,-$F3987)))</f>
        <v/>
      </c>
    </row>
    <row r="3988">
      <c r="A3988" s="73" t="n"/>
      <c r="B3988" s="74" t="n"/>
      <c r="C3988" s="74" t="n"/>
      <c r="D3988" s="75">
        <f>IF($C3988="","",IFERROR(INDEX(CAT_TIPO,MATCH($C3988,CAT_NOME,0)),"Sem categoria"))</f>
        <v/>
      </c>
      <c r="E3988" s="75">
        <f>IF($C3988="","",IFERROR(INDEX(CAT_GRUPO,MATCH($C3988,CAT_NOME,0)),"Sem categoria"))</f>
        <v/>
      </c>
      <c r="F3988" s="76" t="n"/>
      <c r="G3988" s="74" t="n"/>
      <c r="H3988" s="74" t="n"/>
      <c r="I3988" s="74" t="n"/>
      <c r="J3988" s="77" t="n"/>
      <c r="K3988" s="77" t="n"/>
      <c r="L3988" s="74" t="n"/>
      <c r="M3988" s="74" t="n"/>
      <c r="O3988" s="78">
        <f>IF($A3988="","",YEAR($A3988)*100+MONTH($A3988))</f>
        <v/>
      </c>
      <c r="P3988" s="79">
        <f>IF(OR($F3988="",$D3988=""),"",IF($D3988="Receita",$F3988,IF($D3988="Transferência",0,-$F3988)))</f>
        <v/>
      </c>
    </row>
    <row r="3989">
      <c r="A3989" s="73" t="n"/>
      <c r="B3989" s="74" t="n"/>
      <c r="C3989" s="74" t="n"/>
      <c r="D3989" s="75">
        <f>IF($C3989="","",IFERROR(INDEX(CAT_TIPO,MATCH($C3989,CAT_NOME,0)),"Sem categoria"))</f>
        <v/>
      </c>
      <c r="E3989" s="75">
        <f>IF($C3989="","",IFERROR(INDEX(CAT_GRUPO,MATCH($C3989,CAT_NOME,0)),"Sem categoria"))</f>
        <v/>
      </c>
      <c r="F3989" s="76" t="n"/>
      <c r="G3989" s="74" t="n"/>
      <c r="H3989" s="74" t="n"/>
      <c r="I3989" s="74" t="n"/>
      <c r="J3989" s="77" t="n"/>
      <c r="K3989" s="77" t="n"/>
      <c r="L3989" s="74" t="n"/>
      <c r="M3989" s="74" t="n"/>
      <c r="O3989" s="78">
        <f>IF($A3989="","",YEAR($A3989)*100+MONTH($A3989))</f>
        <v/>
      </c>
      <c r="P3989" s="79">
        <f>IF(OR($F3989="",$D3989=""),"",IF($D3989="Receita",$F3989,IF($D3989="Transferência",0,-$F3989)))</f>
        <v/>
      </c>
    </row>
    <row r="3990">
      <c r="A3990" s="73" t="n"/>
      <c r="B3990" s="74" t="n"/>
      <c r="C3990" s="74" t="n"/>
      <c r="D3990" s="75">
        <f>IF($C3990="","",IFERROR(INDEX(CAT_TIPO,MATCH($C3990,CAT_NOME,0)),"Sem categoria"))</f>
        <v/>
      </c>
      <c r="E3990" s="75">
        <f>IF($C3990="","",IFERROR(INDEX(CAT_GRUPO,MATCH($C3990,CAT_NOME,0)),"Sem categoria"))</f>
        <v/>
      </c>
      <c r="F3990" s="76" t="n"/>
      <c r="G3990" s="74" t="n"/>
      <c r="H3990" s="74" t="n"/>
      <c r="I3990" s="74" t="n"/>
      <c r="J3990" s="77" t="n"/>
      <c r="K3990" s="77" t="n"/>
      <c r="L3990" s="74" t="n"/>
      <c r="M3990" s="74" t="n"/>
      <c r="O3990" s="78">
        <f>IF($A3990="","",YEAR($A3990)*100+MONTH($A3990))</f>
        <v/>
      </c>
      <c r="P3990" s="79">
        <f>IF(OR($F3990="",$D3990=""),"",IF($D3990="Receita",$F3990,IF($D3990="Transferência",0,-$F3990)))</f>
        <v/>
      </c>
    </row>
    <row r="3991">
      <c r="A3991" s="73" t="n"/>
      <c r="B3991" s="74" t="n"/>
      <c r="C3991" s="74" t="n"/>
      <c r="D3991" s="75">
        <f>IF($C3991="","",IFERROR(INDEX(CAT_TIPO,MATCH($C3991,CAT_NOME,0)),"Sem categoria"))</f>
        <v/>
      </c>
      <c r="E3991" s="75">
        <f>IF($C3991="","",IFERROR(INDEX(CAT_GRUPO,MATCH($C3991,CAT_NOME,0)),"Sem categoria"))</f>
        <v/>
      </c>
      <c r="F3991" s="76" t="n"/>
      <c r="G3991" s="74" t="n"/>
      <c r="H3991" s="74" t="n"/>
      <c r="I3991" s="74" t="n"/>
      <c r="J3991" s="77" t="n"/>
      <c r="K3991" s="77" t="n"/>
      <c r="L3991" s="74" t="n"/>
      <c r="M3991" s="74" t="n"/>
      <c r="O3991" s="78">
        <f>IF($A3991="","",YEAR($A3991)*100+MONTH($A3991))</f>
        <v/>
      </c>
      <c r="P3991" s="79">
        <f>IF(OR($F3991="",$D3991=""),"",IF($D3991="Receita",$F3991,IF($D3991="Transferência",0,-$F3991)))</f>
        <v/>
      </c>
    </row>
    <row r="3992">
      <c r="A3992" s="73" t="n"/>
      <c r="B3992" s="74" t="n"/>
      <c r="C3992" s="74" t="n"/>
      <c r="D3992" s="75">
        <f>IF($C3992="","",IFERROR(INDEX(CAT_TIPO,MATCH($C3992,CAT_NOME,0)),"Sem categoria"))</f>
        <v/>
      </c>
      <c r="E3992" s="75">
        <f>IF($C3992="","",IFERROR(INDEX(CAT_GRUPO,MATCH($C3992,CAT_NOME,0)),"Sem categoria"))</f>
        <v/>
      </c>
      <c r="F3992" s="76" t="n"/>
      <c r="G3992" s="74" t="n"/>
      <c r="H3992" s="74" t="n"/>
      <c r="I3992" s="74" t="n"/>
      <c r="J3992" s="77" t="n"/>
      <c r="K3992" s="77" t="n"/>
      <c r="L3992" s="74" t="n"/>
      <c r="M3992" s="74" t="n"/>
      <c r="O3992" s="78">
        <f>IF($A3992="","",YEAR($A3992)*100+MONTH($A3992))</f>
        <v/>
      </c>
      <c r="P3992" s="79">
        <f>IF(OR($F3992="",$D3992=""),"",IF($D3992="Receita",$F3992,IF($D3992="Transferência",0,-$F3992)))</f>
        <v/>
      </c>
    </row>
    <row r="3993">
      <c r="A3993" s="73" t="n"/>
      <c r="B3993" s="74" t="n"/>
      <c r="C3993" s="74" t="n"/>
      <c r="D3993" s="75">
        <f>IF($C3993="","",IFERROR(INDEX(CAT_TIPO,MATCH($C3993,CAT_NOME,0)),"Sem categoria"))</f>
        <v/>
      </c>
      <c r="E3993" s="75">
        <f>IF($C3993="","",IFERROR(INDEX(CAT_GRUPO,MATCH($C3993,CAT_NOME,0)),"Sem categoria"))</f>
        <v/>
      </c>
      <c r="F3993" s="76" t="n"/>
      <c r="G3993" s="74" t="n"/>
      <c r="H3993" s="74" t="n"/>
      <c r="I3993" s="74" t="n"/>
      <c r="J3993" s="77" t="n"/>
      <c r="K3993" s="77" t="n"/>
      <c r="L3993" s="74" t="n"/>
      <c r="M3993" s="74" t="n"/>
      <c r="O3993" s="78">
        <f>IF($A3993="","",YEAR($A3993)*100+MONTH($A3993))</f>
        <v/>
      </c>
      <c r="P3993" s="79">
        <f>IF(OR($F3993="",$D3993=""),"",IF($D3993="Receita",$F3993,IF($D3993="Transferência",0,-$F3993)))</f>
        <v/>
      </c>
    </row>
    <row r="3994">
      <c r="A3994" s="73" t="n"/>
      <c r="B3994" s="74" t="n"/>
      <c r="C3994" s="74" t="n"/>
      <c r="D3994" s="75">
        <f>IF($C3994="","",IFERROR(INDEX(CAT_TIPO,MATCH($C3994,CAT_NOME,0)),"Sem categoria"))</f>
        <v/>
      </c>
      <c r="E3994" s="75">
        <f>IF($C3994="","",IFERROR(INDEX(CAT_GRUPO,MATCH($C3994,CAT_NOME,0)),"Sem categoria"))</f>
        <v/>
      </c>
      <c r="F3994" s="76" t="n"/>
      <c r="G3994" s="74" t="n"/>
      <c r="H3994" s="74" t="n"/>
      <c r="I3994" s="74" t="n"/>
      <c r="J3994" s="77" t="n"/>
      <c r="K3994" s="77" t="n"/>
      <c r="L3994" s="74" t="n"/>
      <c r="M3994" s="74" t="n"/>
      <c r="O3994" s="78">
        <f>IF($A3994="","",YEAR($A3994)*100+MONTH($A3994))</f>
        <v/>
      </c>
      <c r="P3994" s="79">
        <f>IF(OR($F3994="",$D3994=""),"",IF($D3994="Receita",$F3994,IF($D3994="Transferência",0,-$F3994)))</f>
        <v/>
      </c>
    </row>
    <row r="3995">
      <c r="A3995" s="73" t="n"/>
      <c r="B3995" s="74" t="n"/>
      <c r="C3995" s="74" t="n"/>
      <c r="D3995" s="75">
        <f>IF($C3995="","",IFERROR(INDEX(CAT_TIPO,MATCH($C3995,CAT_NOME,0)),"Sem categoria"))</f>
        <v/>
      </c>
      <c r="E3995" s="75">
        <f>IF($C3995="","",IFERROR(INDEX(CAT_GRUPO,MATCH($C3995,CAT_NOME,0)),"Sem categoria"))</f>
        <v/>
      </c>
      <c r="F3995" s="76" t="n"/>
      <c r="G3995" s="74" t="n"/>
      <c r="H3995" s="74" t="n"/>
      <c r="I3995" s="74" t="n"/>
      <c r="J3995" s="77" t="n"/>
      <c r="K3995" s="77" t="n"/>
      <c r="L3995" s="74" t="n"/>
      <c r="M3995" s="74" t="n"/>
      <c r="O3995" s="78">
        <f>IF($A3995="","",YEAR($A3995)*100+MONTH($A3995))</f>
        <v/>
      </c>
      <c r="P3995" s="79">
        <f>IF(OR($F3995="",$D3995=""),"",IF($D3995="Receita",$F3995,IF($D3995="Transferência",0,-$F3995)))</f>
        <v/>
      </c>
    </row>
    <row r="3996">
      <c r="A3996" s="73" t="n"/>
      <c r="B3996" s="74" t="n"/>
      <c r="C3996" s="74" t="n"/>
      <c r="D3996" s="75">
        <f>IF($C3996="","",IFERROR(INDEX(CAT_TIPO,MATCH($C3996,CAT_NOME,0)),"Sem categoria"))</f>
        <v/>
      </c>
      <c r="E3996" s="75">
        <f>IF($C3996="","",IFERROR(INDEX(CAT_GRUPO,MATCH($C3996,CAT_NOME,0)),"Sem categoria"))</f>
        <v/>
      </c>
      <c r="F3996" s="76" t="n"/>
      <c r="G3996" s="74" t="n"/>
      <c r="H3996" s="74" t="n"/>
      <c r="I3996" s="74" t="n"/>
      <c r="J3996" s="77" t="n"/>
      <c r="K3996" s="77" t="n"/>
      <c r="L3996" s="74" t="n"/>
      <c r="M3996" s="74" t="n"/>
      <c r="O3996" s="78">
        <f>IF($A3996="","",YEAR($A3996)*100+MONTH($A3996))</f>
        <v/>
      </c>
      <c r="P3996" s="79">
        <f>IF(OR($F3996="",$D3996=""),"",IF($D3996="Receita",$F3996,IF($D3996="Transferência",0,-$F3996)))</f>
        <v/>
      </c>
    </row>
    <row r="3997">
      <c r="A3997" s="73" t="n"/>
      <c r="B3997" s="74" t="n"/>
      <c r="C3997" s="74" t="n"/>
      <c r="D3997" s="75">
        <f>IF($C3997="","",IFERROR(INDEX(CAT_TIPO,MATCH($C3997,CAT_NOME,0)),"Sem categoria"))</f>
        <v/>
      </c>
      <c r="E3997" s="75">
        <f>IF($C3997="","",IFERROR(INDEX(CAT_GRUPO,MATCH($C3997,CAT_NOME,0)),"Sem categoria"))</f>
        <v/>
      </c>
      <c r="F3997" s="76" t="n"/>
      <c r="G3997" s="74" t="n"/>
      <c r="H3997" s="74" t="n"/>
      <c r="I3997" s="74" t="n"/>
      <c r="J3997" s="77" t="n"/>
      <c r="K3997" s="77" t="n"/>
      <c r="L3997" s="74" t="n"/>
      <c r="M3997" s="74" t="n"/>
      <c r="O3997" s="78">
        <f>IF($A3997="","",YEAR($A3997)*100+MONTH($A3997))</f>
        <v/>
      </c>
      <c r="P3997" s="79">
        <f>IF(OR($F3997="",$D3997=""),"",IF($D3997="Receita",$F3997,IF($D3997="Transferência",0,-$F3997)))</f>
        <v/>
      </c>
    </row>
    <row r="3998">
      <c r="A3998" s="73" t="n"/>
      <c r="B3998" s="74" t="n"/>
      <c r="C3998" s="74" t="n"/>
      <c r="D3998" s="75">
        <f>IF($C3998="","",IFERROR(INDEX(CAT_TIPO,MATCH($C3998,CAT_NOME,0)),"Sem categoria"))</f>
        <v/>
      </c>
      <c r="E3998" s="75">
        <f>IF($C3998="","",IFERROR(INDEX(CAT_GRUPO,MATCH($C3998,CAT_NOME,0)),"Sem categoria"))</f>
        <v/>
      </c>
      <c r="F3998" s="76" t="n"/>
      <c r="G3998" s="74" t="n"/>
      <c r="H3998" s="74" t="n"/>
      <c r="I3998" s="74" t="n"/>
      <c r="J3998" s="77" t="n"/>
      <c r="K3998" s="77" t="n"/>
      <c r="L3998" s="74" t="n"/>
      <c r="M3998" s="74" t="n"/>
      <c r="O3998" s="78">
        <f>IF($A3998="","",YEAR($A3998)*100+MONTH($A3998))</f>
        <v/>
      </c>
      <c r="P3998" s="79">
        <f>IF(OR($F3998="",$D3998=""),"",IF($D3998="Receita",$F3998,IF($D3998="Transferência",0,-$F3998)))</f>
        <v/>
      </c>
    </row>
    <row r="3999">
      <c r="A3999" s="73" t="n"/>
      <c r="B3999" s="74" t="n"/>
      <c r="C3999" s="74" t="n"/>
      <c r="D3999" s="75">
        <f>IF($C3999="","",IFERROR(INDEX(CAT_TIPO,MATCH($C3999,CAT_NOME,0)),"Sem categoria"))</f>
        <v/>
      </c>
      <c r="E3999" s="75">
        <f>IF($C3999="","",IFERROR(INDEX(CAT_GRUPO,MATCH($C3999,CAT_NOME,0)),"Sem categoria"))</f>
        <v/>
      </c>
      <c r="F3999" s="76" t="n"/>
      <c r="G3999" s="74" t="n"/>
      <c r="H3999" s="74" t="n"/>
      <c r="I3999" s="74" t="n"/>
      <c r="J3999" s="77" t="n"/>
      <c r="K3999" s="77" t="n"/>
      <c r="L3999" s="74" t="n"/>
      <c r="M3999" s="74" t="n"/>
      <c r="O3999" s="78">
        <f>IF($A3999="","",YEAR($A3999)*100+MONTH($A3999))</f>
        <v/>
      </c>
      <c r="P3999" s="79">
        <f>IF(OR($F3999="",$D3999=""),"",IF($D3999="Receita",$F3999,IF($D3999="Transferência",0,-$F3999)))</f>
        <v/>
      </c>
    </row>
    <row r="4000">
      <c r="A4000" s="73" t="n"/>
      <c r="B4000" s="74" t="n"/>
      <c r="C4000" s="74" t="n"/>
      <c r="D4000" s="75">
        <f>IF($C4000="","",IFERROR(INDEX(CAT_TIPO,MATCH($C4000,CAT_NOME,0)),"Sem categoria"))</f>
        <v/>
      </c>
      <c r="E4000" s="75">
        <f>IF($C4000="","",IFERROR(INDEX(CAT_GRUPO,MATCH($C4000,CAT_NOME,0)),"Sem categoria"))</f>
        <v/>
      </c>
      <c r="F4000" s="76" t="n"/>
      <c r="G4000" s="74" t="n"/>
      <c r="H4000" s="74" t="n"/>
      <c r="I4000" s="74" t="n"/>
      <c r="J4000" s="77" t="n"/>
      <c r="K4000" s="77" t="n"/>
      <c r="L4000" s="74" t="n"/>
      <c r="M4000" s="74" t="n"/>
      <c r="O4000" s="78">
        <f>IF($A4000="","",YEAR($A4000)*100+MONTH($A4000))</f>
        <v/>
      </c>
      <c r="P4000" s="79">
        <f>IF(OR($F4000="",$D4000=""),"",IF($D4000="Receita",$F4000,IF($D4000="Transferência",0,-$F4000)))</f>
        <v/>
      </c>
    </row>
    <row r="4001">
      <c r="A4001" s="73" t="n"/>
      <c r="B4001" s="74" t="n"/>
      <c r="C4001" s="74" t="n"/>
      <c r="D4001" s="75">
        <f>IF($C4001="","",IFERROR(INDEX(CAT_TIPO,MATCH($C4001,CAT_NOME,0)),"Sem categoria"))</f>
        <v/>
      </c>
      <c r="E4001" s="75">
        <f>IF($C4001="","",IFERROR(INDEX(CAT_GRUPO,MATCH($C4001,CAT_NOME,0)),"Sem categoria"))</f>
        <v/>
      </c>
      <c r="F4001" s="76" t="n"/>
      <c r="G4001" s="74" t="n"/>
      <c r="H4001" s="74" t="n"/>
      <c r="I4001" s="74" t="n"/>
      <c r="J4001" s="77" t="n"/>
      <c r="K4001" s="77" t="n"/>
      <c r="L4001" s="74" t="n"/>
      <c r="M4001" s="74" t="n"/>
      <c r="O4001" s="78">
        <f>IF($A4001="","",YEAR($A4001)*100+MONTH($A4001))</f>
        <v/>
      </c>
      <c r="P4001" s="79">
        <f>IF(OR($F4001="",$D4001=""),"",IF($D4001="Receita",$F4001,IF($D4001="Transferência",0,-$F4001)))</f>
        <v/>
      </c>
    </row>
    <row r="4002">
      <c r="A4002" s="73" t="n"/>
      <c r="B4002" s="74" t="n"/>
      <c r="C4002" s="74" t="n"/>
      <c r="D4002" s="75">
        <f>IF($C4002="","",IFERROR(INDEX(CAT_TIPO,MATCH($C4002,CAT_NOME,0)),"Sem categoria"))</f>
        <v/>
      </c>
      <c r="E4002" s="75">
        <f>IF($C4002="","",IFERROR(INDEX(CAT_GRUPO,MATCH($C4002,CAT_NOME,0)),"Sem categoria"))</f>
        <v/>
      </c>
      <c r="F4002" s="76" t="n"/>
      <c r="G4002" s="74" t="n"/>
      <c r="H4002" s="74" t="n"/>
      <c r="I4002" s="74" t="n"/>
      <c r="J4002" s="77" t="n"/>
      <c r="K4002" s="77" t="n"/>
      <c r="L4002" s="74" t="n"/>
      <c r="M4002" s="74" t="n"/>
      <c r="O4002" s="78">
        <f>IF($A4002="","",YEAR($A4002)*100+MONTH($A4002))</f>
        <v/>
      </c>
      <c r="P4002" s="79">
        <f>IF(OR($F4002="",$D4002=""),"",IF($D4002="Receita",$F4002,IF($D4002="Transferência",0,-$F4002)))</f>
        <v/>
      </c>
    </row>
    <row r="4003">
      <c r="A4003" s="73" t="n"/>
      <c r="B4003" s="74" t="n"/>
      <c r="C4003" s="74" t="n"/>
      <c r="D4003" s="75">
        <f>IF($C4003="","",IFERROR(INDEX(CAT_TIPO,MATCH($C4003,CAT_NOME,0)),"Sem categoria"))</f>
        <v/>
      </c>
      <c r="E4003" s="75">
        <f>IF($C4003="","",IFERROR(INDEX(CAT_GRUPO,MATCH($C4003,CAT_NOME,0)),"Sem categoria"))</f>
        <v/>
      </c>
      <c r="F4003" s="76" t="n"/>
      <c r="G4003" s="74" t="n"/>
      <c r="H4003" s="74" t="n"/>
      <c r="I4003" s="74" t="n"/>
      <c r="J4003" s="77" t="n"/>
      <c r="K4003" s="77" t="n"/>
      <c r="L4003" s="74" t="n"/>
      <c r="M4003" s="74" t="n"/>
      <c r="O4003" s="78">
        <f>IF($A4003="","",YEAR($A4003)*100+MONTH($A4003))</f>
        <v/>
      </c>
      <c r="P4003" s="79">
        <f>IF(OR($F4003="",$D4003=""),"",IF($D4003="Receita",$F4003,IF($D4003="Transferência",0,-$F4003)))</f>
        <v/>
      </c>
    </row>
    <row r="4004">
      <c r="A4004" s="73" t="n"/>
      <c r="B4004" s="74" t="n"/>
      <c r="C4004" s="74" t="n"/>
      <c r="D4004" s="75">
        <f>IF($C4004="","",IFERROR(INDEX(CAT_TIPO,MATCH($C4004,CAT_NOME,0)),"Sem categoria"))</f>
        <v/>
      </c>
      <c r="E4004" s="75">
        <f>IF($C4004="","",IFERROR(INDEX(CAT_GRUPO,MATCH($C4004,CAT_NOME,0)),"Sem categoria"))</f>
        <v/>
      </c>
      <c r="F4004" s="76" t="n"/>
      <c r="G4004" s="74" t="n"/>
      <c r="H4004" s="74" t="n"/>
      <c r="I4004" s="74" t="n"/>
      <c r="J4004" s="77" t="n"/>
      <c r="K4004" s="77" t="n"/>
      <c r="L4004" s="74" t="n"/>
      <c r="M4004" s="74" t="n"/>
      <c r="O4004" s="78">
        <f>IF($A4004="","",YEAR($A4004)*100+MONTH($A4004))</f>
        <v/>
      </c>
      <c r="P4004" s="79">
        <f>IF(OR($F4004="",$D4004=""),"",IF($D4004="Receita",$F4004,IF($D4004="Transferência",0,-$F4004)))</f>
        <v/>
      </c>
    </row>
    <row r="4005">
      <c r="A4005" s="73" t="n"/>
      <c r="B4005" s="74" t="n"/>
      <c r="C4005" s="74" t="n"/>
      <c r="D4005" s="75">
        <f>IF($C4005="","",IFERROR(INDEX(CAT_TIPO,MATCH($C4005,CAT_NOME,0)),"Sem categoria"))</f>
        <v/>
      </c>
      <c r="E4005" s="75">
        <f>IF($C4005="","",IFERROR(INDEX(CAT_GRUPO,MATCH($C4005,CAT_NOME,0)),"Sem categoria"))</f>
        <v/>
      </c>
      <c r="F4005" s="76" t="n"/>
      <c r="G4005" s="74" t="n"/>
      <c r="H4005" s="74" t="n"/>
      <c r="I4005" s="74" t="n"/>
      <c r="J4005" s="77" t="n"/>
      <c r="K4005" s="77" t="n"/>
      <c r="L4005" s="74" t="n"/>
      <c r="M4005" s="74" t="n"/>
      <c r="O4005" s="78">
        <f>IF($A4005="","",YEAR($A4005)*100+MONTH($A4005))</f>
        <v/>
      </c>
      <c r="P4005" s="79">
        <f>IF(OR($F4005="",$D4005=""),"",IF($D4005="Receita",$F4005,IF($D4005="Transferência",0,-$F4005)))</f>
        <v/>
      </c>
    </row>
    <row r="4006">
      <c r="A4006" s="73" t="n"/>
      <c r="B4006" s="74" t="n"/>
      <c r="C4006" s="74" t="n"/>
      <c r="D4006" s="75">
        <f>IF($C4006="","",IFERROR(INDEX(CAT_TIPO,MATCH($C4006,CAT_NOME,0)),"Sem categoria"))</f>
        <v/>
      </c>
      <c r="E4006" s="75">
        <f>IF($C4006="","",IFERROR(INDEX(CAT_GRUPO,MATCH($C4006,CAT_NOME,0)),"Sem categoria"))</f>
        <v/>
      </c>
      <c r="F4006" s="76" t="n"/>
      <c r="G4006" s="74" t="n"/>
      <c r="H4006" s="74" t="n"/>
      <c r="I4006" s="74" t="n"/>
      <c r="J4006" s="77" t="n"/>
      <c r="K4006" s="77" t="n"/>
      <c r="L4006" s="74" t="n"/>
      <c r="M4006" s="74" t="n"/>
      <c r="O4006" s="78">
        <f>IF($A4006="","",YEAR($A4006)*100+MONTH($A4006))</f>
        <v/>
      </c>
      <c r="P4006" s="79">
        <f>IF(OR($F4006="",$D4006=""),"",IF($D4006="Receita",$F4006,IF($D4006="Transferência",0,-$F4006)))</f>
        <v/>
      </c>
    </row>
    <row r="4007">
      <c r="A4007" s="73" t="n"/>
      <c r="B4007" s="74" t="n"/>
      <c r="C4007" s="74" t="n"/>
      <c r="D4007" s="75">
        <f>IF($C4007="","",IFERROR(INDEX(CAT_TIPO,MATCH($C4007,CAT_NOME,0)),"Sem categoria"))</f>
        <v/>
      </c>
      <c r="E4007" s="75">
        <f>IF($C4007="","",IFERROR(INDEX(CAT_GRUPO,MATCH($C4007,CAT_NOME,0)),"Sem categoria"))</f>
        <v/>
      </c>
      <c r="F4007" s="76" t="n"/>
      <c r="G4007" s="74" t="n"/>
      <c r="H4007" s="74" t="n"/>
      <c r="I4007" s="74" t="n"/>
      <c r="J4007" s="77" t="n"/>
      <c r="K4007" s="77" t="n"/>
      <c r="L4007" s="74" t="n"/>
      <c r="M4007" s="74" t="n"/>
      <c r="O4007" s="78">
        <f>IF($A4007="","",YEAR($A4007)*100+MONTH($A4007))</f>
        <v/>
      </c>
      <c r="P4007" s="79">
        <f>IF(OR($F4007="",$D4007=""),"",IF($D4007="Receita",$F4007,IF($D4007="Transferência",0,-$F4007)))</f>
        <v/>
      </c>
    </row>
    <row r="4008">
      <c r="A4008" s="73" t="n"/>
      <c r="B4008" s="74" t="n"/>
      <c r="C4008" s="74" t="n"/>
      <c r="D4008" s="75">
        <f>IF($C4008="","",IFERROR(INDEX(CAT_TIPO,MATCH($C4008,CAT_NOME,0)),"Sem categoria"))</f>
        <v/>
      </c>
      <c r="E4008" s="75">
        <f>IF($C4008="","",IFERROR(INDEX(CAT_GRUPO,MATCH($C4008,CAT_NOME,0)),"Sem categoria"))</f>
        <v/>
      </c>
      <c r="F4008" s="76" t="n"/>
      <c r="G4008" s="74" t="n"/>
      <c r="H4008" s="74" t="n"/>
      <c r="I4008" s="74" t="n"/>
      <c r="J4008" s="77" t="n"/>
      <c r="K4008" s="77" t="n"/>
      <c r="L4008" s="74" t="n"/>
      <c r="M4008" s="74" t="n"/>
      <c r="O4008" s="78">
        <f>IF($A4008="","",YEAR($A4008)*100+MONTH($A4008))</f>
        <v/>
      </c>
      <c r="P4008" s="79">
        <f>IF(OR($F4008="",$D4008=""),"",IF($D4008="Receita",$F4008,IF($D4008="Transferência",0,-$F4008)))</f>
        <v/>
      </c>
    </row>
    <row r="4009">
      <c r="A4009" s="73" t="n"/>
      <c r="B4009" s="74" t="n"/>
      <c r="C4009" s="74" t="n"/>
      <c r="D4009" s="75">
        <f>IF($C4009="","",IFERROR(INDEX(CAT_TIPO,MATCH($C4009,CAT_NOME,0)),"Sem categoria"))</f>
        <v/>
      </c>
      <c r="E4009" s="75">
        <f>IF($C4009="","",IFERROR(INDEX(CAT_GRUPO,MATCH($C4009,CAT_NOME,0)),"Sem categoria"))</f>
        <v/>
      </c>
      <c r="F4009" s="76" t="n"/>
      <c r="G4009" s="74" t="n"/>
      <c r="H4009" s="74" t="n"/>
      <c r="I4009" s="74" t="n"/>
      <c r="J4009" s="77" t="n"/>
      <c r="K4009" s="77" t="n"/>
      <c r="L4009" s="74" t="n"/>
      <c r="M4009" s="74" t="n"/>
      <c r="O4009" s="78">
        <f>IF($A4009="","",YEAR($A4009)*100+MONTH($A4009))</f>
        <v/>
      </c>
      <c r="P4009" s="79">
        <f>IF(OR($F4009="",$D4009=""),"",IF($D4009="Receita",$F4009,IF($D4009="Transferência",0,-$F4009)))</f>
        <v/>
      </c>
    </row>
    <row r="4010">
      <c r="A4010" s="73" t="n"/>
      <c r="B4010" s="74" t="n"/>
      <c r="C4010" s="74" t="n"/>
      <c r="D4010" s="75">
        <f>IF($C4010="","",IFERROR(INDEX(CAT_TIPO,MATCH($C4010,CAT_NOME,0)),"Sem categoria"))</f>
        <v/>
      </c>
      <c r="E4010" s="75">
        <f>IF($C4010="","",IFERROR(INDEX(CAT_GRUPO,MATCH($C4010,CAT_NOME,0)),"Sem categoria"))</f>
        <v/>
      </c>
      <c r="F4010" s="76" t="n"/>
      <c r="G4010" s="74" t="n"/>
      <c r="H4010" s="74" t="n"/>
      <c r="I4010" s="74" t="n"/>
      <c r="J4010" s="77" t="n"/>
      <c r="K4010" s="77" t="n"/>
      <c r="L4010" s="74" t="n"/>
      <c r="M4010" s="74" t="n"/>
      <c r="O4010" s="78">
        <f>IF($A4010="","",YEAR($A4010)*100+MONTH($A4010))</f>
        <v/>
      </c>
      <c r="P4010" s="79">
        <f>IF(OR($F4010="",$D4010=""),"",IF($D4010="Receita",$F4010,IF($D4010="Transferência",0,-$F4010)))</f>
        <v/>
      </c>
    </row>
    <row r="4011">
      <c r="A4011" s="73" t="n"/>
      <c r="B4011" s="74" t="n"/>
      <c r="C4011" s="74" t="n"/>
      <c r="D4011" s="75">
        <f>IF($C4011="","",IFERROR(INDEX(CAT_TIPO,MATCH($C4011,CAT_NOME,0)),"Sem categoria"))</f>
        <v/>
      </c>
      <c r="E4011" s="75">
        <f>IF($C4011="","",IFERROR(INDEX(CAT_GRUPO,MATCH($C4011,CAT_NOME,0)),"Sem categoria"))</f>
        <v/>
      </c>
      <c r="F4011" s="76" t="n"/>
      <c r="G4011" s="74" t="n"/>
      <c r="H4011" s="74" t="n"/>
      <c r="I4011" s="74" t="n"/>
      <c r="J4011" s="77" t="n"/>
      <c r="K4011" s="77" t="n"/>
      <c r="L4011" s="74" t="n"/>
      <c r="M4011" s="74" t="n"/>
      <c r="O4011" s="78">
        <f>IF($A4011="","",YEAR($A4011)*100+MONTH($A4011))</f>
        <v/>
      </c>
      <c r="P4011" s="79">
        <f>IF(OR($F4011="",$D4011=""),"",IF($D4011="Receita",$F4011,IF($D4011="Transferência",0,-$F4011)))</f>
        <v/>
      </c>
    </row>
    <row r="4012">
      <c r="A4012" s="73" t="n"/>
      <c r="B4012" s="74" t="n"/>
      <c r="C4012" s="74" t="n"/>
      <c r="D4012" s="75">
        <f>IF($C4012="","",IFERROR(INDEX(CAT_TIPO,MATCH($C4012,CAT_NOME,0)),"Sem categoria"))</f>
        <v/>
      </c>
      <c r="E4012" s="75">
        <f>IF($C4012="","",IFERROR(INDEX(CAT_GRUPO,MATCH($C4012,CAT_NOME,0)),"Sem categoria"))</f>
        <v/>
      </c>
      <c r="F4012" s="76" t="n"/>
      <c r="G4012" s="74" t="n"/>
      <c r="H4012" s="74" t="n"/>
      <c r="I4012" s="74" t="n"/>
      <c r="J4012" s="77" t="n"/>
      <c r="K4012" s="77" t="n"/>
      <c r="L4012" s="74" t="n"/>
      <c r="M4012" s="74" t="n"/>
      <c r="O4012" s="78">
        <f>IF($A4012="","",YEAR($A4012)*100+MONTH($A4012))</f>
        <v/>
      </c>
      <c r="P4012" s="79">
        <f>IF(OR($F4012="",$D4012=""),"",IF($D4012="Receita",$F4012,IF($D4012="Transferência",0,-$F4012)))</f>
        <v/>
      </c>
    </row>
    <row r="4013">
      <c r="A4013" s="73" t="n"/>
      <c r="B4013" s="74" t="n"/>
      <c r="C4013" s="74" t="n"/>
      <c r="D4013" s="75">
        <f>IF($C4013="","",IFERROR(INDEX(CAT_TIPO,MATCH($C4013,CAT_NOME,0)),"Sem categoria"))</f>
        <v/>
      </c>
      <c r="E4013" s="75">
        <f>IF($C4013="","",IFERROR(INDEX(CAT_GRUPO,MATCH($C4013,CAT_NOME,0)),"Sem categoria"))</f>
        <v/>
      </c>
      <c r="F4013" s="76" t="n"/>
      <c r="G4013" s="74" t="n"/>
      <c r="H4013" s="74" t="n"/>
      <c r="I4013" s="74" t="n"/>
      <c r="J4013" s="77" t="n"/>
      <c r="K4013" s="77" t="n"/>
      <c r="L4013" s="74" t="n"/>
      <c r="M4013" s="74" t="n"/>
      <c r="O4013" s="78">
        <f>IF($A4013="","",YEAR($A4013)*100+MONTH($A4013))</f>
        <v/>
      </c>
      <c r="P4013" s="79">
        <f>IF(OR($F4013="",$D4013=""),"",IF($D4013="Receita",$F4013,IF($D4013="Transferência",0,-$F4013)))</f>
        <v/>
      </c>
    </row>
    <row r="4014">
      <c r="A4014" s="73" t="n"/>
      <c r="B4014" s="74" t="n"/>
      <c r="C4014" s="74" t="n"/>
      <c r="D4014" s="75">
        <f>IF($C4014="","",IFERROR(INDEX(CAT_TIPO,MATCH($C4014,CAT_NOME,0)),"Sem categoria"))</f>
        <v/>
      </c>
      <c r="E4014" s="75">
        <f>IF($C4014="","",IFERROR(INDEX(CAT_GRUPO,MATCH($C4014,CAT_NOME,0)),"Sem categoria"))</f>
        <v/>
      </c>
      <c r="F4014" s="76" t="n"/>
      <c r="G4014" s="74" t="n"/>
      <c r="H4014" s="74" t="n"/>
      <c r="I4014" s="74" t="n"/>
      <c r="J4014" s="77" t="n"/>
      <c r="K4014" s="77" t="n"/>
      <c r="L4014" s="74" t="n"/>
      <c r="M4014" s="74" t="n"/>
      <c r="O4014" s="78">
        <f>IF($A4014="","",YEAR($A4014)*100+MONTH($A4014))</f>
        <v/>
      </c>
      <c r="P4014" s="79">
        <f>IF(OR($F4014="",$D4014=""),"",IF($D4014="Receita",$F4014,IF($D4014="Transferência",0,-$F4014)))</f>
        <v/>
      </c>
    </row>
    <row r="4015">
      <c r="A4015" s="73" t="n"/>
      <c r="B4015" s="74" t="n"/>
      <c r="C4015" s="74" t="n"/>
      <c r="D4015" s="75">
        <f>IF($C4015="","",IFERROR(INDEX(CAT_TIPO,MATCH($C4015,CAT_NOME,0)),"Sem categoria"))</f>
        <v/>
      </c>
      <c r="E4015" s="75">
        <f>IF($C4015="","",IFERROR(INDEX(CAT_GRUPO,MATCH($C4015,CAT_NOME,0)),"Sem categoria"))</f>
        <v/>
      </c>
      <c r="F4015" s="76" t="n"/>
      <c r="G4015" s="74" t="n"/>
      <c r="H4015" s="74" t="n"/>
      <c r="I4015" s="74" t="n"/>
      <c r="J4015" s="77" t="n"/>
      <c r="K4015" s="77" t="n"/>
      <c r="L4015" s="74" t="n"/>
      <c r="M4015" s="74" t="n"/>
      <c r="O4015" s="78">
        <f>IF($A4015="","",YEAR($A4015)*100+MONTH($A4015))</f>
        <v/>
      </c>
      <c r="P4015" s="79">
        <f>IF(OR($F4015="",$D4015=""),"",IF($D4015="Receita",$F4015,IF($D4015="Transferência",0,-$F4015)))</f>
        <v/>
      </c>
    </row>
    <row r="4016">
      <c r="A4016" s="73" t="n"/>
      <c r="B4016" s="74" t="n"/>
      <c r="C4016" s="74" t="n"/>
      <c r="D4016" s="75">
        <f>IF($C4016="","",IFERROR(INDEX(CAT_TIPO,MATCH($C4016,CAT_NOME,0)),"Sem categoria"))</f>
        <v/>
      </c>
      <c r="E4016" s="75">
        <f>IF($C4016="","",IFERROR(INDEX(CAT_GRUPO,MATCH($C4016,CAT_NOME,0)),"Sem categoria"))</f>
        <v/>
      </c>
      <c r="F4016" s="76" t="n"/>
      <c r="G4016" s="74" t="n"/>
      <c r="H4016" s="74" t="n"/>
      <c r="I4016" s="74" t="n"/>
      <c r="J4016" s="77" t="n"/>
      <c r="K4016" s="77" t="n"/>
      <c r="L4016" s="74" t="n"/>
      <c r="M4016" s="74" t="n"/>
      <c r="O4016" s="78">
        <f>IF($A4016="","",YEAR($A4016)*100+MONTH($A4016))</f>
        <v/>
      </c>
      <c r="P4016" s="79">
        <f>IF(OR($F4016="",$D4016=""),"",IF($D4016="Receita",$F4016,IF($D4016="Transferência",0,-$F4016)))</f>
        <v/>
      </c>
    </row>
    <row r="4017">
      <c r="A4017" s="73" t="n"/>
      <c r="B4017" s="74" t="n"/>
      <c r="C4017" s="74" t="n"/>
      <c r="D4017" s="75">
        <f>IF($C4017="","",IFERROR(INDEX(CAT_TIPO,MATCH($C4017,CAT_NOME,0)),"Sem categoria"))</f>
        <v/>
      </c>
      <c r="E4017" s="75">
        <f>IF($C4017="","",IFERROR(INDEX(CAT_GRUPO,MATCH($C4017,CAT_NOME,0)),"Sem categoria"))</f>
        <v/>
      </c>
      <c r="F4017" s="76" t="n"/>
      <c r="G4017" s="74" t="n"/>
      <c r="H4017" s="74" t="n"/>
      <c r="I4017" s="74" t="n"/>
      <c r="J4017" s="77" t="n"/>
      <c r="K4017" s="77" t="n"/>
      <c r="L4017" s="74" t="n"/>
      <c r="M4017" s="74" t="n"/>
      <c r="O4017" s="78">
        <f>IF($A4017="","",YEAR($A4017)*100+MONTH($A4017))</f>
        <v/>
      </c>
      <c r="P4017" s="79">
        <f>IF(OR($F4017="",$D4017=""),"",IF($D4017="Receita",$F4017,IF($D4017="Transferência",0,-$F4017)))</f>
        <v/>
      </c>
    </row>
    <row r="4018">
      <c r="A4018" s="73" t="n"/>
      <c r="B4018" s="74" t="n"/>
      <c r="C4018" s="74" t="n"/>
      <c r="D4018" s="75">
        <f>IF($C4018="","",IFERROR(INDEX(CAT_TIPO,MATCH($C4018,CAT_NOME,0)),"Sem categoria"))</f>
        <v/>
      </c>
      <c r="E4018" s="75">
        <f>IF($C4018="","",IFERROR(INDEX(CAT_GRUPO,MATCH($C4018,CAT_NOME,0)),"Sem categoria"))</f>
        <v/>
      </c>
      <c r="F4018" s="76" t="n"/>
      <c r="G4018" s="74" t="n"/>
      <c r="H4018" s="74" t="n"/>
      <c r="I4018" s="74" t="n"/>
      <c r="J4018" s="77" t="n"/>
      <c r="K4018" s="77" t="n"/>
      <c r="L4018" s="74" t="n"/>
      <c r="M4018" s="74" t="n"/>
      <c r="O4018" s="78">
        <f>IF($A4018="","",YEAR($A4018)*100+MONTH($A4018))</f>
        <v/>
      </c>
      <c r="P4018" s="79">
        <f>IF(OR($F4018="",$D4018=""),"",IF($D4018="Receita",$F4018,IF($D4018="Transferência",0,-$F4018)))</f>
        <v/>
      </c>
    </row>
    <row r="4019">
      <c r="A4019" s="73" t="n"/>
      <c r="B4019" s="74" t="n"/>
      <c r="C4019" s="74" t="n"/>
      <c r="D4019" s="75">
        <f>IF($C4019="","",IFERROR(INDEX(CAT_TIPO,MATCH($C4019,CAT_NOME,0)),"Sem categoria"))</f>
        <v/>
      </c>
      <c r="E4019" s="75">
        <f>IF($C4019="","",IFERROR(INDEX(CAT_GRUPO,MATCH($C4019,CAT_NOME,0)),"Sem categoria"))</f>
        <v/>
      </c>
      <c r="F4019" s="76" t="n"/>
      <c r="G4019" s="74" t="n"/>
      <c r="H4019" s="74" t="n"/>
      <c r="I4019" s="74" t="n"/>
      <c r="J4019" s="77" t="n"/>
      <c r="K4019" s="77" t="n"/>
      <c r="L4019" s="74" t="n"/>
      <c r="M4019" s="74" t="n"/>
      <c r="O4019" s="78">
        <f>IF($A4019="","",YEAR($A4019)*100+MONTH($A4019))</f>
        <v/>
      </c>
      <c r="P4019" s="79">
        <f>IF(OR($F4019="",$D4019=""),"",IF($D4019="Receita",$F4019,IF($D4019="Transferência",0,-$F4019)))</f>
        <v/>
      </c>
    </row>
    <row r="4020">
      <c r="A4020" s="73" t="n"/>
      <c r="B4020" s="74" t="n"/>
      <c r="C4020" s="74" t="n"/>
      <c r="D4020" s="75">
        <f>IF($C4020="","",IFERROR(INDEX(CAT_TIPO,MATCH($C4020,CAT_NOME,0)),"Sem categoria"))</f>
        <v/>
      </c>
      <c r="E4020" s="75">
        <f>IF($C4020="","",IFERROR(INDEX(CAT_GRUPO,MATCH($C4020,CAT_NOME,0)),"Sem categoria"))</f>
        <v/>
      </c>
      <c r="F4020" s="76" t="n"/>
      <c r="G4020" s="74" t="n"/>
      <c r="H4020" s="74" t="n"/>
      <c r="I4020" s="74" t="n"/>
      <c r="J4020" s="77" t="n"/>
      <c r="K4020" s="77" t="n"/>
      <c r="L4020" s="74" t="n"/>
      <c r="M4020" s="74" t="n"/>
      <c r="O4020" s="78">
        <f>IF($A4020="","",YEAR($A4020)*100+MONTH($A4020))</f>
        <v/>
      </c>
      <c r="P4020" s="79">
        <f>IF(OR($F4020="",$D4020=""),"",IF($D4020="Receita",$F4020,IF($D4020="Transferência",0,-$F4020)))</f>
        <v/>
      </c>
    </row>
    <row r="4021">
      <c r="A4021" s="73" t="n"/>
      <c r="B4021" s="74" t="n"/>
      <c r="C4021" s="74" t="n"/>
      <c r="D4021" s="75">
        <f>IF($C4021="","",IFERROR(INDEX(CAT_TIPO,MATCH($C4021,CAT_NOME,0)),"Sem categoria"))</f>
        <v/>
      </c>
      <c r="E4021" s="75">
        <f>IF($C4021="","",IFERROR(INDEX(CAT_GRUPO,MATCH($C4021,CAT_NOME,0)),"Sem categoria"))</f>
        <v/>
      </c>
      <c r="F4021" s="76" t="n"/>
      <c r="G4021" s="74" t="n"/>
      <c r="H4021" s="74" t="n"/>
      <c r="I4021" s="74" t="n"/>
      <c r="J4021" s="77" t="n"/>
      <c r="K4021" s="77" t="n"/>
      <c r="L4021" s="74" t="n"/>
      <c r="M4021" s="74" t="n"/>
      <c r="O4021" s="78">
        <f>IF($A4021="","",YEAR($A4021)*100+MONTH($A4021))</f>
        <v/>
      </c>
      <c r="P4021" s="79">
        <f>IF(OR($F4021="",$D4021=""),"",IF($D4021="Receita",$F4021,IF($D4021="Transferência",0,-$F4021)))</f>
        <v/>
      </c>
    </row>
    <row r="4022">
      <c r="A4022" s="73" t="n"/>
      <c r="B4022" s="74" t="n"/>
      <c r="C4022" s="74" t="n"/>
      <c r="D4022" s="75">
        <f>IF($C4022="","",IFERROR(INDEX(CAT_TIPO,MATCH($C4022,CAT_NOME,0)),"Sem categoria"))</f>
        <v/>
      </c>
      <c r="E4022" s="75">
        <f>IF($C4022="","",IFERROR(INDEX(CAT_GRUPO,MATCH($C4022,CAT_NOME,0)),"Sem categoria"))</f>
        <v/>
      </c>
      <c r="F4022" s="76" t="n"/>
      <c r="G4022" s="74" t="n"/>
      <c r="H4022" s="74" t="n"/>
      <c r="I4022" s="74" t="n"/>
      <c r="J4022" s="77" t="n"/>
      <c r="K4022" s="77" t="n"/>
      <c r="L4022" s="74" t="n"/>
      <c r="M4022" s="74" t="n"/>
      <c r="O4022" s="78">
        <f>IF($A4022="","",YEAR($A4022)*100+MONTH($A4022))</f>
        <v/>
      </c>
      <c r="P4022" s="79">
        <f>IF(OR($F4022="",$D4022=""),"",IF($D4022="Receita",$F4022,IF($D4022="Transferência",0,-$F4022)))</f>
        <v/>
      </c>
    </row>
    <row r="4023">
      <c r="A4023" s="73" t="n"/>
      <c r="B4023" s="74" t="n"/>
      <c r="C4023" s="74" t="n"/>
      <c r="D4023" s="75">
        <f>IF($C4023="","",IFERROR(INDEX(CAT_TIPO,MATCH($C4023,CAT_NOME,0)),"Sem categoria"))</f>
        <v/>
      </c>
      <c r="E4023" s="75">
        <f>IF($C4023="","",IFERROR(INDEX(CAT_GRUPO,MATCH($C4023,CAT_NOME,0)),"Sem categoria"))</f>
        <v/>
      </c>
      <c r="F4023" s="76" t="n"/>
      <c r="G4023" s="74" t="n"/>
      <c r="H4023" s="74" t="n"/>
      <c r="I4023" s="74" t="n"/>
      <c r="J4023" s="77" t="n"/>
      <c r="K4023" s="77" t="n"/>
      <c r="L4023" s="74" t="n"/>
      <c r="M4023" s="74" t="n"/>
      <c r="O4023" s="78">
        <f>IF($A4023="","",YEAR($A4023)*100+MONTH($A4023))</f>
        <v/>
      </c>
      <c r="P4023" s="79">
        <f>IF(OR($F4023="",$D4023=""),"",IF($D4023="Receita",$F4023,IF($D4023="Transferência",0,-$F4023)))</f>
        <v/>
      </c>
    </row>
    <row r="4024">
      <c r="A4024" s="73" t="n"/>
      <c r="B4024" s="74" t="n"/>
      <c r="C4024" s="74" t="n"/>
      <c r="D4024" s="75">
        <f>IF($C4024="","",IFERROR(INDEX(CAT_TIPO,MATCH($C4024,CAT_NOME,0)),"Sem categoria"))</f>
        <v/>
      </c>
      <c r="E4024" s="75">
        <f>IF($C4024="","",IFERROR(INDEX(CAT_GRUPO,MATCH($C4024,CAT_NOME,0)),"Sem categoria"))</f>
        <v/>
      </c>
      <c r="F4024" s="76" t="n"/>
      <c r="G4024" s="74" t="n"/>
      <c r="H4024" s="74" t="n"/>
      <c r="I4024" s="74" t="n"/>
      <c r="J4024" s="77" t="n"/>
      <c r="K4024" s="77" t="n"/>
      <c r="L4024" s="74" t="n"/>
      <c r="M4024" s="74" t="n"/>
      <c r="O4024" s="78">
        <f>IF($A4024="","",YEAR($A4024)*100+MONTH($A4024))</f>
        <v/>
      </c>
      <c r="P4024" s="79">
        <f>IF(OR($F4024="",$D4024=""),"",IF($D4024="Receita",$F4024,IF($D4024="Transferência",0,-$F4024)))</f>
        <v/>
      </c>
    </row>
    <row r="4025">
      <c r="A4025" s="73" t="n"/>
      <c r="B4025" s="74" t="n"/>
      <c r="C4025" s="74" t="n"/>
      <c r="D4025" s="75">
        <f>IF($C4025="","",IFERROR(INDEX(CAT_TIPO,MATCH($C4025,CAT_NOME,0)),"Sem categoria"))</f>
        <v/>
      </c>
      <c r="E4025" s="75">
        <f>IF($C4025="","",IFERROR(INDEX(CAT_GRUPO,MATCH($C4025,CAT_NOME,0)),"Sem categoria"))</f>
        <v/>
      </c>
      <c r="F4025" s="76" t="n"/>
      <c r="G4025" s="74" t="n"/>
      <c r="H4025" s="74" t="n"/>
      <c r="I4025" s="74" t="n"/>
      <c r="J4025" s="77" t="n"/>
      <c r="K4025" s="77" t="n"/>
      <c r="L4025" s="74" t="n"/>
      <c r="M4025" s="74" t="n"/>
      <c r="O4025" s="78">
        <f>IF($A4025="","",YEAR($A4025)*100+MONTH($A4025))</f>
        <v/>
      </c>
      <c r="P4025" s="79">
        <f>IF(OR($F4025="",$D4025=""),"",IF($D4025="Receita",$F4025,IF($D4025="Transferência",0,-$F4025)))</f>
        <v/>
      </c>
    </row>
    <row r="4026">
      <c r="A4026" s="73" t="n"/>
      <c r="B4026" s="74" t="n"/>
      <c r="C4026" s="74" t="n"/>
      <c r="D4026" s="75">
        <f>IF($C4026="","",IFERROR(INDEX(CAT_TIPO,MATCH($C4026,CAT_NOME,0)),"Sem categoria"))</f>
        <v/>
      </c>
      <c r="E4026" s="75">
        <f>IF($C4026="","",IFERROR(INDEX(CAT_GRUPO,MATCH($C4026,CAT_NOME,0)),"Sem categoria"))</f>
        <v/>
      </c>
      <c r="F4026" s="76" t="n"/>
      <c r="G4026" s="74" t="n"/>
      <c r="H4026" s="74" t="n"/>
      <c r="I4026" s="74" t="n"/>
      <c r="J4026" s="77" t="n"/>
      <c r="K4026" s="77" t="n"/>
      <c r="L4026" s="74" t="n"/>
      <c r="M4026" s="74" t="n"/>
      <c r="O4026" s="78">
        <f>IF($A4026="","",YEAR($A4026)*100+MONTH($A4026))</f>
        <v/>
      </c>
      <c r="P4026" s="79">
        <f>IF(OR($F4026="",$D4026=""),"",IF($D4026="Receita",$F4026,IF($D4026="Transferência",0,-$F4026)))</f>
        <v/>
      </c>
    </row>
    <row r="4027">
      <c r="A4027" s="73" t="n"/>
      <c r="B4027" s="74" t="n"/>
      <c r="C4027" s="74" t="n"/>
      <c r="D4027" s="75">
        <f>IF($C4027="","",IFERROR(INDEX(CAT_TIPO,MATCH($C4027,CAT_NOME,0)),"Sem categoria"))</f>
        <v/>
      </c>
      <c r="E4027" s="75">
        <f>IF($C4027="","",IFERROR(INDEX(CAT_GRUPO,MATCH($C4027,CAT_NOME,0)),"Sem categoria"))</f>
        <v/>
      </c>
      <c r="F4027" s="76" t="n"/>
      <c r="G4027" s="74" t="n"/>
      <c r="H4027" s="74" t="n"/>
      <c r="I4027" s="74" t="n"/>
      <c r="J4027" s="77" t="n"/>
      <c r="K4027" s="77" t="n"/>
      <c r="L4027" s="74" t="n"/>
      <c r="M4027" s="74" t="n"/>
      <c r="O4027" s="78">
        <f>IF($A4027="","",YEAR($A4027)*100+MONTH($A4027))</f>
        <v/>
      </c>
      <c r="P4027" s="79">
        <f>IF(OR($F4027="",$D4027=""),"",IF($D4027="Receita",$F4027,IF($D4027="Transferência",0,-$F4027)))</f>
        <v/>
      </c>
    </row>
    <row r="4028">
      <c r="A4028" s="73" t="n"/>
      <c r="B4028" s="74" t="n"/>
      <c r="C4028" s="74" t="n"/>
      <c r="D4028" s="75">
        <f>IF($C4028="","",IFERROR(INDEX(CAT_TIPO,MATCH($C4028,CAT_NOME,0)),"Sem categoria"))</f>
        <v/>
      </c>
      <c r="E4028" s="75">
        <f>IF($C4028="","",IFERROR(INDEX(CAT_GRUPO,MATCH($C4028,CAT_NOME,0)),"Sem categoria"))</f>
        <v/>
      </c>
      <c r="F4028" s="76" t="n"/>
      <c r="G4028" s="74" t="n"/>
      <c r="H4028" s="74" t="n"/>
      <c r="I4028" s="74" t="n"/>
      <c r="J4028" s="77" t="n"/>
      <c r="K4028" s="77" t="n"/>
      <c r="L4028" s="74" t="n"/>
      <c r="M4028" s="74" t="n"/>
      <c r="O4028" s="78">
        <f>IF($A4028="","",YEAR($A4028)*100+MONTH($A4028))</f>
        <v/>
      </c>
      <c r="P4028" s="79">
        <f>IF(OR($F4028="",$D4028=""),"",IF($D4028="Receita",$F4028,IF($D4028="Transferência",0,-$F4028)))</f>
        <v/>
      </c>
    </row>
    <row r="4029">
      <c r="A4029" s="73" t="n"/>
      <c r="B4029" s="74" t="n"/>
      <c r="C4029" s="74" t="n"/>
      <c r="D4029" s="75">
        <f>IF($C4029="","",IFERROR(INDEX(CAT_TIPO,MATCH($C4029,CAT_NOME,0)),"Sem categoria"))</f>
        <v/>
      </c>
      <c r="E4029" s="75">
        <f>IF($C4029="","",IFERROR(INDEX(CAT_GRUPO,MATCH($C4029,CAT_NOME,0)),"Sem categoria"))</f>
        <v/>
      </c>
      <c r="F4029" s="76" t="n"/>
      <c r="G4029" s="74" t="n"/>
      <c r="H4029" s="74" t="n"/>
      <c r="I4029" s="74" t="n"/>
      <c r="J4029" s="77" t="n"/>
      <c r="K4029" s="77" t="n"/>
      <c r="L4029" s="74" t="n"/>
      <c r="M4029" s="74" t="n"/>
      <c r="O4029" s="78">
        <f>IF($A4029="","",YEAR($A4029)*100+MONTH($A4029))</f>
        <v/>
      </c>
      <c r="P4029" s="79">
        <f>IF(OR($F4029="",$D4029=""),"",IF($D4029="Receita",$F4029,IF($D4029="Transferência",0,-$F4029)))</f>
        <v/>
      </c>
    </row>
    <row r="4030">
      <c r="A4030" s="73" t="n"/>
      <c r="B4030" s="74" t="n"/>
      <c r="C4030" s="74" t="n"/>
      <c r="D4030" s="75">
        <f>IF($C4030="","",IFERROR(INDEX(CAT_TIPO,MATCH($C4030,CAT_NOME,0)),"Sem categoria"))</f>
        <v/>
      </c>
      <c r="E4030" s="75">
        <f>IF($C4030="","",IFERROR(INDEX(CAT_GRUPO,MATCH($C4030,CAT_NOME,0)),"Sem categoria"))</f>
        <v/>
      </c>
      <c r="F4030" s="76" t="n"/>
      <c r="G4030" s="74" t="n"/>
      <c r="H4030" s="74" t="n"/>
      <c r="I4030" s="74" t="n"/>
      <c r="J4030" s="77" t="n"/>
      <c r="K4030" s="77" t="n"/>
      <c r="L4030" s="74" t="n"/>
      <c r="M4030" s="74" t="n"/>
      <c r="O4030" s="78">
        <f>IF($A4030="","",YEAR($A4030)*100+MONTH($A4030))</f>
        <v/>
      </c>
      <c r="P4030" s="79">
        <f>IF(OR($F4030="",$D4030=""),"",IF($D4030="Receita",$F4030,IF($D4030="Transferência",0,-$F4030)))</f>
        <v/>
      </c>
    </row>
    <row r="4031">
      <c r="A4031" s="73" t="n"/>
      <c r="B4031" s="74" t="n"/>
      <c r="C4031" s="74" t="n"/>
      <c r="D4031" s="75">
        <f>IF($C4031="","",IFERROR(INDEX(CAT_TIPO,MATCH($C4031,CAT_NOME,0)),"Sem categoria"))</f>
        <v/>
      </c>
      <c r="E4031" s="75">
        <f>IF($C4031="","",IFERROR(INDEX(CAT_GRUPO,MATCH($C4031,CAT_NOME,0)),"Sem categoria"))</f>
        <v/>
      </c>
      <c r="F4031" s="76" t="n"/>
      <c r="G4031" s="74" t="n"/>
      <c r="H4031" s="74" t="n"/>
      <c r="I4031" s="74" t="n"/>
      <c r="J4031" s="77" t="n"/>
      <c r="K4031" s="77" t="n"/>
      <c r="L4031" s="74" t="n"/>
      <c r="M4031" s="74" t="n"/>
      <c r="O4031" s="78">
        <f>IF($A4031="","",YEAR($A4031)*100+MONTH($A4031))</f>
        <v/>
      </c>
      <c r="P4031" s="79">
        <f>IF(OR($F4031="",$D4031=""),"",IF($D4031="Receita",$F4031,IF($D4031="Transferência",0,-$F4031)))</f>
        <v/>
      </c>
    </row>
    <row r="4032">
      <c r="A4032" s="73" t="n"/>
      <c r="B4032" s="74" t="n"/>
      <c r="C4032" s="74" t="n"/>
      <c r="D4032" s="75">
        <f>IF($C4032="","",IFERROR(INDEX(CAT_TIPO,MATCH($C4032,CAT_NOME,0)),"Sem categoria"))</f>
        <v/>
      </c>
      <c r="E4032" s="75">
        <f>IF($C4032="","",IFERROR(INDEX(CAT_GRUPO,MATCH($C4032,CAT_NOME,0)),"Sem categoria"))</f>
        <v/>
      </c>
      <c r="F4032" s="76" t="n"/>
      <c r="G4032" s="74" t="n"/>
      <c r="H4032" s="74" t="n"/>
      <c r="I4032" s="74" t="n"/>
      <c r="J4032" s="77" t="n"/>
      <c r="K4032" s="77" t="n"/>
      <c r="L4032" s="74" t="n"/>
      <c r="M4032" s="74" t="n"/>
      <c r="O4032" s="78">
        <f>IF($A4032="","",YEAR($A4032)*100+MONTH($A4032))</f>
        <v/>
      </c>
      <c r="P4032" s="79">
        <f>IF(OR($F4032="",$D4032=""),"",IF($D4032="Receita",$F4032,IF($D4032="Transferência",0,-$F4032)))</f>
        <v/>
      </c>
    </row>
    <row r="4033">
      <c r="A4033" s="73" t="n"/>
      <c r="B4033" s="74" t="n"/>
      <c r="C4033" s="74" t="n"/>
      <c r="D4033" s="75">
        <f>IF($C4033="","",IFERROR(INDEX(CAT_TIPO,MATCH($C4033,CAT_NOME,0)),"Sem categoria"))</f>
        <v/>
      </c>
      <c r="E4033" s="75">
        <f>IF($C4033="","",IFERROR(INDEX(CAT_GRUPO,MATCH($C4033,CAT_NOME,0)),"Sem categoria"))</f>
        <v/>
      </c>
      <c r="F4033" s="76" t="n"/>
      <c r="G4033" s="74" t="n"/>
      <c r="H4033" s="74" t="n"/>
      <c r="I4033" s="74" t="n"/>
      <c r="J4033" s="77" t="n"/>
      <c r="K4033" s="77" t="n"/>
      <c r="L4033" s="74" t="n"/>
      <c r="M4033" s="74" t="n"/>
      <c r="O4033" s="78">
        <f>IF($A4033="","",YEAR($A4033)*100+MONTH($A4033))</f>
        <v/>
      </c>
      <c r="P4033" s="79">
        <f>IF(OR($F4033="",$D4033=""),"",IF($D4033="Receita",$F4033,IF($D4033="Transferência",0,-$F4033)))</f>
        <v/>
      </c>
    </row>
    <row r="4034">
      <c r="A4034" s="73" t="n"/>
      <c r="B4034" s="74" t="n"/>
      <c r="C4034" s="74" t="n"/>
      <c r="D4034" s="75">
        <f>IF($C4034="","",IFERROR(INDEX(CAT_TIPO,MATCH($C4034,CAT_NOME,0)),"Sem categoria"))</f>
        <v/>
      </c>
      <c r="E4034" s="75">
        <f>IF($C4034="","",IFERROR(INDEX(CAT_GRUPO,MATCH($C4034,CAT_NOME,0)),"Sem categoria"))</f>
        <v/>
      </c>
      <c r="F4034" s="76" t="n"/>
      <c r="G4034" s="74" t="n"/>
      <c r="H4034" s="74" t="n"/>
      <c r="I4034" s="74" t="n"/>
      <c r="J4034" s="77" t="n"/>
      <c r="K4034" s="77" t="n"/>
      <c r="L4034" s="74" t="n"/>
      <c r="M4034" s="74" t="n"/>
      <c r="O4034" s="78">
        <f>IF($A4034="","",YEAR($A4034)*100+MONTH($A4034))</f>
        <v/>
      </c>
      <c r="P4034" s="79">
        <f>IF(OR($F4034="",$D4034=""),"",IF($D4034="Receita",$F4034,IF($D4034="Transferência",0,-$F4034)))</f>
        <v/>
      </c>
    </row>
    <row r="4035">
      <c r="A4035" s="73" t="n"/>
      <c r="B4035" s="74" t="n"/>
      <c r="C4035" s="74" t="n"/>
      <c r="D4035" s="75">
        <f>IF($C4035="","",IFERROR(INDEX(CAT_TIPO,MATCH($C4035,CAT_NOME,0)),"Sem categoria"))</f>
        <v/>
      </c>
      <c r="E4035" s="75">
        <f>IF($C4035="","",IFERROR(INDEX(CAT_GRUPO,MATCH($C4035,CAT_NOME,0)),"Sem categoria"))</f>
        <v/>
      </c>
      <c r="F4035" s="76" t="n"/>
      <c r="G4035" s="74" t="n"/>
      <c r="H4035" s="74" t="n"/>
      <c r="I4035" s="74" t="n"/>
      <c r="J4035" s="77" t="n"/>
      <c r="K4035" s="77" t="n"/>
      <c r="L4035" s="74" t="n"/>
      <c r="M4035" s="74" t="n"/>
      <c r="O4035" s="78">
        <f>IF($A4035="","",YEAR($A4035)*100+MONTH($A4035))</f>
        <v/>
      </c>
      <c r="P4035" s="79">
        <f>IF(OR($F4035="",$D4035=""),"",IF($D4035="Receita",$F4035,IF($D4035="Transferência",0,-$F4035)))</f>
        <v/>
      </c>
    </row>
    <row r="4036">
      <c r="A4036" s="73" t="n"/>
      <c r="B4036" s="74" t="n"/>
      <c r="C4036" s="74" t="n"/>
      <c r="D4036" s="75">
        <f>IF($C4036="","",IFERROR(INDEX(CAT_TIPO,MATCH($C4036,CAT_NOME,0)),"Sem categoria"))</f>
        <v/>
      </c>
      <c r="E4036" s="75">
        <f>IF($C4036="","",IFERROR(INDEX(CAT_GRUPO,MATCH($C4036,CAT_NOME,0)),"Sem categoria"))</f>
        <v/>
      </c>
      <c r="F4036" s="76" t="n"/>
      <c r="G4036" s="74" t="n"/>
      <c r="H4036" s="74" t="n"/>
      <c r="I4036" s="74" t="n"/>
      <c r="J4036" s="77" t="n"/>
      <c r="K4036" s="77" t="n"/>
      <c r="L4036" s="74" t="n"/>
      <c r="M4036" s="74" t="n"/>
      <c r="O4036" s="78">
        <f>IF($A4036="","",YEAR($A4036)*100+MONTH($A4036))</f>
        <v/>
      </c>
      <c r="P4036" s="79">
        <f>IF(OR($F4036="",$D4036=""),"",IF($D4036="Receita",$F4036,IF($D4036="Transferência",0,-$F4036)))</f>
        <v/>
      </c>
    </row>
    <row r="4037">
      <c r="A4037" s="73" t="n"/>
      <c r="B4037" s="74" t="n"/>
      <c r="C4037" s="74" t="n"/>
      <c r="D4037" s="75">
        <f>IF($C4037="","",IFERROR(INDEX(CAT_TIPO,MATCH($C4037,CAT_NOME,0)),"Sem categoria"))</f>
        <v/>
      </c>
      <c r="E4037" s="75">
        <f>IF($C4037="","",IFERROR(INDEX(CAT_GRUPO,MATCH($C4037,CAT_NOME,0)),"Sem categoria"))</f>
        <v/>
      </c>
      <c r="F4037" s="76" t="n"/>
      <c r="G4037" s="74" t="n"/>
      <c r="H4037" s="74" t="n"/>
      <c r="I4037" s="74" t="n"/>
      <c r="J4037" s="77" t="n"/>
      <c r="K4037" s="77" t="n"/>
      <c r="L4037" s="74" t="n"/>
      <c r="M4037" s="74" t="n"/>
      <c r="O4037" s="78">
        <f>IF($A4037="","",YEAR($A4037)*100+MONTH($A4037))</f>
        <v/>
      </c>
      <c r="P4037" s="79">
        <f>IF(OR($F4037="",$D4037=""),"",IF($D4037="Receita",$F4037,IF($D4037="Transferência",0,-$F4037)))</f>
        <v/>
      </c>
    </row>
    <row r="4038">
      <c r="A4038" s="73" t="n"/>
      <c r="B4038" s="74" t="n"/>
      <c r="C4038" s="74" t="n"/>
      <c r="D4038" s="75">
        <f>IF($C4038="","",IFERROR(INDEX(CAT_TIPO,MATCH($C4038,CAT_NOME,0)),"Sem categoria"))</f>
        <v/>
      </c>
      <c r="E4038" s="75">
        <f>IF($C4038="","",IFERROR(INDEX(CAT_GRUPO,MATCH($C4038,CAT_NOME,0)),"Sem categoria"))</f>
        <v/>
      </c>
      <c r="F4038" s="76" t="n"/>
      <c r="G4038" s="74" t="n"/>
      <c r="H4038" s="74" t="n"/>
      <c r="I4038" s="74" t="n"/>
      <c r="J4038" s="77" t="n"/>
      <c r="K4038" s="77" t="n"/>
      <c r="L4038" s="74" t="n"/>
      <c r="M4038" s="74" t="n"/>
      <c r="O4038" s="78">
        <f>IF($A4038="","",YEAR($A4038)*100+MONTH($A4038))</f>
        <v/>
      </c>
      <c r="P4038" s="79">
        <f>IF(OR($F4038="",$D4038=""),"",IF($D4038="Receita",$F4038,IF($D4038="Transferência",0,-$F4038)))</f>
        <v/>
      </c>
    </row>
    <row r="4039">
      <c r="A4039" s="73" t="n"/>
      <c r="B4039" s="74" t="n"/>
      <c r="C4039" s="74" t="n"/>
      <c r="D4039" s="75">
        <f>IF($C4039="","",IFERROR(INDEX(CAT_TIPO,MATCH($C4039,CAT_NOME,0)),"Sem categoria"))</f>
        <v/>
      </c>
      <c r="E4039" s="75">
        <f>IF($C4039="","",IFERROR(INDEX(CAT_GRUPO,MATCH($C4039,CAT_NOME,0)),"Sem categoria"))</f>
        <v/>
      </c>
      <c r="F4039" s="76" t="n"/>
      <c r="G4039" s="74" t="n"/>
      <c r="H4039" s="74" t="n"/>
      <c r="I4039" s="74" t="n"/>
      <c r="J4039" s="77" t="n"/>
      <c r="K4039" s="77" t="n"/>
      <c r="L4039" s="74" t="n"/>
      <c r="M4039" s="74" t="n"/>
      <c r="O4039" s="78">
        <f>IF($A4039="","",YEAR($A4039)*100+MONTH($A4039))</f>
        <v/>
      </c>
      <c r="P4039" s="79">
        <f>IF(OR($F4039="",$D4039=""),"",IF($D4039="Receita",$F4039,IF($D4039="Transferência",0,-$F4039)))</f>
        <v/>
      </c>
    </row>
    <row r="4040">
      <c r="A4040" s="73" t="n"/>
      <c r="B4040" s="74" t="n"/>
      <c r="C4040" s="74" t="n"/>
      <c r="D4040" s="75">
        <f>IF($C4040="","",IFERROR(INDEX(CAT_TIPO,MATCH($C4040,CAT_NOME,0)),"Sem categoria"))</f>
        <v/>
      </c>
      <c r="E4040" s="75">
        <f>IF($C4040="","",IFERROR(INDEX(CAT_GRUPO,MATCH($C4040,CAT_NOME,0)),"Sem categoria"))</f>
        <v/>
      </c>
      <c r="F4040" s="76" t="n"/>
      <c r="G4040" s="74" t="n"/>
      <c r="H4040" s="74" t="n"/>
      <c r="I4040" s="74" t="n"/>
      <c r="J4040" s="77" t="n"/>
      <c r="K4040" s="77" t="n"/>
      <c r="L4040" s="74" t="n"/>
      <c r="M4040" s="74" t="n"/>
      <c r="O4040" s="78">
        <f>IF($A4040="","",YEAR($A4040)*100+MONTH($A4040))</f>
        <v/>
      </c>
      <c r="P4040" s="79">
        <f>IF(OR($F4040="",$D4040=""),"",IF($D4040="Receita",$F4040,IF($D4040="Transferência",0,-$F4040)))</f>
        <v/>
      </c>
    </row>
    <row r="4041">
      <c r="A4041" s="73" t="n"/>
      <c r="B4041" s="74" t="n"/>
      <c r="C4041" s="74" t="n"/>
      <c r="D4041" s="75">
        <f>IF($C4041="","",IFERROR(INDEX(CAT_TIPO,MATCH($C4041,CAT_NOME,0)),"Sem categoria"))</f>
        <v/>
      </c>
      <c r="E4041" s="75">
        <f>IF($C4041="","",IFERROR(INDEX(CAT_GRUPO,MATCH($C4041,CAT_NOME,0)),"Sem categoria"))</f>
        <v/>
      </c>
      <c r="F4041" s="76" t="n"/>
      <c r="G4041" s="74" t="n"/>
      <c r="H4041" s="74" t="n"/>
      <c r="I4041" s="74" t="n"/>
      <c r="J4041" s="77" t="n"/>
      <c r="K4041" s="77" t="n"/>
      <c r="L4041" s="74" t="n"/>
      <c r="M4041" s="74" t="n"/>
      <c r="O4041" s="78">
        <f>IF($A4041="","",YEAR($A4041)*100+MONTH($A4041))</f>
        <v/>
      </c>
      <c r="P4041" s="79">
        <f>IF(OR($F4041="",$D4041=""),"",IF($D4041="Receita",$F4041,IF($D4041="Transferência",0,-$F4041)))</f>
        <v/>
      </c>
    </row>
    <row r="4042">
      <c r="A4042" s="73" t="n"/>
      <c r="B4042" s="74" t="n"/>
      <c r="C4042" s="74" t="n"/>
      <c r="D4042" s="75">
        <f>IF($C4042="","",IFERROR(INDEX(CAT_TIPO,MATCH($C4042,CAT_NOME,0)),"Sem categoria"))</f>
        <v/>
      </c>
      <c r="E4042" s="75">
        <f>IF($C4042="","",IFERROR(INDEX(CAT_GRUPO,MATCH($C4042,CAT_NOME,0)),"Sem categoria"))</f>
        <v/>
      </c>
      <c r="F4042" s="76" t="n"/>
      <c r="G4042" s="74" t="n"/>
      <c r="H4042" s="74" t="n"/>
      <c r="I4042" s="74" t="n"/>
      <c r="J4042" s="77" t="n"/>
      <c r="K4042" s="77" t="n"/>
      <c r="L4042" s="74" t="n"/>
      <c r="M4042" s="74" t="n"/>
      <c r="O4042" s="78">
        <f>IF($A4042="","",YEAR($A4042)*100+MONTH($A4042))</f>
        <v/>
      </c>
      <c r="P4042" s="79">
        <f>IF(OR($F4042="",$D4042=""),"",IF($D4042="Receita",$F4042,IF($D4042="Transferência",0,-$F4042)))</f>
        <v/>
      </c>
    </row>
    <row r="4043">
      <c r="A4043" s="73" t="n"/>
      <c r="B4043" s="74" t="n"/>
      <c r="C4043" s="74" t="n"/>
      <c r="D4043" s="75">
        <f>IF($C4043="","",IFERROR(INDEX(CAT_TIPO,MATCH($C4043,CAT_NOME,0)),"Sem categoria"))</f>
        <v/>
      </c>
      <c r="E4043" s="75">
        <f>IF($C4043="","",IFERROR(INDEX(CAT_GRUPO,MATCH($C4043,CAT_NOME,0)),"Sem categoria"))</f>
        <v/>
      </c>
      <c r="F4043" s="76" t="n"/>
      <c r="G4043" s="74" t="n"/>
      <c r="H4043" s="74" t="n"/>
      <c r="I4043" s="74" t="n"/>
      <c r="J4043" s="77" t="n"/>
      <c r="K4043" s="77" t="n"/>
      <c r="L4043" s="74" t="n"/>
      <c r="M4043" s="74" t="n"/>
      <c r="O4043" s="78">
        <f>IF($A4043="","",YEAR($A4043)*100+MONTH($A4043))</f>
        <v/>
      </c>
      <c r="P4043" s="79">
        <f>IF(OR($F4043="",$D4043=""),"",IF($D4043="Receita",$F4043,IF($D4043="Transferência",0,-$F4043)))</f>
        <v/>
      </c>
    </row>
    <row r="4044">
      <c r="A4044" s="73" t="n"/>
      <c r="B4044" s="74" t="n"/>
      <c r="C4044" s="74" t="n"/>
      <c r="D4044" s="75">
        <f>IF($C4044="","",IFERROR(INDEX(CAT_TIPO,MATCH($C4044,CAT_NOME,0)),"Sem categoria"))</f>
        <v/>
      </c>
      <c r="E4044" s="75">
        <f>IF($C4044="","",IFERROR(INDEX(CAT_GRUPO,MATCH($C4044,CAT_NOME,0)),"Sem categoria"))</f>
        <v/>
      </c>
      <c r="F4044" s="76" t="n"/>
      <c r="G4044" s="74" t="n"/>
      <c r="H4044" s="74" t="n"/>
      <c r="I4044" s="74" t="n"/>
      <c r="J4044" s="77" t="n"/>
      <c r="K4044" s="77" t="n"/>
      <c r="L4044" s="74" t="n"/>
      <c r="M4044" s="74" t="n"/>
      <c r="O4044" s="78">
        <f>IF($A4044="","",YEAR($A4044)*100+MONTH($A4044))</f>
        <v/>
      </c>
      <c r="P4044" s="79">
        <f>IF(OR($F4044="",$D4044=""),"",IF($D4044="Receita",$F4044,IF($D4044="Transferência",0,-$F4044)))</f>
        <v/>
      </c>
    </row>
    <row r="4045">
      <c r="A4045" s="73" t="n"/>
      <c r="B4045" s="74" t="n"/>
      <c r="C4045" s="74" t="n"/>
      <c r="D4045" s="75">
        <f>IF($C4045="","",IFERROR(INDEX(CAT_TIPO,MATCH($C4045,CAT_NOME,0)),"Sem categoria"))</f>
        <v/>
      </c>
      <c r="E4045" s="75">
        <f>IF($C4045="","",IFERROR(INDEX(CAT_GRUPO,MATCH($C4045,CAT_NOME,0)),"Sem categoria"))</f>
        <v/>
      </c>
      <c r="F4045" s="76" t="n"/>
      <c r="G4045" s="74" t="n"/>
      <c r="H4045" s="74" t="n"/>
      <c r="I4045" s="74" t="n"/>
      <c r="J4045" s="77" t="n"/>
      <c r="K4045" s="77" t="n"/>
      <c r="L4045" s="74" t="n"/>
      <c r="M4045" s="74" t="n"/>
      <c r="O4045" s="78">
        <f>IF($A4045="","",YEAR($A4045)*100+MONTH($A4045))</f>
        <v/>
      </c>
      <c r="P4045" s="79">
        <f>IF(OR($F4045="",$D4045=""),"",IF($D4045="Receita",$F4045,IF($D4045="Transferência",0,-$F4045)))</f>
        <v/>
      </c>
    </row>
    <row r="4046">
      <c r="A4046" s="73" t="n"/>
      <c r="B4046" s="74" t="n"/>
      <c r="C4046" s="74" t="n"/>
      <c r="D4046" s="75">
        <f>IF($C4046="","",IFERROR(INDEX(CAT_TIPO,MATCH($C4046,CAT_NOME,0)),"Sem categoria"))</f>
        <v/>
      </c>
      <c r="E4046" s="75">
        <f>IF($C4046="","",IFERROR(INDEX(CAT_GRUPO,MATCH($C4046,CAT_NOME,0)),"Sem categoria"))</f>
        <v/>
      </c>
      <c r="F4046" s="76" t="n"/>
      <c r="G4046" s="74" t="n"/>
      <c r="H4046" s="74" t="n"/>
      <c r="I4046" s="74" t="n"/>
      <c r="J4046" s="77" t="n"/>
      <c r="K4046" s="77" t="n"/>
      <c r="L4046" s="74" t="n"/>
      <c r="M4046" s="74" t="n"/>
      <c r="O4046" s="78">
        <f>IF($A4046="","",YEAR($A4046)*100+MONTH($A4046))</f>
        <v/>
      </c>
      <c r="P4046" s="79">
        <f>IF(OR($F4046="",$D4046=""),"",IF($D4046="Receita",$F4046,IF($D4046="Transferência",0,-$F4046)))</f>
        <v/>
      </c>
    </row>
    <row r="4047">
      <c r="A4047" s="73" t="n"/>
      <c r="B4047" s="74" t="n"/>
      <c r="C4047" s="74" t="n"/>
      <c r="D4047" s="75">
        <f>IF($C4047="","",IFERROR(INDEX(CAT_TIPO,MATCH($C4047,CAT_NOME,0)),"Sem categoria"))</f>
        <v/>
      </c>
      <c r="E4047" s="75">
        <f>IF($C4047="","",IFERROR(INDEX(CAT_GRUPO,MATCH($C4047,CAT_NOME,0)),"Sem categoria"))</f>
        <v/>
      </c>
      <c r="F4047" s="76" t="n"/>
      <c r="G4047" s="74" t="n"/>
      <c r="H4047" s="74" t="n"/>
      <c r="I4047" s="74" t="n"/>
      <c r="J4047" s="77" t="n"/>
      <c r="K4047" s="77" t="n"/>
      <c r="L4047" s="74" t="n"/>
      <c r="M4047" s="74" t="n"/>
      <c r="O4047" s="78">
        <f>IF($A4047="","",YEAR($A4047)*100+MONTH($A4047))</f>
        <v/>
      </c>
      <c r="P4047" s="79">
        <f>IF(OR($F4047="",$D4047=""),"",IF($D4047="Receita",$F4047,IF($D4047="Transferência",0,-$F4047)))</f>
        <v/>
      </c>
    </row>
    <row r="4048">
      <c r="A4048" s="73" t="n"/>
      <c r="B4048" s="74" t="n"/>
      <c r="C4048" s="74" t="n"/>
      <c r="D4048" s="75">
        <f>IF($C4048="","",IFERROR(INDEX(CAT_TIPO,MATCH($C4048,CAT_NOME,0)),"Sem categoria"))</f>
        <v/>
      </c>
      <c r="E4048" s="75">
        <f>IF($C4048="","",IFERROR(INDEX(CAT_GRUPO,MATCH($C4048,CAT_NOME,0)),"Sem categoria"))</f>
        <v/>
      </c>
      <c r="F4048" s="76" t="n"/>
      <c r="G4048" s="74" t="n"/>
      <c r="H4048" s="74" t="n"/>
      <c r="I4048" s="74" t="n"/>
      <c r="J4048" s="77" t="n"/>
      <c r="K4048" s="77" t="n"/>
      <c r="L4048" s="74" t="n"/>
      <c r="M4048" s="74" t="n"/>
      <c r="O4048" s="78">
        <f>IF($A4048="","",YEAR($A4048)*100+MONTH($A4048))</f>
        <v/>
      </c>
      <c r="P4048" s="79">
        <f>IF(OR($F4048="",$D4048=""),"",IF($D4048="Receita",$F4048,IF($D4048="Transferência",0,-$F4048)))</f>
        <v/>
      </c>
    </row>
    <row r="4049">
      <c r="A4049" s="73" t="n"/>
      <c r="B4049" s="74" t="n"/>
      <c r="C4049" s="74" t="n"/>
      <c r="D4049" s="75">
        <f>IF($C4049="","",IFERROR(INDEX(CAT_TIPO,MATCH($C4049,CAT_NOME,0)),"Sem categoria"))</f>
        <v/>
      </c>
      <c r="E4049" s="75">
        <f>IF($C4049="","",IFERROR(INDEX(CAT_GRUPO,MATCH($C4049,CAT_NOME,0)),"Sem categoria"))</f>
        <v/>
      </c>
      <c r="F4049" s="76" t="n"/>
      <c r="G4049" s="74" t="n"/>
      <c r="H4049" s="74" t="n"/>
      <c r="I4049" s="74" t="n"/>
      <c r="J4049" s="77" t="n"/>
      <c r="K4049" s="77" t="n"/>
      <c r="L4049" s="74" t="n"/>
      <c r="M4049" s="74" t="n"/>
      <c r="O4049" s="78">
        <f>IF($A4049="","",YEAR($A4049)*100+MONTH($A4049))</f>
        <v/>
      </c>
      <c r="P4049" s="79">
        <f>IF(OR($F4049="",$D4049=""),"",IF($D4049="Receita",$F4049,IF($D4049="Transferência",0,-$F4049)))</f>
        <v/>
      </c>
    </row>
    <row r="4050">
      <c r="A4050" s="73" t="n"/>
      <c r="B4050" s="74" t="n"/>
      <c r="C4050" s="74" t="n"/>
      <c r="D4050" s="75">
        <f>IF($C4050="","",IFERROR(INDEX(CAT_TIPO,MATCH($C4050,CAT_NOME,0)),"Sem categoria"))</f>
        <v/>
      </c>
      <c r="E4050" s="75">
        <f>IF($C4050="","",IFERROR(INDEX(CAT_GRUPO,MATCH($C4050,CAT_NOME,0)),"Sem categoria"))</f>
        <v/>
      </c>
      <c r="F4050" s="76" t="n"/>
      <c r="G4050" s="74" t="n"/>
      <c r="H4050" s="74" t="n"/>
      <c r="I4050" s="74" t="n"/>
      <c r="J4050" s="77" t="n"/>
      <c r="K4050" s="77" t="n"/>
      <c r="L4050" s="74" t="n"/>
      <c r="M4050" s="74" t="n"/>
      <c r="O4050" s="78">
        <f>IF($A4050="","",YEAR($A4050)*100+MONTH($A4050))</f>
        <v/>
      </c>
      <c r="P4050" s="79">
        <f>IF(OR($F4050="",$D4050=""),"",IF($D4050="Receita",$F4050,IF($D4050="Transferência",0,-$F4050)))</f>
        <v/>
      </c>
    </row>
    <row r="4051">
      <c r="A4051" s="73" t="n"/>
      <c r="B4051" s="74" t="n"/>
      <c r="C4051" s="74" t="n"/>
      <c r="D4051" s="75">
        <f>IF($C4051="","",IFERROR(INDEX(CAT_TIPO,MATCH($C4051,CAT_NOME,0)),"Sem categoria"))</f>
        <v/>
      </c>
      <c r="E4051" s="75">
        <f>IF($C4051="","",IFERROR(INDEX(CAT_GRUPO,MATCH($C4051,CAT_NOME,0)),"Sem categoria"))</f>
        <v/>
      </c>
      <c r="F4051" s="76" t="n"/>
      <c r="G4051" s="74" t="n"/>
      <c r="H4051" s="74" t="n"/>
      <c r="I4051" s="74" t="n"/>
      <c r="J4051" s="77" t="n"/>
      <c r="K4051" s="77" t="n"/>
      <c r="L4051" s="74" t="n"/>
      <c r="M4051" s="74" t="n"/>
      <c r="O4051" s="78">
        <f>IF($A4051="","",YEAR($A4051)*100+MONTH($A4051))</f>
        <v/>
      </c>
      <c r="P4051" s="79">
        <f>IF(OR($F4051="",$D4051=""),"",IF($D4051="Receita",$F4051,IF($D4051="Transferência",0,-$F4051)))</f>
        <v/>
      </c>
    </row>
    <row r="4052">
      <c r="A4052" s="73" t="n"/>
      <c r="B4052" s="74" t="n"/>
      <c r="C4052" s="74" t="n"/>
      <c r="D4052" s="75">
        <f>IF($C4052="","",IFERROR(INDEX(CAT_TIPO,MATCH($C4052,CAT_NOME,0)),"Sem categoria"))</f>
        <v/>
      </c>
      <c r="E4052" s="75">
        <f>IF($C4052="","",IFERROR(INDEX(CAT_GRUPO,MATCH($C4052,CAT_NOME,0)),"Sem categoria"))</f>
        <v/>
      </c>
      <c r="F4052" s="76" t="n"/>
      <c r="G4052" s="74" t="n"/>
      <c r="H4052" s="74" t="n"/>
      <c r="I4052" s="74" t="n"/>
      <c r="J4052" s="77" t="n"/>
      <c r="K4052" s="77" t="n"/>
      <c r="L4052" s="74" t="n"/>
      <c r="M4052" s="74" t="n"/>
      <c r="O4052" s="78">
        <f>IF($A4052="","",YEAR($A4052)*100+MONTH($A4052))</f>
        <v/>
      </c>
      <c r="P4052" s="79">
        <f>IF(OR($F4052="",$D4052=""),"",IF($D4052="Receita",$F4052,IF($D4052="Transferência",0,-$F4052)))</f>
        <v/>
      </c>
    </row>
    <row r="4053">
      <c r="A4053" s="73" t="n"/>
      <c r="B4053" s="74" t="n"/>
      <c r="C4053" s="74" t="n"/>
      <c r="D4053" s="75">
        <f>IF($C4053="","",IFERROR(INDEX(CAT_TIPO,MATCH($C4053,CAT_NOME,0)),"Sem categoria"))</f>
        <v/>
      </c>
      <c r="E4053" s="75">
        <f>IF($C4053="","",IFERROR(INDEX(CAT_GRUPO,MATCH($C4053,CAT_NOME,0)),"Sem categoria"))</f>
        <v/>
      </c>
      <c r="F4053" s="76" t="n"/>
      <c r="G4053" s="74" t="n"/>
      <c r="H4053" s="74" t="n"/>
      <c r="I4053" s="74" t="n"/>
      <c r="J4053" s="77" t="n"/>
      <c r="K4053" s="77" t="n"/>
      <c r="L4053" s="74" t="n"/>
      <c r="M4053" s="74" t="n"/>
      <c r="O4053" s="78">
        <f>IF($A4053="","",YEAR($A4053)*100+MONTH($A4053))</f>
        <v/>
      </c>
      <c r="P4053" s="79">
        <f>IF(OR($F4053="",$D4053=""),"",IF($D4053="Receita",$F4053,IF($D4053="Transferência",0,-$F4053)))</f>
        <v/>
      </c>
    </row>
    <row r="4054">
      <c r="A4054" s="73" t="n"/>
      <c r="B4054" s="74" t="n"/>
      <c r="C4054" s="74" t="n"/>
      <c r="D4054" s="75">
        <f>IF($C4054="","",IFERROR(INDEX(CAT_TIPO,MATCH($C4054,CAT_NOME,0)),"Sem categoria"))</f>
        <v/>
      </c>
      <c r="E4054" s="75">
        <f>IF($C4054="","",IFERROR(INDEX(CAT_GRUPO,MATCH($C4054,CAT_NOME,0)),"Sem categoria"))</f>
        <v/>
      </c>
      <c r="F4054" s="76" t="n"/>
      <c r="G4054" s="74" t="n"/>
      <c r="H4054" s="74" t="n"/>
      <c r="I4054" s="74" t="n"/>
      <c r="J4054" s="77" t="n"/>
      <c r="K4054" s="77" t="n"/>
      <c r="L4054" s="74" t="n"/>
      <c r="M4054" s="74" t="n"/>
      <c r="O4054" s="78">
        <f>IF($A4054="","",YEAR($A4054)*100+MONTH($A4054))</f>
        <v/>
      </c>
      <c r="P4054" s="79">
        <f>IF(OR($F4054="",$D4054=""),"",IF($D4054="Receita",$F4054,IF($D4054="Transferência",0,-$F4054)))</f>
        <v/>
      </c>
    </row>
    <row r="4055">
      <c r="A4055" s="73" t="n"/>
      <c r="B4055" s="74" t="n"/>
      <c r="C4055" s="74" t="n"/>
      <c r="D4055" s="75">
        <f>IF($C4055="","",IFERROR(INDEX(CAT_TIPO,MATCH($C4055,CAT_NOME,0)),"Sem categoria"))</f>
        <v/>
      </c>
      <c r="E4055" s="75">
        <f>IF($C4055="","",IFERROR(INDEX(CAT_GRUPO,MATCH($C4055,CAT_NOME,0)),"Sem categoria"))</f>
        <v/>
      </c>
      <c r="F4055" s="76" t="n"/>
      <c r="G4055" s="74" t="n"/>
      <c r="H4055" s="74" t="n"/>
      <c r="I4055" s="74" t="n"/>
      <c r="J4055" s="77" t="n"/>
      <c r="K4055" s="77" t="n"/>
      <c r="L4055" s="74" t="n"/>
      <c r="M4055" s="74" t="n"/>
      <c r="O4055" s="78">
        <f>IF($A4055="","",YEAR($A4055)*100+MONTH($A4055))</f>
        <v/>
      </c>
      <c r="P4055" s="79">
        <f>IF(OR($F4055="",$D4055=""),"",IF($D4055="Receita",$F4055,IF($D4055="Transferência",0,-$F4055)))</f>
        <v/>
      </c>
    </row>
    <row r="4056">
      <c r="A4056" s="73" t="n"/>
      <c r="B4056" s="74" t="n"/>
      <c r="C4056" s="74" t="n"/>
      <c r="D4056" s="75">
        <f>IF($C4056="","",IFERROR(INDEX(CAT_TIPO,MATCH($C4056,CAT_NOME,0)),"Sem categoria"))</f>
        <v/>
      </c>
      <c r="E4056" s="75">
        <f>IF($C4056="","",IFERROR(INDEX(CAT_GRUPO,MATCH($C4056,CAT_NOME,0)),"Sem categoria"))</f>
        <v/>
      </c>
      <c r="F4056" s="76" t="n"/>
      <c r="G4056" s="74" t="n"/>
      <c r="H4056" s="74" t="n"/>
      <c r="I4056" s="74" t="n"/>
      <c r="J4056" s="77" t="n"/>
      <c r="K4056" s="77" t="n"/>
      <c r="L4056" s="74" t="n"/>
      <c r="M4056" s="74" t="n"/>
      <c r="O4056" s="78">
        <f>IF($A4056="","",YEAR($A4056)*100+MONTH($A4056))</f>
        <v/>
      </c>
      <c r="P4056" s="79">
        <f>IF(OR($F4056="",$D4056=""),"",IF($D4056="Receita",$F4056,IF($D4056="Transferência",0,-$F4056)))</f>
        <v/>
      </c>
    </row>
    <row r="4057">
      <c r="A4057" s="73" t="n"/>
      <c r="B4057" s="74" t="n"/>
      <c r="C4057" s="74" t="n"/>
      <c r="D4057" s="75">
        <f>IF($C4057="","",IFERROR(INDEX(CAT_TIPO,MATCH($C4057,CAT_NOME,0)),"Sem categoria"))</f>
        <v/>
      </c>
      <c r="E4057" s="75">
        <f>IF($C4057="","",IFERROR(INDEX(CAT_GRUPO,MATCH($C4057,CAT_NOME,0)),"Sem categoria"))</f>
        <v/>
      </c>
      <c r="F4057" s="76" t="n"/>
      <c r="G4057" s="74" t="n"/>
      <c r="H4057" s="74" t="n"/>
      <c r="I4057" s="74" t="n"/>
      <c r="J4057" s="77" t="n"/>
      <c r="K4057" s="77" t="n"/>
      <c r="L4057" s="74" t="n"/>
      <c r="M4057" s="74" t="n"/>
      <c r="O4057" s="78">
        <f>IF($A4057="","",YEAR($A4057)*100+MONTH($A4057))</f>
        <v/>
      </c>
      <c r="P4057" s="79">
        <f>IF(OR($F4057="",$D4057=""),"",IF($D4057="Receita",$F4057,IF($D4057="Transferência",0,-$F4057)))</f>
        <v/>
      </c>
    </row>
    <row r="4058">
      <c r="A4058" s="73" t="n"/>
      <c r="B4058" s="74" t="n"/>
      <c r="C4058" s="74" t="n"/>
      <c r="D4058" s="75">
        <f>IF($C4058="","",IFERROR(INDEX(CAT_TIPO,MATCH($C4058,CAT_NOME,0)),"Sem categoria"))</f>
        <v/>
      </c>
      <c r="E4058" s="75">
        <f>IF($C4058="","",IFERROR(INDEX(CAT_GRUPO,MATCH($C4058,CAT_NOME,0)),"Sem categoria"))</f>
        <v/>
      </c>
      <c r="F4058" s="76" t="n"/>
      <c r="G4058" s="74" t="n"/>
      <c r="H4058" s="74" t="n"/>
      <c r="I4058" s="74" t="n"/>
      <c r="J4058" s="77" t="n"/>
      <c r="K4058" s="77" t="n"/>
      <c r="L4058" s="74" t="n"/>
      <c r="M4058" s="74" t="n"/>
      <c r="O4058" s="78">
        <f>IF($A4058="","",YEAR($A4058)*100+MONTH($A4058))</f>
        <v/>
      </c>
      <c r="P4058" s="79">
        <f>IF(OR($F4058="",$D4058=""),"",IF($D4058="Receita",$F4058,IF($D4058="Transferência",0,-$F4058)))</f>
        <v/>
      </c>
    </row>
    <row r="4059">
      <c r="A4059" s="73" t="n"/>
      <c r="B4059" s="74" t="n"/>
      <c r="C4059" s="74" t="n"/>
      <c r="D4059" s="75">
        <f>IF($C4059="","",IFERROR(INDEX(CAT_TIPO,MATCH($C4059,CAT_NOME,0)),"Sem categoria"))</f>
        <v/>
      </c>
      <c r="E4059" s="75">
        <f>IF($C4059="","",IFERROR(INDEX(CAT_GRUPO,MATCH($C4059,CAT_NOME,0)),"Sem categoria"))</f>
        <v/>
      </c>
      <c r="F4059" s="76" t="n"/>
      <c r="G4059" s="74" t="n"/>
      <c r="H4059" s="74" t="n"/>
      <c r="I4059" s="74" t="n"/>
      <c r="J4059" s="77" t="n"/>
      <c r="K4059" s="77" t="n"/>
      <c r="L4059" s="74" t="n"/>
      <c r="M4059" s="74" t="n"/>
      <c r="O4059" s="78">
        <f>IF($A4059="","",YEAR($A4059)*100+MONTH($A4059))</f>
        <v/>
      </c>
      <c r="P4059" s="79">
        <f>IF(OR($F4059="",$D4059=""),"",IF($D4059="Receita",$F4059,IF($D4059="Transferência",0,-$F4059)))</f>
        <v/>
      </c>
    </row>
    <row r="4060">
      <c r="A4060" s="73" t="n"/>
      <c r="B4060" s="74" t="n"/>
      <c r="C4060" s="74" t="n"/>
      <c r="D4060" s="75">
        <f>IF($C4060="","",IFERROR(INDEX(CAT_TIPO,MATCH($C4060,CAT_NOME,0)),"Sem categoria"))</f>
        <v/>
      </c>
      <c r="E4060" s="75">
        <f>IF($C4060="","",IFERROR(INDEX(CAT_GRUPO,MATCH($C4060,CAT_NOME,0)),"Sem categoria"))</f>
        <v/>
      </c>
      <c r="F4060" s="76" t="n"/>
      <c r="G4060" s="74" t="n"/>
      <c r="H4060" s="74" t="n"/>
      <c r="I4060" s="74" t="n"/>
      <c r="J4060" s="77" t="n"/>
      <c r="K4060" s="77" t="n"/>
      <c r="L4060" s="74" t="n"/>
      <c r="M4060" s="74" t="n"/>
      <c r="O4060" s="78">
        <f>IF($A4060="","",YEAR($A4060)*100+MONTH($A4060))</f>
        <v/>
      </c>
      <c r="P4060" s="79">
        <f>IF(OR($F4060="",$D4060=""),"",IF($D4060="Receita",$F4060,IF($D4060="Transferência",0,-$F4060)))</f>
        <v/>
      </c>
    </row>
    <row r="4061">
      <c r="A4061" s="73" t="n"/>
      <c r="B4061" s="74" t="n"/>
      <c r="C4061" s="74" t="n"/>
      <c r="D4061" s="75">
        <f>IF($C4061="","",IFERROR(INDEX(CAT_TIPO,MATCH($C4061,CAT_NOME,0)),"Sem categoria"))</f>
        <v/>
      </c>
      <c r="E4061" s="75">
        <f>IF($C4061="","",IFERROR(INDEX(CAT_GRUPO,MATCH($C4061,CAT_NOME,0)),"Sem categoria"))</f>
        <v/>
      </c>
      <c r="F4061" s="76" t="n"/>
      <c r="G4061" s="74" t="n"/>
      <c r="H4061" s="74" t="n"/>
      <c r="I4061" s="74" t="n"/>
      <c r="J4061" s="77" t="n"/>
      <c r="K4061" s="77" t="n"/>
      <c r="L4061" s="74" t="n"/>
      <c r="M4061" s="74" t="n"/>
      <c r="O4061" s="78">
        <f>IF($A4061="","",YEAR($A4061)*100+MONTH($A4061))</f>
        <v/>
      </c>
      <c r="P4061" s="79">
        <f>IF(OR($F4061="",$D4061=""),"",IF($D4061="Receita",$F4061,IF($D4061="Transferência",0,-$F4061)))</f>
        <v/>
      </c>
    </row>
    <row r="4062">
      <c r="A4062" s="73" t="n"/>
      <c r="B4062" s="74" t="n"/>
      <c r="C4062" s="74" t="n"/>
      <c r="D4062" s="75">
        <f>IF($C4062="","",IFERROR(INDEX(CAT_TIPO,MATCH($C4062,CAT_NOME,0)),"Sem categoria"))</f>
        <v/>
      </c>
      <c r="E4062" s="75">
        <f>IF($C4062="","",IFERROR(INDEX(CAT_GRUPO,MATCH($C4062,CAT_NOME,0)),"Sem categoria"))</f>
        <v/>
      </c>
      <c r="F4062" s="76" t="n"/>
      <c r="G4062" s="74" t="n"/>
      <c r="H4062" s="74" t="n"/>
      <c r="I4062" s="74" t="n"/>
      <c r="J4062" s="77" t="n"/>
      <c r="K4062" s="77" t="n"/>
      <c r="L4062" s="74" t="n"/>
      <c r="M4062" s="74" t="n"/>
      <c r="O4062" s="78">
        <f>IF($A4062="","",YEAR($A4062)*100+MONTH($A4062))</f>
        <v/>
      </c>
      <c r="P4062" s="79">
        <f>IF(OR($F4062="",$D4062=""),"",IF($D4062="Receita",$F4062,IF($D4062="Transferência",0,-$F4062)))</f>
        <v/>
      </c>
    </row>
    <row r="4063">
      <c r="A4063" s="73" t="n"/>
      <c r="B4063" s="74" t="n"/>
      <c r="C4063" s="74" t="n"/>
      <c r="D4063" s="75">
        <f>IF($C4063="","",IFERROR(INDEX(CAT_TIPO,MATCH($C4063,CAT_NOME,0)),"Sem categoria"))</f>
        <v/>
      </c>
      <c r="E4063" s="75">
        <f>IF($C4063="","",IFERROR(INDEX(CAT_GRUPO,MATCH($C4063,CAT_NOME,0)),"Sem categoria"))</f>
        <v/>
      </c>
      <c r="F4063" s="76" t="n"/>
      <c r="G4063" s="74" t="n"/>
      <c r="H4063" s="74" t="n"/>
      <c r="I4063" s="74" t="n"/>
      <c r="J4063" s="77" t="n"/>
      <c r="K4063" s="77" t="n"/>
      <c r="L4063" s="74" t="n"/>
      <c r="M4063" s="74" t="n"/>
      <c r="O4063" s="78">
        <f>IF($A4063="","",YEAR($A4063)*100+MONTH($A4063))</f>
        <v/>
      </c>
      <c r="P4063" s="79">
        <f>IF(OR($F4063="",$D4063=""),"",IF($D4063="Receita",$F4063,IF($D4063="Transferência",0,-$F4063)))</f>
        <v/>
      </c>
    </row>
    <row r="4064">
      <c r="A4064" s="73" t="n"/>
      <c r="B4064" s="74" t="n"/>
      <c r="C4064" s="74" t="n"/>
      <c r="D4064" s="75">
        <f>IF($C4064="","",IFERROR(INDEX(CAT_TIPO,MATCH($C4064,CAT_NOME,0)),"Sem categoria"))</f>
        <v/>
      </c>
      <c r="E4064" s="75">
        <f>IF($C4064="","",IFERROR(INDEX(CAT_GRUPO,MATCH($C4064,CAT_NOME,0)),"Sem categoria"))</f>
        <v/>
      </c>
      <c r="F4064" s="76" t="n"/>
      <c r="G4064" s="74" t="n"/>
      <c r="H4064" s="74" t="n"/>
      <c r="I4064" s="74" t="n"/>
      <c r="J4064" s="77" t="n"/>
      <c r="K4064" s="77" t="n"/>
      <c r="L4064" s="74" t="n"/>
      <c r="M4064" s="74" t="n"/>
      <c r="O4064" s="78">
        <f>IF($A4064="","",YEAR($A4064)*100+MONTH($A4064))</f>
        <v/>
      </c>
      <c r="P4064" s="79">
        <f>IF(OR($F4064="",$D4064=""),"",IF($D4064="Receita",$F4064,IF($D4064="Transferência",0,-$F4064)))</f>
        <v/>
      </c>
    </row>
    <row r="4065">
      <c r="A4065" s="73" t="n"/>
      <c r="B4065" s="74" t="n"/>
      <c r="C4065" s="74" t="n"/>
      <c r="D4065" s="75">
        <f>IF($C4065="","",IFERROR(INDEX(CAT_TIPO,MATCH($C4065,CAT_NOME,0)),"Sem categoria"))</f>
        <v/>
      </c>
      <c r="E4065" s="75">
        <f>IF($C4065="","",IFERROR(INDEX(CAT_GRUPO,MATCH($C4065,CAT_NOME,0)),"Sem categoria"))</f>
        <v/>
      </c>
      <c r="F4065" s="76" t="n"/>
      <c r="G4065" s="74" t="n"/>
      <c r="H4065" s="74" t="n"/>
      <c r="I4065" s="74" t="n"/>
      <c r="J4065" s="77" t="n"/>
      <c r="K4065" s="77" t="n"/>
      <c r="L4065" s="74" t="n"/>
      <c r="M4065" s="74" t="n"/>
      <c r="O4065" s="78">
        <f>IF($A4065="","",YEAR($A4065)*100+MONTH($A4065))</f>
        <v/>
      </c>
      <c r="P4065" s="79">
        <f>IF(OR($F4065="",$D4065=""),"",IF($D4065="Receita",$F4065,IF($D4065="Transferência",0,-$F4065)))</f>
        <v/>
      </c>
    </row>
    <row r="4066">
      <c r="A4066" s="73" t="n"/>
      <c r="B4066" s="74" t="n"/>
      <c r="C4066" s="74" t="n"/>
      <c r="D4066" s="75">
        <f>IF($C4066="","",IFERROR(INDEX(CAT_TIPO,MATCH($C4066,CAT_NOME,0)),"Sem categoria"))</f>
        <v/>
      </c>
      <c r="E4066" s="75">
        <f>IF($C4066="","",IFERROR(INDEX(CAT_GRUPO,MATCH($C4066,CAT_NOME,0)),"Sem categoria"))</f>
        <v/>
      </c>
      <c r="F4066" s="76" t="n"/>
      <c r="G4066" s="74" t="n"/>
      <c r="H4066" s="74" t="n"/>
      <c r="I4066" s="74" t="n"/>
      <c r="J4066" s="77" t="n"/>
      <c r="K4066" s="77" t="n"/>
      <c r="L4066" s="74" t="n"/>
      <c r="M4066" s="74" t="n"/>
      <c r="O4066" s="78">
        <f>IF($A4066="","",YEAR($A4066)*100+MONTH($A4066))</f>
        <v/>
      </c>
      <c r="P4066" s="79">
        <f>IF(OR($F4066="",$D4066=""),"",IF($D4066="Receita",$F4066,IF($D4066="Transferência",0,-$F4066)))</f>
        <v/>
      </c>
    </row>
    <row r="4067">
      <c r="A4067" s="73" t="n"/>
      <c r="B4067" s="74" t="n"/>
      <c r="C4067" s="74" t="n"/>
      <c r="D4067" s="75">
        <f>IF($C4067="","",IFERROR(INDEX(CAT_TIPO,MATCH($C4067,CAT_NOME,0)),"Sem categoria"))</f>
        <v/>
      </c>
      <c r="E4067" s="75">
        <f>IF($C4067="","",IFERROR(INDEX(CAT_GRUPO,MATCH($C4067,CAT_NOME,0)),"Sem categoria"))</f>
        <v/>
      </c>
      <c r="F4067" s="76" t="n"/>
      <c r="G4067" s="74" t="n"/>
      <c r="H4067" s="74" t="n"/>
      <c r="I4067" s="74" t="n"/>
      <c r="J4067" s="77" t="n"/>
      <c r="K4067" s="77" t="n"/>
      <c r="L4067" s="74" t="n"/>
      <c r="M4067" s="74" t="n"/>
      <c r="O4067" s="78">
        <f>IF($A4067="","",YEAR($A4067)*100+MONTH($A4067))</f>
        <v/>
      </c>
      <c r="P4067" s="79">
        <f>IF(OR($F4067="",$D4067=""),"",IF($D4067="Receita",$F4067,IF($D4067="Transferência",0,-$F4067)))</f>
        <v/>
      </c>
    </row>
    <row r="4068">
      <c r="A4068" s="73" t="n"/>
      <c r="B4068" s="74" t="n"/>
      <c r="C4068" s="74" t="n"/>
      <c r="D4068" s="75">
        <f>IF($C4068="","",IFERROR(INDEX(CAT_TIPO,MATCH($C4068,CAT_NOME,0)),"Sem categoria"))</f>
        <v/>
      </c>
      <c r="E4068" s="75">
        <f>IF($C4068="","",IFERROR(INDEX(CAT_GRUPO,MATCH($C4068,CAT_NOME,0)),"Sem categoria"))</f>
        <v/>
      </c>
      <c r="F4068" s="76" t="n"/>
      <c r="G4068" s="74" t="n"/>
      <c r="H4068" s="74" t="n"/>
      <c r="I4068" s="74" t="n"/>
      <c r="J4068" s="77" t="n"/>
      <c r="K4068" s="77" t="n"/>
      <c r="L4068" s="74" t="n"/>
      <c r="M4068" s="74" t="n"/>
      <c r="O4068" s="78">
        <f>IF($A4068="","",YEAR($A4068)*100+MONTH($A4068))</f>
        <v/>
      </c>
      <c r="P4068" s="79">
        <f>IF(OR($F4068="",$D4068=""),"",IF($D4068="Receita",$F4068,IF($D4068="Transferência",0,-$F4068)))</f>
        <v/>
      </c>
    </row>
    <row r="4069">
      <c r="A4069" s="73" t="n"/>
      <c r="B4069" s="74" t="n"/>
      <c r="C4069" s="74" t="n"/>
      <c r="D4069" s="75">
        <f>IF($C4069="","",IFERROR(INDEX(CAT_TIPO,MATCH($C4069,CAT_NOME,0)),"Sem categoria"))</f>
        <v/>
      </c>
      <c r="E4069" s="75">
        <f>IF($C4069="","",IFERROR(INDEX(CAT_GRUPO,MATCH($C4069,CAT_NOME,0)),"Sem categoria"))</f>
        <v/>
      </c>
      <c r="F4069" s="76" t="n"/>
      <c r="G4069" s="74" t="n"/>
      <c r="H4069" s="74" t="n"/>
      <c r="I4069" s="74" t="n"/>
      <c r="J4069" s="77" t="n"/>
      <c r="K4069" s="77" t="n"/>
      <c r="L4069" s="74" t="n"/>
      <c r="M4069" s="74" t="n"/>
      <c r="O4069" s="78">
        <f>IF($A4069="","",YEAR($A4069)*100+MONTH($A4069))</f>
        <v/>
      </c>
      <c r="P4069" s="79">
        <f>IF(OR($F4069="",$D4069=""),"",IF($D4069="Receita",$F4069,IF($D4069="Transferência",0,-$F4069)))</f>
        <v/>
      </c>
    </row>
    <row r="4070">
      <c r="A4070" s="73" t="n"/>
      <c r="B4070" s="74" t="n"/>
      <c r="C4070" s="74" t="n"/>
      <c r="D4070" s="75">
        <f>IF($C4070="","",IFERROR(INDEX(CAT_TIPO,MATCH($C4070,CAT_NOME,0)),"Sem categoria"))</f>
        <v/>
      </c>
      <c r="E4070" s="75">
        <f>IF($C4070="","",IFERROR(INDEX(CAT_GRUPO,MATCH($C4070,CAT_NOME,0)),"Sem categoria"))</f>
        <v/>
      </c>
      <c r="F4070" s="76" t="n"/>
      <c r="G4070" s="74" t="n"/>
      <c r="H4070" s="74" t="n"/>
      <c r="I4070" s="74" t="n"/>
      <c r="J4070" s="77" t="n"/>
      <c r="K4070" s="77" t="n"/>
      <c r="L4070" s="74" t="n"/>
      <c r="M4070" s="74" t="n"/>
      <c r="O4070" s="78">
        <f>IF($A4070="","",YEAR($A4070)*100+MONTH($A4070))</f>
        <v/>
      </c>
      <c r="P4070" s="79">
        <f>IF(OR($F4070="",$D4070=""),"",IF($D4070="Receita",$F4070,IF($D4070="Transferência",0,-$F4070)))</f>
        <v/>
      </c>
    </row>
    <row r="4071">
      <c r="A4071" s="73" t="n"/>
      <c r="B4071" s="74" t="n"/>
      <c r="C4071" s="74" t="n"/>
      <c r="D4071" s="75">
        <f>IF($C4071="","",IFERROR(INDEX(CAT_TIPO,MATCH($C4071,CAT_NOME,0)),"Sem categoria"))</f>
        <v/>
      </c>
      <c r="E4071" s="75">
        <f>IF($C4071="","",IFERROR(INDEX(CAT_GRUPO,MATCH($C4071,CAT_NOME,0)),"Sem categoria"))</f>
        <v/>
      </c>
      <c r="F4071" s="76" t="n"/>
      <c r="G4071" s="74" t="n"/>
      <c r="H4071" s="74" t="n"/>
      <c r="I4071" s="74" t="n"/>
      <c r="J4071" s="77" t="n"/>
      <c r="K4071" s="77" t="n"/>
      <c r="L4071" s="74" t="n"/>
      <c r="M4071" s="74" t="n"/>
      <c r="O4071" s="78">
        <f>IF($A4071="","",YEAR($A4071)*100+MONTH($A4071))</f>
        <v/>
      </c>
      <c r="P4071" s="79">
        <f>IF(OR($F4071="",$D4071=""),"",IF($D4071="Receita",$F4071,IF($D4071="Transferência",0,-$F4071)))</f>
        <v/>
      </c>
    </row>
    <row r="4072">
      <c r="A4072" s="73" t="n"/>
      <c r="B4072" s="74" t="n"/>
      <c r="C4072" s="74" t="n"/>
      <c r="D4072" s="75">
        <f>IF($C4072="","",IFERROR(INDEX(CAT_TIPO,MATCH($C4072,CAT_NOME,0)),"Sem categoria"))</f>
        <v/>
      </c>
      <c r="E4072" s="75">
        <f>IF($C4072="","",IFERROR(INDEX(CAT_GRUPO,MATCH($C4072,CAT_NOME,0)),"Sem categoria"))</f>
        <v/>
      </c>
      <c r="F4072" s="76" t="n"/>
      <c r="G4072" s="74" t="n"/>
      <c r="H4072" s="74" t="n"/>
      <c r="I4072" s="74" t="n"/>
      <c r="J4072" s="77" t="n"/>
      <c r="K4072" s="77" t="n"/>
      <c r="L4072" s="74" t="n"/>
      <c r="M4072" s="74" t="n"/>
      <c r="O4072" s="78">
        <f>IF($A4072="","",YEAR($A4072)*100+MONTH($A4072))</f>
        <v/>
      </c>
      <c r="P4072" s="79">
        <f>IF(OR($F4072="",$D4072=""),"",IF($D4072="Receita",$F4072,IF($D4072="Transferência",0,-$F4072)))</f>
        <v/>
      </c>
    </row>
    <row r="4073">
      <c r="A4073" s="73" t="n"/>
      <c r="B4073" s="74" t="n"/>
      <c r="C4073" s="74" t="n"/>
      <c r="D4073" s="75">
        <f>IF($C4073="","",IFERROR(INDEX(CAT_TIPO,MATCH($C4073,CAT_NOME,0)),"Sem categoria"))</f>
        <v/>
      </c>
      <c r="E4073" s="75">
        <f>IF($C4073="","",IFERROR(INDEX(CAT_GRUPO,MATCH($C4073,CAT_NOME,0)),"Sem categoria"))</f>
        <v/>
      </c>
      <c r="F4073" s="76" t="n"/>
      <c r="G4073" s="74" t="n"/>
      <c r="H4073" s="74" t="n"/>
      <c r="I4073" s="74" t="n"/>
      <c r="J4073" s="77" t="n"/>
      <c r="K4073" s="77" t="n"/>
      <c r="L4073" s="74" t="n"/>
      <c r="M4073" s="74" t="n"/>
      <c r="O4073" s="78">
        <f>IF($A4073="","",YEAR($A4073)*100+MONTH($A4073))</f>
        <v/>
      </c>
      <c r="P4073" s="79">
        <f>IF(OR($F4073="",$D4073=""),"",IF($D4073="Receita",$F4073,IF($D4073="Transferência",0,-$F4073)))</f>
        <v/>
      </c>
    </row>
    <row r="4074">
      <c r="A4074" s="73" t="n"/>
      <c r="B4074" s="74" t="n"/>
      <c r="C4074" s="74" t="n"/>
      <c r="D4074" s="75">
        <f>IF($C4074="","",IFERROR(INDEX(CAT_TIPO,MATCH($C4074,CAT_NOME,0)),"Sem categoria"))</f>
        <v/>
      </c>
      <c r="E4074" s="75">
        <f>IF($C4074="","",IFERROR(INDEX(CAT_GRUPO,MATCH($C4074,CAT_NOME,0)),"Sem categoria"))</f>
        <v/>
      </c>
      <c r="F4074" s="76" t="n"/>
      <c r="G4074" s="74" t="n"/>
      <c r="H4074" s="74" t="n"/>
      <c r="I4074" s="74" t="n"/>
      <c r="J4074" s="77" t="n"/>
      <c r="K4074" s="77" t="n"/>
      <c r="L4074" s="74" t="n"/>
      <c r="M4074" s="74" t="n"/>
      <c r="O4074" s="78">
        <f>IF($A4074="","",YEAR($A4074)*100+MONTH($A4074))</f>
        <v/>
      </c>
      <c r="P4074" s="79">
        <f>IF(OR($F4074="",$D4074=""),"",IF($D4074="Receita",$F4074,IF($D4074="Transferência",0,-$F4074)))</f>
        <v/>
      </c>
    </row>
    <row r="4075">
      <c r="A4075" s="73" t="n"/>
      <c r="B4075" s="74" t="n"/>
      <c r="C4075" s="74" t="n"/>
      <c r="D4075" s="75">
        <f>IF($C4075="","",IFERROR(INDEX(CAT_TIPO,MATCH($C4075,CAT_NOME,0)),"Sem categoria"))</f>
        <v/>
      </c>
      <c r="E4075" s="75">
        <f>IF($C4075="","",IFERROR(INDEX(CAT_GRUPO,MATCH($C4075,CAT_NOME,0)),"Sem categoria"))</f>
        <v/>
      </c>
      <c r="F4075" s="76" t="n"/>
      <c r="G4075" s="74" t="n"/>
      <c r="H4075" s="74" t="n"/>
      <c r="I4075" s="74" t="n"/>
      <c r="J4075" s="77" t="n"/>
      <c r="K4075" s="77" t="n"/>
      <c r="L4075" s="74" t="n"/>
      <c r="M4075" s="74" t="n"/>
      <c r="O4075" s="78">
        <f>IF($A4075="","",YEAR($A4075)*100+MONTH($A4075))</f>
        <v/>
      </c>
      <c r="P4075" s="79">
        <f>IF(OR($F4075="",$D4075=""),"",IF($D4075="Receita",$F4075,IF($D4075="Transferência",0,-$F4075)))</f>
        <v/>
      </c>
    </row>
    <row r="4076">
      <c r="A4076" s="73" t="n"/>
      <c r="B4076" s="74" t="n"/>
      <c r="C4076" s="74" t="n"/>
      <c r="D4076" s="75">
        <f>IF($C4076="","",IFERROR(INDEX(CAT_TIPO,MATCH($C4076,CAT_NOME,0)),"Sem categoria"))</f>
        <v/>
      </c>
      <c r="E4076" s="75">
        <f>IF($C4076="","",IFERROR(INDEX(CAT_GRUPO,MATCH($C4076,CAT_NOME,0)),"Sem categoria"))</f>
        <v/>
      </c>
      <c r="F4076" s="76" t="n"/>
      <c r="G4076" s="74" t="n"/>
      <c r="H4076" s="74" t="n"/>
      <c r="I4076" s="74" t="n"/>
      <c r="J4076" s="77" t="n"/>
      <c r="K4076" s="77" t="n"/>
      <c r="L4076" s="74" t="n"/>
      <c r="M4076" s="74" t="n"/>
      <c r="O4076" s="78">
        <f>IF($A4076="","",YEAR($A4076)*100+MONTH($A4076))</f>
        <v/>
      </c>
      <c r="P4076" s="79">
        <f>IF(OR($F4076="",$D4076=""),"",IF($D4076="Receita",$F4076,IF($D4076="Transferência",0,-$F4076)))</f>
        <v/>
      </c>
    </row>
    <row r="4077">
      <c r="A4077" s="73" t="n"/>
      <c r="B4077" s="74" t="n"/>
      <c r="C4077" s="74" t="n"/>
      <c r="D4077" s="75">
        <f>IF($C4077="","",IFERROR(INDEX(CAT_TIPO,MATCH($C4077,CAT_NOME,0)),"Sem categoria"))</f>
        <v/>
      </c>
      <c r="E4077" s="75">
        <f>IF($C4077="","",IFERROR(INDEX(CAT_GRUPO,MATCH($C4077,CAT_NOME,0)),"Sem categoria"))</f>
        <v/>
      </c>
      <c r="F4077" s="76" t="n"/>
      <c r="G4077" s="74" t="n"/>
      <c r="H4077" s="74" t="n"/>
      <c r="I4077" s="74" t="n"/>
      <c r="J4077" s="77" t="n"/>
      <c r="K4077" s="77" t="n"/>
      <c r="L4077" s="74" t="n"/>
      <c r="M4077" s="74" t="n"/>
      <c r="O4077" s="78">
        <f>IF($A4077="","",YEAR($A4077)*100+MONTH($A4077))</f>
        <v/>
      </c>
      <c r="P4077" s="79">
        <f>IF(OR($F4077="",$D4077=""),"",IF($D4077="Receita",$F4077,IF($D4077="Transferência",0,-$F4077)))</f>
        <v/>
      </c>
    </row>
    <row r="4078">
      <c r="A4078" s="73" t="n"/>
      <c r="B4078" s="74" t="n"/>
      <c r="C4078" s="74" t="n"/>
      <c r="D4078" s="75">
        <f>IF($C4078="","",IFERROR(INDEX(CAT_TIPO,MATCH($C4078,CAT_NOME,0)),"Sem categoria"))</f>
        <v/>
      </c>
      <c r="E4078" s="75">
        <f>IF($C4078="","",IFERROR(INDEX(CAT_GRUPO,MATCH($C4078,CAT_NOME,0)),"Sem categoria"))</f>
        <v/>
      </c>
      <c r="F4078" s="76" t="n"/>
      <c r="G4078" s="74" t="n"/>
      <c r="H4078" s="74" t="n"/>
      <c r="I4078" s="74" t="n"/>
      <c r="J4078" s="77" t="n"/>
      <c r="K4078" s="77" t="n"/>
      <c r="L4078" s="74" t="n"/>
      <c r="M4078" s="74" t="n"/>
      <c r="O4078" s="78">
        <f>IF($A4078="","",YEAR($A4078)*100+MONTH($A4078))</f>
        <v/>
      </c>
      <c r="P4078" s="79">
        <f>IF(OR($F4078="",$D4078=""),"",IF($D4078="Receita",$F4078,IF($D4078="Transferência",0,-$F4078)))</f>
        <v/>
      </c>
    </row>
    <row r="4079">
      <c r="A4079" s="73" t="n"/>
      <c r="B4079" s="74" t="n"/>
      <c r="C4079" s="74" t="n"/>
      <c r="D4079" s="75">
        <f>IF($C4079="","",IFERROR(INDEX(CAT_TIPO,MATCH($C4079,CAT_NOME,0)),"Sem categoria"))</f>
        <v/>
      </c>
      <c r="E4079" s="75">
        <f>IF($C4079="","",IFERROR(INDEX(CAT_GRUPO,MATCH($C4079,CAT_NOME,0)),"Sem categoria"))</f>
        <v/>
      </c>
      <c r="F4079" s="76" t="n"/>
      <c r="G4079" s="74" t="n"/>
      <c r="H4079" s="74" t="n"/>
      <c r="I4079" s="74" t="n"/>
      <c r="J4079" s="77" t="n"/>
      <c r="K4079" s="77" t="n"/>
      <c r="L4079" s="74" t="n"/>
      <c r="M4079" s="74" t="n"/>
      <c r="O4079" s="78">
        <f>IF($A4079="","",YEAR($A4079)*100+MONTH($A4079))</f>
        <v/>
      </c>
      <c r="P4079" s="79">
        <f>IF(OR($F4079="",$D4079=""),"",IF($D4079="Receita",$F4079,IF($D4079="Transferência",0,-$F4079)))</f>
        <v/>
      </c>
    </row>
    <row r="4080">
      <c r="A4080" s="73" t="n"/>
      <c r="B4080" s="74" t="n"/>
      <c r="C4080" s="74" t="n"/>
      <c r="D4080" s="75">
        <f>IF($C4080="","",IFERROR(INDEX(CAT_TIPO,MATCH($C4080,CAT_NOME,0)),"Sem categoria"))</f>
        <v/>
      </c>
      <c r="E4080" s="75">
        <f>IF($C4080="","",IFERROR(INDEX(CAT_GRUPO,MATCH($C4080,CAT_NOME,0)),"Sem categoria"))</f>
        <v/>
      </c>
      <c r="F4080" s="76" t="n"/>
      <c r="G4080" s="74" t="n"/>
      <c r="H4080" s="74" t="n"/>
      <c r="I4080" s="74" t="n"/>
      <c r="J4080" s="77" t="n"/>
      <c r="K4080" s="77" t="n"/>
      <c r="L4080" s="74" t="n"/>
      <c r="M4080" s="74" t="n"/>
      <c r="O4080" s="78">
        <f>IF($A4080="","",YEAR($A4080)*100+MONTH($A4080))</f>
        <v/>
      </c>
      <c r="P4080" s="79">
        <f>IF(OR($F4080="",$D4080=""),"",IF($D4080="Receita",$F4080,IF($D4080="Transferência",0,-$F4080)))</f>
        <v/>
      </c>
    </row>
    <row r="4081">
      <c r="A4081" s="73" t="n"/>
      <c r="B4081" s="74" t="n"/>
      <c r="C4081" s="74" t="n"/>
      <c r="D4081" s="75">
        <f>IF($C4081="","",IFERROR(INDEX(CAT_TIPO,MATCH($C4081,CAT_NOME,0)),"Sem categoria"))</f>
        <v/>
      </c>
      <c r="E4081" s="75">
        <f>IF($C4081="","",IFERROR(INDEX(CAT_GRUPO,MATCH($C4081,CAT_NOME,0)),"Sem categoria"))</f>
        <v/>
      </c>
      <c r="F4081" s="76" t="n"/>
      <c r="G4081" s="74" t="n"/>
      <c r="H4081" s="74" t="n"/>
      <c r="I4081" s="74" t="n"/>
      <c r="J4081" s="77" t="n"/>
      <c r="K4081" s="77" t="n"/>
      <c r="L4081" s="74" t="n"/>
      <c r="M4081" s="74" t="n"/>
      <c r="O4081" s="78">
        <f>IF($A4081="","",YEAR($A4081)*100+MONTH($A4081))</f>
        <v/>
      </c>
      <c r="P4081" s="79">
        <f>IF(OR($F4081="",$D4081=""),"",IF($D4081="Receita",$F4081,IF($D4081="Transferência",0,-$F4081)))</f>
        <v/>
      </c>
    </row>
    <row r="4082">
      <c r="A4082" s="73" t="n"/>
      <c r="B4082" s="74" t="n"/>
      <c r="C4082" s="74" t="n"/>
      <c r="D4082" s="75">
        <f>IF($C4082="","",IFERROR(INDEX(CAT_TIPO,MATCH($C4082,CAT_NOME,0)),"Sem categoria"))</f>
        <v/>
      </c>
      <c r="E4082" s="75">
        <f>IF($C4082="","",IFERROR(INDEX(CAT_GRUPO,MATCH($C4082,CAT_NOME,0)),"Sem categoria"))</f>
        <v/>
      </c>
      <c r="F4082" s="76" t="n"/>
      <c r="G4082" s="74" t="n"/>
      <c r="H4082" s="74" t="n"/>
      <c r="I4082" s="74" t="n"/>
      <c r="J4082" s="77" t="n"/>
      <c r="K4082" s="77" t="n"/>
      <c r="L4082" s="74" t="n"/>
      <c r="M4082" s="74" t="n"/>
      <c r="O4082" s="78">
        <f>IF($A4082="","",YEAR($A4082)*100+MONTH($A4082))</f>
        <v/>
      </c>
      <c r="P4082" s="79">
        <f>IF(OR($F4082="",$D4082=""),"",IF($D4082="Receita",$F4082,IF($D4082="Transferência",0,-$F4082)))</f>
        <v/>
      </c>
    </row>
    <row r="4083">
      <c r="A4083" s="73" t="n"/>
      <c r="B4083" s="74" t="n"/>
      <c r="C4083" s="74" t="n"/>
      <c r="D4083" s="75">
        <f>IF($C4083="","",IFERROR(INDEX(CAT_TIPO,MATCH($C4083,CAT_NOME,0)),"Sem categoria"))</f>
        <v/>
      </c>
      <c r="E4083" s="75">
        <f>IF($C4083="","",IFERROR(INDEX(CAT_GRUPO,MATCH($C4083,CAT_NOME,0)),"Sem categoria"))</f>
        <v/>
      </c>
      <c r="F4083" s="76" t="n"/>
      <c r="G4083" s="74" t="n"/>
      <c r="H4083" s="74" t="n"/>
      <c r="I4083" s="74" t="n"/>
      <c r="J4083" s="77" t="n"/>
      <c r="K4083" s="77" t="n"/>
      <c r="L4083" s="74" t="n"/>
      <c r="M4083" s="74" t="n"/>
      <c r="O4083" s="78">
        <f>IF($A4083="","",YEAR($A4083)*100+MONTH($A4083))</f>
        <v/>
      </c>
      <c r="P4083" s="79">
        <f>IF(OR($F4083="",$D4083=""),"",IF($D4083="Receita",$F4083,IF($D4083="Transferência",0,-$F4083)))</f>
        <v/>
      </c>
    </row>
    <row r="4084">
      <c r="A4084" s="73" t="n"/>
      <c r="B4084" s="74" t="n"/>
      <c r="C4084" s="74" t="n"/>
      <c r="D4084" s="75">
        <f>IF($C4084="","",IFERROR(INDEX(CAT_TIPO,MATCH($C4084,CAT_NOME,0)),"Sem categoria"))</f>
        <v/>
      </c>
      <c r="E4084" s="75">
        <f>IF($C4084="","",IFERROR(INDEX(CAT_GRUPO,MATCH($C4084,CAT_NOME,0)),"Sem categoria"))</f>
        <v/>
      </c>
      <c r="F4084" s="76" t="n"/>
      <c r="G4084" s="74" t="n"/>
      <c r="H4084" s="74" t="n"/>
      <c r="I4084" s="74" t="n"/>
      <c r="J4084" s="77" t="n"/>
      <c r="K4084" s="77" t="n"/>
      <c r="L4084" s="74" t="n"/>
      <c r="M4084" s="74" t="n"/>
      <c r="O4084" s="78">
        <f>IF($A4084="","",YEAR($A4084)*100+MONTH($A4084))</f>
        <v/>
      </c>
      <c r="P4084" s="79">
        <f>IF(OR($F4084="",$D4084=""),"",IF($D4084="Receita",$F4084,IF($D4084="Transferência",0,-$F4084)))</f>
        <v/>
      </c>
    </row>
    <row r="4085">
      <c r="A4085" s="73" t="n"/>
      <c r="B4085" s="74" t="n"/>
      <c r="C4085" s="74" t="n"/>
      <c r="D4085" s="75">
        <f>IF($C4085="","",IFERROR(INDEX(CAT_TIPO,MATCH($C4085,CAT_NOME,0)),"Sem categoria"))</f>
        <v/>
      </c>
      <c r="E4085" s="75">
        <f>IF($C4085="","",IFERROR(INDEX(CAT_GRUPO,MATCH($C4085,CAT_NOME,0)),"Sem categoria"))</f>
        <v/>
      </c>
      <c r="F4085" s="76" t="n"/>
      <c r="G4085" s="74" t="n"/>
      <c r="H4085" s="74" t="n"/>
      <c r="I4085" s="74" t="n"/>
      <c r="J4085" s="77" t="n"/>
      <c r="K4085" s="77" t="n"/>
      <c r="L4085" s="74" t="n"/>
      <c r="M4085" s="74" t="n"/>
      <c r="O4085" s="78">
        <f>IF($A4085="","",YEAR($A4085)*100+MONTH($A4085))</f>
        <v/>
      </c>
      <c r="P4085" s="79">
        <f>IF(OR($F4085="",$D4085=""),"",IF($D4085="Receita",$F4085,IF($D4085="Transferência",0,-$F4085)))</f>
        <v/>
      </c>
    </row>
    <row r="4086">
      <c r="A4086" s="73" t="n"/>
      <c r="B4086" s="74" t="n"/>
      <c r="C4086" s="74" t="n"/>
      <c r="D4086" s="75">
        <f>IF($C4086="","",IFERROR(INDEX(CAT_TIPO,MATCH($C4086,CAT_NOME,0)),"Sem categoria"))</f>
        <v/>
      </c>
      <c r="E4086" s="75">
        <f>IF($C4086="","",IFERROR(INDEX(CAT_GRUPO,MATCH($C4086,CAT_NOME,0)),"Sem categoria"))</f>
        <v/>
      </c>
      <c r="F4086" s="76" t="n"/>
      <c r="G4086" s="74" t="n"/>
      <c r="H4086" s="74" t="n"/>
      <c r="I4086" s="74" t="n"/>
      <c r="J4086" s="77" t="n"/>
      <c r="K4086" s="77" t="n"/>
      <c r="L4086" s="74" t="n"/>
      <c r="M4086" s="74" t="n"/>
      <c r="O4086" s="78">
        <f>IF($A4086="","",YEAR($A4086)*100+MONTH($A4086))</f>
        <v/>
      </c>
      <c r="P4086" s="79">
        <f>IF(OR($F4086="",$D4086=""),"",IF($D4086="Receita",$F4086,IF($D4086="Transferência",0,-$F4086)))</f>
        <v/>
      </c>
    </row>
    <row r="4087">
      <c r="A4087" s="73" t="n"/>
      <c r="B4087" s="74" t="n"/>
      <c r="C4087" s="74" t="n"/>
      <c r="D4087" s="75">
        <f>IF($C4087="","",IFERROR(INDEX(CAT_TIPO,MATCH($C4087,CAT_NOME,0)),"Sem categoria"))</f>
        <v/>
      </c>
      <c r="E4087" s="75">
        <f>IF($C4087="","",IFERROR(INDEX(CAT_GRUPO,MATCH($C4087,CAT_NOME,0)),"Sem categoria"))</f>
        <v/>
      </c>
      <c r="F4087" s="76" t="n"/>
      <c r="G4087" s="74" t="n"/>
      <c r="H4087" s="74" t="n"/>
      <c r="I4087" s="74" t="n"/>
      <c r="J4087" s="77" t="n"/>
      <c r="K4087" s="77" t="n"/>
      <c r="L4087" s="74" t="n"/>
      <c r="M4087" s="74" t="n"/>
      <c r="O4087" s="78">
        <f>IF($A4087="","",YEAR($A4087)*100+MONTH($A4087))</f>
        <v/>
      </c>
      <c r="P4087" s="79">
        <f>IF(OR($F4087="",$D4087=""),"",IF($D4087="Receita",$F4087,IF($D4087="Transferência",0,-$F4087)))</f>
        <v/>
      </c>
    </row>
    <row r="4088">
      <c r="A4088" s="73" t="n"/>
      <c r="B4088" s="74" t="n"/>
      <c r="C4088" s="74" t="n"/>
      <c r="D4088" s="75">
        <f>IF($C4088="","",IFERROR(INDEX(CAT_TIPO,MATCH($C4088,CAT_NOME,0)),"Sem categoria"))</f>
        <v/>
      </c>
      <c r="E4088" s="75">
        <f>IF($C4088="","",IFERROR(INDEX(CAT_GRUPO,MATCH($C4088,CAT_NOME,0)),"Sem categoria"))</f>
        <v/>
      </c>
      <c r="F4088" s="76" t="n"/>
      <c r="G4088" s="74" t="n"/>
      <c r="H4088" s="74" t="n"/>
      <c r="I4088" s="74" t="n"/>
      <c r="J4088" s="77" t="n"/>
      <c r="K4088" s="77" t="n"/>
      <c r="L4088" s="74" t="n"/>
      <c r="M4088" s="74" t="n"/>
      <c r="O4088" s="78">
        <f>IF($A4088="","",YEAR($A4088)*100+MONTH($A4088))</f>
        <v/>
      </c>
      <c r="P4088" s="79">
        <f>IF(OR($F4088="",$D4088=""),"",IF($D4088="Receita",$F4088,IF($D4088="Transferência",0,-$F4088)))</f>
        <v/>
      </c>
    </row>
    <row r="4089">
      <c r="A4089" s="73" t="n"/>
      <c r="B4089" s="74" t="n"/>
      <c r="C4089" s="74" t="n"/>
      <c r="D4089" s="75">
        <f>IF($C4089="","",IFERROR(INDEX(CAT_TIPO,MATCH($C4089,CAT_NOME,0)),"Sem categoria"))</f>
        <v/>
      </c>
      <c r="E4089" s="75">
        <f>IF($C4089="","",IFERROR(INDEX(CAT_GRUPO,MATCH($C4089,CAT_NOME,0)),"Sem categoria"))</f>
        <v/>
      </c>
      <c r="F4089" s="76" t="n"/>
      <c r="G4089" s="74" t="n"/>
      <c r="H4089" s="74" t="n"/>
      <c r="I4089" s="74" t="n"/>
      <c r="J4089" s="77" t="n"/>
      <c r="K4089" s="77" t="n"/>
      <c r="L4089" s="74" t="n"/>
      <c r="M4089" s="74" t="n"/>
      <c r="O4089" s="78">
        <f>IF($A4089="","",YEAR($A4089)*100+MONTH($A4089))</f>
        <v/>
      </c>
      <c r="P4089" s="79">
        <f>IF(OR($F4089="",$D4089=""),"",IF($D4089="Receita",$F4089,IF($D4089="Transferência",0,-$F4089)))</f>
        <v/>
      </c>
    </row>
    <row r="4090">
      <c r="A4090" s="73" t="n"/>
      <c r="B4090" s="74" t="n"/>
      <c r="C4090" s="74" t="n"/>
      <c r="D4090" s="75">
        <f>IF($C4090="","",IFERROR(INDEX(CAT_TIPO,MATCH($C4090,CAT_NOME,0)),"Sem categoria"))</f>
        <v/>
      </c>
      <c r="E4090" s="75">
        <f>IF($C4090="","",IFERROR(INDEX(CAT_GRUPO,MATCH($C4090,CAT_NOME,0)),"Sem categoria"))</f>
        <v/>
      </c>
      <c r="F4090" s="76" t="n"/>
      <c r="G4090" s="74" t="n"/>
      <c r="H4090" s="74" t="n"/>
      <c r="I4090" s="74" t="n"/>
      <c r="J4090" s="77" t="n"/>
      <c r="K4090" s="77" t="n"/>
      <c r="L4090" s="74" t="n"/>
      <c r="M4090" s="74" t="n"/>
      <c r="O4090" s="78">
        <f>IF($A4090="","",YEAR($A4090)*100+MONTH($A4090))</f>
        <v/>
      </c>
      <c r="P4090" s="79">
        <f>IF(OR($F4090="",$D4090=""),"",IF($D4090="Receita",$F4090,IF($D4090="Transferência",0,-$F4090)))</f>
        <v/>
      </c>
    </row>
    <row r="4091">
      <c r="A4091" s="73" t="n"/>
      <c r="B4091" s="74" t="n"/>
      <c r="C4091" s="74" t="n"/>
      <c r="D4091" s="75">
        <f>IF($C4091="","",IFERROR(INDEX(CAT_TIPO,MATCH($C4091,CAT_NOME,0)),"Sem categoria"))</f>
        <v/>
      </c>
      <c r="E4091" s="75">
        <f>IF($C4091="","",IFERROR(INDEX(CAT_GRUPO,MATCH($C4091,CAT_NOME,0)),"Sem categoria"))</f>
        <v/>
      </c>
      <c r="F4091" s="76" t="n"/>
      <c r="G4091" s="74" t="n"/>
      <c r="H4091" s="74" t="n"/>
      <c r="I4091" s="74" t="n"/>
      <c r="J4091" s="77" t="n"/>
      <c r="K4091" s="77" t="n"/>
      <c r="L4091" s="74" t="n"/>
      <c r="M4091" s="74" t="n"/>
      <c r="O4091" s="78">
        <f>IF($A4091="","",YEAR($A4091)*100+MONTH($A4091))</f>
        <v/>
      </c>
      <c r="P4091" s="79">
        <f>IF(OR($F4091="",$D4091=""),"",IF($D4091="Receita",$F4091,IF($D4091="Transferência",0,-$F4091)))</f>
        <v/>
      </c>
    </row>
    <row r="4092">
      <c r="A4092" s="73" t="n"/>
      <c r="B4092" s="74" t="n"/>
      <c r="C4092" s="74" t="n"/>
      <c r="D4092" s="75">
        <f>IF($C4092="","",IFERROR(INDEX(CAT_TIPO,MATCH($C4092,CAT_NOME,0)),"Sem categoria"))</f>
        <v/>
      </c>
      <c r="E4092" s="75">
        <f>IF($C4092="","",IFERROR(INDEX(CAT_GRUPO,MATCH($C4092,CAT_NOME,0)),"Sem categoria"))</f>
        <v/>
      </c>
      <c r="F4092" s="76" t="n"/>
      <c r="G4092" s="74" t="n"/>
      <c r="H4092" s="74" t="n"/>
      <c r="I4092" s="74" t="n"/>
      <c r="J4092" s="77" t="n"/>
      <c r="K4092" s="77" t="n"/>
      <c r="L4092" s="74" t="n"/>
      <c r="M4092" s="74" t="n"/>
      <c r="O4092" s="78">
        <f>IF($A4092="","",YEAR($A4092)*100+MONTH($A4092))</f>
        <v/>
      </c>
      <c r="P4092" s="79">
        <f>IF(OR($F4092="",$D4092=""),"",IF($D4092="Receita",$F4092,IF($D4092="Transferência",0,-$F4092)))</f>
        <v/>
      </c>
    </row>
    <row r="4093">
      <c r="A4093" s="73" t="n"/>
      <c r="B4093" s="74" t="n"/>
      <c r="C4093" s="74" t="n"/>
      <c r="D4093" s="75">
        <f>IF($C4093="","",IFERROR(INDEX(CAT_TIPO,MATCH($C4093,CAT_NOME,0)),"Sem categoria"))</f>
        <v/>
      </c>
      <c r="E4093" s="75">
        <f>IF($C4093="","",IFERROR(INDEX(CAT_GRUPO,MATCH($C4093,CAT_NOME,0)),"Sem categoria"))</f>
        <v/>
      </c>
      <c r="F4093" s="76" t="n"/>
      <c r="G4093" s="74" t="n"/>
      <c r="H4093" s="74" t="n"/>
      <c r="I4093" s="74" t="n"/>
      <c r="J4093" s="77" t="n"/>
      <c r="K4093" s="77" t="n"/>
      <c r="L4093" s="74" t="n"/>
      <c r="M4093" s="74" t="n"/>
      <c r="O4093" s="78">
        <f>IF($A4093="","",YEAR($A4093)*100+MONTH($A4093))</f>
        <v/>
      </c>
      <c r="P4093" s="79">
        <f>IF(OR($F4093="",$D4093=""),"",IF($D4093="Receita",$F4093,IF($D4093="Transferência",0,-$F4093)))</f>
        <v/>
      </c>
    </row>
    <row r="4094">
      <c r="A4094" s="73" t="n"/>
      <c r="B4094" s="74" t="n"/>
      <c r="C4094" s="74" t="n"/>
      <c r="D4094" s="75">
        <f>IF($C4094="","",IFERROR(INDEX(CAT_TIPO,MATCH($C4094,CAT_NOME,0)),"Sem categoria"))</f>
        <v/>
      </c>
      <c r="E4094" s="75">
        <f>IF($C4094="","",IFERROR(INDEX(CAT_GRUPO,MATCH($C4094,CAT_NOME,0)),"Sem categoria"))</f>
        <v/>
      </c>
      <c r="F4094" s="76" t="n"/>
      <c r="G4094" s="74" t="n"/>
      <c r="H4094" s="74" t="n"/>
      <c r="I4094" s="74" t="n"/>
      <c r="J4094" s="77" t="n"/>
      <c r="K4094" s="77" t="n"/>
      <c r="L4094" s="74" t="n"/>
      <c r="M4094" s="74" t="n"/>
      <c r="O4094" s="78">
        <f>IF($A4094="","",YEAR($A4094)*100+MONTH($A4094))</f>
        <v/>
      </c>
      <c r="P4094" s="79">
        <f>IF(OR($F4094="",$D4094=""),"",IF($D4094="Receita",$F4094,IF($D4094="Transferência",0,-$F4094)))</f>
        <v/>
      </c>
    </row>
    <row r="4095">
      <c r="A4095" s="73" t="n"/>
      <c r="B4095" s="74" t="n"/>
      <c r="C4095" s="74" t="n"/>
      <c r="D4095" s="75">
        <f>IF($C4095="","",IFERROR(INDEX(CAT_TIPO,MATCH($C4095,CAT_NOME,0)),"Sem categoria"))</f>
        <v/>
      </c>
      <c r="E4095" s="75">
        <f>IF($C4095="","",IFERROR(INDEX(CAT_GRUPO,MATCH($C4095,CAT_NOME,0)),"Sem categoria"))</f>
        <v/>
      </c>
      <c r="F4095" s="76" t="n"/>
      <c r="G4095" s="74" t="n"/>
      <c r="H4095" s="74" t="n"/>
      <c r="I4095" s="74" t="n"/>
      <c r="J4095" s="77" t="n"/>
      <c r="K4095" s="77" t="n"/>
      <c r="L4095" s="74" t="n"/>
      <c r="M4095" s="74" t="n"/>
      <c r="O4095" s="78">
        <f>IF($A4095="","",YEAR($A4095)*100+MONTH($A4095))</f>
        <v/>
      </c>
      <c r="P4095" s="79">
        <f>IF(OR($F4095="",$D4095=""),"",IF($D4095="Receita",$F4095,IF($D4095="Transferência",0,-$F4095)))</f>
        <v/>
      </c>
    </row>
    <row r="4096">
      <c r="A4096" s="73" t="n"/>
      <c r="B4096" s="74" t="n"/>
      <c r="C4096" s="74" t="n"/>
      <c r="D4096" s="75">
        <f>IF($C4096="","",IFERROR(INDEX(CAT_TIPO,MATCH($C4096,CAT_NOME,0)),"Sem categoria"))</f>
        <v/>
      </c>
      <c r="E4096" s="75">
        <f>IF($C4096="","",IFERROR(INDEX(CAT_GRUPO,MATCH($C4096,CAT_NOME,0)),"Sem categoria"))</f>
        <v/>
      </c>
      <c r="F4096" s="76" t="n"/>
      <c r="G4096" s="74" t="n"/>
      <c r="H4096" s="74" t="n"/>
      <c r="I4096" s="74" t="n"/>
      <c r="J4096" s="77" t="n"/>
      <c r="K4096" s="77" t="n"/>
      <c r="L4096" s="74" t="n"/>
      <c r="M4096" s="74" t="n"/>
      <c r="O4096" s="78">
        <f>IF($A4096="","",YEAR($A4096)*100+MONTH($A4096))</f>
        <v/>
      </c>
      <c r="P4096" s="79">
        <f>IF(OR($F4096="",$D4096=""),"",IF($D4096="Receita",$F4096,IF($D4096="Transferência",0,-$F4096)))</f>
        <v/>
      </c>
    </row>
    <row r="4097">
      <c r="A4097" s="73" t="n"/>
      <c r="B4097" s="74" t="n"/>
      <c r="C4097" s="74" t="n"/>
      <c r="D4097" s="75">
        <f>IF($C4097="","",IFERROR(INDEX(CAT_TIPO,MATCH($C4097,CAT_NOME,0)),"Sem categoria"))</f>
        <v/>
      </c>
      <c r="E4097" s="75">
        <f>IF($C4097="","",IFERROR(INDEX(CAT_GRUPO,MATCH($C4097,CAT_NOME,0)),"Sem categoria"))</f>
        <v/>
      </c>
      <c r="F4097" s="76" t="n"/>
      <c r="G4097" s="74" t="n"/>
      <c r="H4097" s="74" t="n"/>
      <c r="I4097" s="74" t="n"/>
      <c r="J4097" s="77" t="n"/>
      <c r="K4097" s="77" t="n"/>
      <c r="L4097" s="74" t="n"/>
      <c r="M4097" s="74" t="n"/>
      <c r="O4097" s="78">
        <f>IF($A4097="","",YEAR($A4097)*100+MONTH($A4097))</f>
        <v/>
      </c>
      <c r="P4097" s="79">
        <f>IF(OR($F4097="",$D4097=""),"",IF($D4097="Receita",$F4097,IF($D4097="Transferência",0,-$F4097)))</f>
        <v/>
      </c>
    </row>
    <row r="4098">
      <c r="A4098" s="73" t="n"/>
      <c r="B4098" s="74" t="n"/>
      <c r="C4098" s="74" t="n"/>
      <c r="D4098" s="75">
        <f>IF($C4098="","",IFERROR(INDEX(CAT_TIPO,MATCH($C4098,CAT_NOME,0)),"Sem categoria"))</f>
        <v/>
      </c>
      <c r="E4098" s="75">
        <f>IF($C4098="","",IFERROR(INDEX(CAT_GRUPO,MATCH($C4098,CAT_NOME,0)),"Sem categoria"))</f>
        <v/>
      </c>
      <c r="F4098" s="76" t="n"/>
      <c r="G4098" s="74" t="n"/>
      <c r="H4098" s="74" t="n"/>
      <c r="I4098" s="74" t="n"/>
      <c r="J4098" s="77" t="n"/>
      <c r="K4098" s="77" t="n"/>
      <c r="L4098" s="74" t="n"/>
      <c r="M4098" s="74" t="n"/>
      <c r="O4098" s="78">
        <f>IF($A4098="","",YEAR($A4098)*100+MONTH($A4098))</f>
        <v/>
      </c>
      <c r="P4098" s="79">
        <f>IF(OR($F4098="",$D4098=""),"",IF($D4098="Receita",$F4098,IF($D4098="Transferência",0,-$F4098)))</f>
        <v/>
      </c>
    </row>
    <row r="4099">
      <c r="A4099" s="73" t="n"/>
      <c r="B4099" s="74" t="n"/>
      <c r="C4099" s="74" t="n"/>
      <c r="D4099" s="75">
        <f>IF($C4099="","",IFERROR(INDEX(CAT_TIPO,MATCH($C4099,CAT_NOME,0)),"Sem categoria"))</f>
        <v/>
      </c>
      <c r="E4099" s="75">
        <f>IF($C4099="","",IFERROR(INDEX(CAT_GRUPO,MATCH($C4099,CAT_NOME,0)),"Sem categoria"))</f>
        <v/>
      </c>
      <c r="F4099" s="76" t="n"/>
      <c r="G4099" s="74" t="n"/>
      <c r="H4099" s="74" t="n"/>
      <c r="I4099" s="74" t="n"/>
      <c r="J4099" s="77" t="n"/>
      <c r="K4099" s="77" t="n"/>
      <c r="L4099" s="74" t="n"/>
      <c r="M4099" s="74" t="n"/>
      <c r="O4099" s="78">
        <f>IF($A4099="","",YEAR($A4099)*100+MONTH($A4099))</f>
        <v/>
      </c>
      <c r="P4099" s="79">
        <f>IF(OR($F4099="",$D4099=""),"",IF($D4099="Receita",$F4099,IF($D4099="Transferência",0,-$F4099)))</f>
        <v/>
      </c>
    </row>
    <row r="4100">
      <c r="A4100" s="73" t="n"/>
      <c r="B4100" s="74" t="n"/>
      <c r="C4100" s="74" t="n"/>
      <c r="D4100" s="75">
        <f>IF($C4100="","",IFERROR(INDEX(CAT_TIPO,MATCH($C4100,CAT_NOME,0)),"Sem categoria"))</f>
        <v/>
      </c>
      <c r="E4100" s="75">
        <f>IF($C4100="","",IFERROR(INDEX(CAT_GRUPO,MATCH($C4100,CAT_NOME,0)),"Sem categoria"))</f>
        <v/>
      </c>
      <c r="F4100" s="76" t="n"/>
      <c r="G4100" s="74" t="n"/>
      <c r="H4100" s="74" t="n"/>
      <c r="I4100" s="74" t="n"/>
      <c r="J4100" s="77" t="n"/>
      <c r="K4100" s="77" t="n"/>
      <c r="L4100" s="74" t="n"/>
      <c r="M4100" s="74" t="n"/>
      <c r="O4100" s="78">
        <f>IF($A4100="","",YEAR($A4100)*100+MONTH($A4100))</f>
        <v/>
      </c>
      <c r="P4100" s="79">
        <f>IF(OR($F4100="",$D4100=""),"",IF($D4100="Receita",$F4100,IF($D4100="Transferência",0,-$F4100)))</f>
        <v/>
      </c>
    </row>
    <row r="4101">
      <c r="A4101" s="73" t="n"/>
      <c r="B4101" s="74" t="n"/>
      <c r="C4101" s="74" t="n"/>
      <c r="D4101" s="75">
        <f>IF($C4101="","",IFERROR(INDEX(CAT_TIPO,MATCH($C4101,CAT_NOME,0)),"Sem categoria"))</f>
        <v/>
      </c>
      <c r="E4101" s="75">
        <f>IF($C4101="","",IFERROR(INDEX(CAT_GRUPO,MATCH($C4101,CAT_NOME,0)),"Sem categoria"))</f>
        <v/>
      </c>
      <c r="F4101" s="76" t="n"/>
      <c r="G4101" s="74" t="n"/>
      <c r="H4101" s="74" t="n"/>
      <c r="I4101" s="74" t="n"/>
      <c r="J4101" s="77" t="n"/>
      <c r="K4101" s="77" t="n"/>
      <c r="L4101" s="74" t="n"/>
      <c r="M4101" s="74" t="n"/>
      <c r="O4101" s="78">
        <f>IF($A4101="","",YEAR($A4101)*100+MONTH($A4101))</f>
        <v/>
      </c>
      <c r="P4101" s="79">
        <f>IF(OR($F4101="",$D4101=""),"",IF($D4101="Receita",$F4101,IF($D4101="Transferência",0,-$F4101)))</f>
        <v/>
      </c>
    </row>
    <row r="4102">
      <c r="A4102" s="73" t="n"/>
      <c r="B4102" s="74" t="n"/>
      <c r="C4102" s="74" t="n"/>
      <c r="D4102" s="75">
        <f>IF($C4102="","",IFERROR(INDEX(CAT_TIPO,MATCH($C4102,CAT_NOME,0)),"Sem categoria"))</f>
        <v/>
      </c>
      <c r="E4102" s="75">
        <f>IF($C4102="","",IFERROR(INDEX(CAT_GRUPO,MATCH($C4102,CAT_NOME,0)),"Sem categoria"))</f>
        <v/>
      </c>
      <c r="F4102" s="76" t="n"/>
      <c r="G4102" s="74" t="n"/>
      <c r="H4102" s="74" t="n"/>
      <c r="I4102" s="74" t="n"/>
      <c r="J4102" s="77" t="n"/>
      <c r="K4102" s="77" t="n"/>
      <c r="L4102" s="74" t="n"/>
      <c r="M4102" s="74" t="n"/>
      <c r="O4102" s="78">
        <f>IF($A4102="","",YEAR($A4102)*100+MONTH($A4102))</f>
        <v/>
      </c>
      <c r="P4102" s="79">
        <f>IF(OR($F4102="",$D4102=""),"",IF($D4102="Receita",$F4102,IF($D4102="Transferência",0,-$F4102)))</f>
        <v/>
      </c>
    </row>
    <row r="4103">
      <c r="A4103" s="73" t="n"/>
      <c r="B4103" s="74" t="n"/>
      <c r="C4103" s="74" t="n"/>
      <c r="D4103" s="75">
        <f>IF($C4103="","",IFERROR(INDEX(CAT_TIPO,MATCH($C4103,CAT_NOME,0)),"Sem categoria"))</f>
        <v/>
      </c>
      <c r="E4103" s="75">
        <f>IF($C4103="","",IFERROR(INDEX(CAT_GRUPO,MATCH($C4103,CAT_NOME,0)),"Sem categoria"))</f>
        <v/>
      </c>
      <c r="F4103" s="76" t="n"/>
      <c r="G4103" s="74" t="n"/>
      <c r="H4103" s="74" t="n"/>
      <c r="I4103" s="74" t="n"/>
      <c r="J4103" s="77" t="n"/>
      <c r="K4103" s="77" t="n"/>
      <c r="L4103" s="74" t="n"/>
      <c r="M4103" s="74" t="n"/>
      <c r="O4103" s="78">
        <f>IF($A4103="","",YEAR($A4103)*100+MONTH($A4103))</f>
        <v/>
      </c>
      <c r="P4103" s="79">
        <f>IF(OR($F4103="",$D4103=""),"",IF($D4103="Receita",$F4103,IF($D4103="Transferência",0,-$F4103)))</f>
        <v/>
      </c>
    </row>
    <row r="4104">
      <c r="A4104" s="73" t="n"/>
      <c r="B4104" s="74" t="n"/>
      <c r="C4104" s="74" t="n"/>
      <c r="D4104" s="75">
        <f>IF($C4104="","",IFERROR(INDEX(CAT_TIPO,MATCH($C4104,CAT_NOME,0)),"Sem categoria"))</f>
        <v/>
      </c>
      <c r="E4104" s="75">
        <f>IF($C4104="","",IFERROR(INDEX(CAT_GRUPO,MATCH($C4104,CAT_NOME,0)),"Sem categoria"))</f>
        <v/>
      </c>
      <c r="F4104" s="76" t="n"/>
      <c r="G4104" s="74" t="n"/>
      <c r="H4104" s="74" t="n"/>
      <c r="I4104" s="74" t="n"/>
      <c r="J4104" s="77" t="n"/>
      <c r="K4104" s="77" t="n"/>
      <c r="L4104" s="74" t="n"/>
      <c r="M4104" s="74" t="n"/>
      <c r="O4104" s="78">
        <f>IF($A4104="","",YEAR($A4104)*100+MONTH($A4104))</f>
        <v/>
      </c>
      <c r="P4104" s="79">
        <f>IF(OR($F4104="",$D4104=""),"",IF($D4104="Receita",$F4104,IF($D4104="Transferência",0,-$F4104)))</f>
        <v/>
      </c>
    </row>
    <row r="4105">
      <c r="A4105" s="73" t="n"/>
      <c r="B4105" s="74" t="n"/>
      <c r="C4105" s="74" t="n"/>
      <c r="D4105" s="75">
        <f>IF($C4105="","",IFERROR(INDEX(CAT_TIPO,MATCH($C4105,CAT_NOME,0)),"Sem categoria"))</f>
        <v/>
      </c>
      <c r="E4105" s="75">
        <f>IF($C4105="","",IFERROR(INDEX(CAT_GRUPO,MATCH($C4105,CAT_NOME,0)),"Sem categoria"))</f>
        <v/>
      </c>
      <c r="F4105" s="76" t="n"/>
      <c r="G4105" s="74" t="n"/>
      <c r="H4105" s="74" t="n"/>
      <c r="I4105" s="74" t="n"/>
      <c r="J4105" s="77" t="n"/>
      <c r="K4105" s="77" t="n"/>
      <c r="L4105" s="74" t="n"/>
      <c r="M4105" s="74" t="n"/>
      <c r="O4105" s="78">
        <f>IF($A4105="","",YEAR($A4105)*100+MONTH($A4105))</f>
        <v/>
      </c>
      <c r="P4105" s="79">
        <f>IF(OR($F4105="",$D4105=""),"",IF($D4105="Receita",$F4105,IF($D4105="Transferência",0,-$F4105)))</f>
        <v/>
      </c>
    </row>
    <row r="4106">
      <c r="A4106" s="73" t="n"/>
      <c r="B4106" s="74" t="n"/>
      <c r="C4106" s="74" t="n"/>
      <c r="D4106" s="75">
        <f>IF($C4106="","",IFERROR(INDEX(CAT_TIPO,MATCH($C4106,CAT_NOME,0)),"Sem categoria"))</f>
        <v/>
      </c>
      <c r="E4106" s="75">
        <f>IF($C4106="","",IFERROR(INDEX(CAT_GRUPO,MATCH($C4106,CAT_NOME,0)),"Sem categoria"))</f>
        <v/>
      </c>
      <c r="F4106" s="76" t="n"/>
      <c r="G4106" s="74" t="n"/>
      <c r="H4106" s="74" t="n"/>
      <c r="I4106" s="74" t="n"/>
      <c r="J4106" s="77" t="n"/>
      <c r="K4106" s="77" t="n"/>
      <c r="L4106" s="74" t="n"/>
      <c r="M4106" s="74" t="n"/>
      <c r="O4106" s="78">
        <f>IF($A4106="","",YEAR($A4106)*100+MONTH($A4106))</f>
        <v/>
      </c>
      <c r="P4106" s="79">
        <f>IF(OR($F4106="",$D4106=""),"",IF($D4106="Receita",$F4106,IF($D4106="Transferência",0,-$F4106)))</f>
        <v/>
      </c>
    </row>
    <row r="4107">
      <c r="A4107" s="73" t="n"/>
      <c r="B4107" s="74" t="n"/>
      <c r="C4107" s="74" t="n"/>
      <c r="D4107" s="75">
        <f>IF($C4107="","",IFERROR(INDEX(CAT_TIPO,MATCH($C4107,CAT_NOME,0)),"Sem categoria"))</f>
        <v/>
      </c>
      <c r="E4107" s="75">
        <f>IF($C4107="","",IFERROR(INDEX(CAT_GRUPO,MATCH($C4107,CAT_NOME,0)),"Sem categoria"))</f>
        <v/>
      </c>
      <c r="F4107" s="76" t="n"/>
      <c r="G4107" s="74" t="n"/>
      <c r="H4107" s="74" t="n"/>
      <c r="I4107" s="74" t="n"/>
      <c r="J4107" s="77" t="n"/>
      <c r="K4107" s="77" t="n"/>
      <c r="L4107" s="74" t="n"/>
      <c r="M4107" s="74" t="n"/>
      <c r="O4107" s="78">
        <f>IF($A4107="","",YEAR($A4107)*100+MONTH($A4107))</f>
        <v/>
      </c>
      <c r="P4107" s="79">
        <f>IF(OR($F4107="",$D4107=""),"",IF($D4107="Receita",$F4107,IF($D4107="Transferência",0,-$F4107)))</f>
        <v/>
      </c>
    </row>
    <row r="4108">
      <c r="A4108" s="73" t="n"/>
      <c r="B4108" s="74" t="n"/>
      <c r="C4108" s="74" t="n"/>
      <c r="D4108" s="75">
        <f>IF($C4108="","",IFERROR(INDEX(CAT_TIPO,MATCH($C4108,CAT_NOME,0)),"Sem categoria"))</f>
        <v/>
      </c>
      <c r="E4108" s="75">
        <f>IF($C4108="","",IFERROR(INDEX(CAT_GRUPO,MATCH($C4108,CAT_NOME,0)),"Sem categoria"))</f>
        <v/>
      </c>
      <c r="F4108" s="76" t="n"/>
      <c r="G4108" s="74" t="n"/>
      <c r="H4108" s="74" t="n"/>
      <c r="I4108" s="74" t="n"/>
      <c r="J4108" s="77" t="n"/>
      <c r="K4108" s="77" t="n"/>
      <c r="L4108" s="74" t="n"/>
      <c r="M4108" s="74" t="n"/>
      <c r="O4108" s="78">
        <f>IF($A4108="","",YEAR($A4108)*100+MONTH($A4108))</f>
        <v/>
      </c>
      <c r="P4108" s="79">
        <f>IF(OR($F4108="",$D4108=""),"",IF($D4108="Receita",$F4108,IF($D4108="Transferência",0,-$F4108)))</f>
        <v/>
      </c>
    </row>
    <row r="4109">
      <c r="A4109" s="73" t="n"/>
      <c r="B4109" s="74" t="n"/>
      <c r="C4109" s="74" t="n"/>
      <c r="D4109" s="75">
        <f>IF($C4109="","",IFERROR(INDEX(CAT_TIPO,MATCH($C4109,CAT_NOME,0)),"Sem categoria"))</f>
        <v/>
      </c>
      <c r="E4109" s="75">
        <f>IF($C4109="","",IFERROR(INDEX(CAT_GRUPO,MATCH($C4109,CAT_NOME,0)),"Sem categoria"))</f>
        <v/>
      </c>
      <c r="F4109" s="76" t="n"/>
      <c r="G4109" s="74" t="n"/>
      <c r="H4109" s="74" t="n"/>
      <c r="I4109" s="74" t="n"/>
      <c r="J4109" s="77" t="n"/>
      <c r="K4109" s="77" t="n"/>
      <c r="L4109" s="74" t="n"/>
      <c r="M4109" s="74" t="n"/>
      <c r="O4109" s="78">
        <f>IF($A4109="","",YEAR($A4109)*100+MONTH($A4109))</f>
        <v/>
      </c>
      <c r="P4109" s="79">
        <f>IF(OR($F4109="",$D4109=""),"",IF($D4109="Receita",$F4109,IF($D4109="Transferência",0,-$F4109)))</f>
        <v/>
      </c>
    </row>
    <row r="4110">
      <c r="A4110" s="73" t="n"/>
      <c r="B4110" s="74" t="n"/>
      <c r="C4110" s="74" t="n"/>
      <c r="D4110" s="75">
        <f>IF($C4110="","",IFERROR(INDEX(CAT_TIPO,MATCH($C4110,CAT_NOME,0)),"Sem categoria"))</f>
        <v/>
      </c>
      <c r="E4110" s="75">
        <f>IF($C4110="","",IFERROR(INDEX(CAT_GRUPO,MATCH($C4110,CAT_NOME,0)),"Sem categoria"))</f>
        <v/>
      </c>
      <c r="F4110" s="76" t="n"/>
      <c r="G4110" s="74" t="n"/>
      <c r="H4110" s="74" t="n"/>
      <c r="I4110" s="74" t="n"/>
      <c r="J4110" s="77" t="n"/>
      <c r="K4110" s="77" t="n"/>
      <c r="L4110" s="74" t="n"/>
      <c r="M4110" s="74" t="n"/>
      <c r="O4110" s="78">
        <f>IF($A4110="","",YEAR($A4110)*100+MONTH($A4110))</f>
        <v/>
      </c>
      <c r="P4110" s="79">
        <f>IF(OR($F4110="",$D4110=""),"",IF($D4110="Receita",$F4110,IF($D4110="Transferência",0,-$F4110)))</f>
        <v/>
      </c>
    </row>
    <row r="4111">
      <c r="A4111" s="73" t="n"/>
      <c r="B4111" s="74" t="n"/>
      <c r="C4111" s="74" t="n"/>
      <c r="D4111" s="75">
        <f>IF($C4111="","",IFERROR(INDEX(CAT_TIPO,MATCH($C4111,CAT_NOME,0)),"Sem categoria"))</f>
        <v/>
      </c>
      <c r="E4111" s="75">
        <f>IF($C4111="","",IFERROR(INDEX(CAT_GRUPO,MATCH($C4111,CAT_NOME,0)),"Sem categoria"))</f>
        <v/>
      </c>
      <c r="F4111" s="76" t="n"/>
      <c r="G4111" s="74" t="n"/>
      <c r="H4111" s="74" t="n"/>
      <c r="I4111" s="74" t="n"/>
      <c r="J4111" s="77" t="n"/>
      <c r="K4111" s="77" t="n"/>
      <c r="L4111" s="74" t="n"/>
      <c r="M4111" s="74" t="n"/>
      <c r="O4111" s="78">
        <f>IF($A4111="","",YEAR($A4111)*100+MONTH($A4111))</f>
        <v/>
      </c>
      <c r="P4111" s="79">
        <f>IF(OR($F4111="",$D4111=""),"",IF($D4111="Receita",$F4111,IF($D4111="Transferência",0,-$F4111)))</f>
        <v/>
      </c>
    </row>
    <row r="4112">
      <c r="A4112" s="73" t="n"/>
      <c r="B4112" s="74" t="n"/>
      <c r="C4112" s="74" t="n"/>
      <c r="D4112" s="75">
        <f>IF($C4112="","",IFERROR(INDEX(CAT_TIPO,MATCH($C4112,CAT_NOME,0)),"Sem categoria"))</f>
        <v/>
      </c>
      <c r="E4112" s="75">
        <f>IF($C4112="","",IFERROR(INDEX(CAT_GRUPO,MATCH($C4112,CAT_NOME,0)),"Sem categoria"))</f>
        <v/>
      </c>
      <c r="F4112" s="76" t="n"/>
      <c r="G4112" s="74" t="n"/>
      <c r="H4112" s="74" t="n"/>
      <c r="I4112" s="74" t="n"/>
      <c r="J4112" s="77" t="n"/>
      <c r="K4112" s="77" t="n"/>
      <c r="L4112" s="74" t="n"/>
      <c r="M4112" s="74" t="n"/>
      <c r="O4112" s="78">
        <f>IF($A4112="","",YEAR($A4112)*100+MONTH($A4112))</f>
        <v/>
      </c>
      <c r="P4112" s="79">
        <f>IF(OR($F4112="",$D4112=""),"",IF($D4112="Receita",$F4112,IF($D4112="Transferência",0,-$F4112)))</f>
        <v/>
      </c>
    </row>
    <row r="4113">
      <c r="A4113" s="73" t="n"/>
      <c r="B4113" s="74" t="n"/>
      <c r="C4113" s="74" t="n"/>
      <c r="D4113" s="75">
        <f>IF($C4113="","",IFERROR(INDEX(CAT_TIPO,MATCH($C4113,CAT_NOME,0)),"Sem categoria"))</f>
        <v/>
      </c>
      <c r="E4113" s="75">
        <f>IF($C4113="","",IFERROR(INDEX(CAT_GRUPO,MATCH($C4113,CAT_NOME,0)),"Sem categoria"))</f>
        <v/>
      </c>
      <c r="F4113" s="76" t="n"/>
      <c r="G4113" s="74" t="n"/>
      <c r="H4113" s="74" t="n"/>
      <c r="I4113" s="74" t="n"/>
      <c r="J4113" s="77" t="n"/>
      <c r="K4113" s="77" t="n"/>
      <c r="L4113" s="74" t="n"/>
      <c r="M4113" s="74" t="n"/>
      <c r="O4113" s="78">
        <f>IF($A4113="","",YEAR($A4113)*100+MONTH($A4113))</f>
        <v/>
      </c>
      <c r="P4113" s="79">
        <f>IF(OR($F4113="",$D4113=""),"",IF($D4113="Receita",$F4113,IF($D4113="Transferência",0,-$F4113)))</f>
        <v/>
      </c>
    </row>
    <row r="4114">
      <c r="A4114" s="73" t="n"/>
      <c r="B4114" s="74" t="n"/>
      <c r="C4114" s="74" t="n"/>
      <c r="D4114" s="75">
        <f>IF($C4114="","",IFERROR(INDEX(CAT_TIPO,MATCH($C4114,CAT_NOME,0)),"Sem categoria"))</f>
        <v/>
      </c>
      <c r="E4114" s="75">
        <f>IF($C4114="","",IFERROR(INDEX(CAT_GRUPO,MATCH($C4114,CAT_NOME,0)),"Sem categoria"))</f>
        <v/>
      </c>
      <c r="F4114" s="76" t="n"/>
      <c r="G4114" s="74" t="n"/>
      <c r="H4114" s="74" t="n"/>
      <c r="I4114" s="74" t="n"/>
      <c r="J4114" s="77" t="n"/>
      <c r="K4114" s="77" t="n"/>
      <c r="L4114" s="74" t="n"/>
      <c r="M4114" s="74" t="n"/>
      <c r="O4114" s="78">
        <f>IF($A4114="","",YEAR($A4114)*100+MONTH($A4114))</f>
        <v/>
      </c>
      <c r="P4114" s="79">
        <f>IF(OR($F4114="",$D4114=""),"",IF($D4114="Receita",$F4114,IF($D4114="Transferência",0,-$F4114)))</f>
        <v/>
      </c>
    </row>
    <row r="4115">
      <c r="A4115" s="73" t="n"/>
      <c r="B4115" s="74" t="n"/>
      <c r="C4115" s="74" t="n"/>
      <c r="D4115" s="75">
        <f>IF($C4115="","",IFERROR(INDEX(CAT_TIPO,MATCH($C4115,CAT_NOME,0)),"Sem categoria"))</f>
        <v/>
      </c>
      <c r="E4115" s="75">
        <f>IF($C4115="","",IFERROR(INDEX(CAT_GRUPO,MATCH($C4115,CAT_NOME,0)),"Sem categoria"))</f>
        <v/>
      </c>
      <c r="F4115" s="76" t="n"/>
      <c r="G4115" s="74" t="n"/>
      <c r="H4115" s="74" t="n"/>
      <c r="I4115" s="74" t="n"/>
      <c r="J4115" s="77" t="n"/>
      <c r="K4115" s="77" t="n"/>
      <c r="L4115" s="74" t="n"/>
      <c r="M4115" s="74" t="n"/>
      <c r="O4115" s="78">
        <f>IF($A4115="","",YEAR($A4115)*100+MONTH($A4115))</f>
        <v/>
      </c>
      <c r="P4115" s="79">
        <f>IF(OR($F4115="",$D4115=""),"",IF($D4115="Receita",$F4115,IF($D4115="Transferência",0,-$F4115)))</f>
        <v/>
      </c>
    </row>
    <row r="4116">
      <c r="A4116" s="73" t="n"/>
      <c r="B4116" s="74" t="n"/>
      <c r="C4116" s="74" t="n"/>
      <c r="D4116" s="75">
        <f>IF($C4116="","",IFERROR(INDEX(CAT_TIPO,MATCH($C4116,CAT_NOME,0)),"Sem categoria"))</f>
        <v/>
      </c>
      <c r="E4116" s="75">
        <f>IF($C4116="","",IFERROR(INDEX(CAT_GRUPO,MATCH($C4116,CAT_NOME,0)),"Sem categoria"))</f>
        <v/>
      </c>
      <c r="F4116" s="76" t="n"/>
      <c r="G4116" s="74" t="n"/>
      <c r="H4116" s="74" t="n"/>
      <c r="I4116" s="74" t="n"/>
      <c r="J4116" s="77" t="n"/>
      <c r="K4116" s="77" t="n"/>
      <c r="L4116" s="74" t="n"/>
      <c r="M4116" s="74" t="n"/>
      <c r="O4116" s="78">
        <f>IF($A4116="","",YEAR($A4116)*100+MONTH($A4116))</f>
        <v/>
      </c>
      <c r="P4116" s="79">
        <f>IF(OR($F4116="",$D4116=""),"",IF($D4116="Receita",$F4116,IF($D4116="Transferência",0,-$F4116)))</f>
        <v/>
      </c>
    </row>
    <row r="4117">
      <c r="A4117" s="73" t="n"/>
      <c r="B4117" s="74" t="n"/>
      <c r="C4117" s="74" t="n"/>
      <c r="D4117" s="75">
        <f>IF($C4117="","",IFERROR(INDEX(CAT_TIPO,MATCH($C4117,CAT_NOME,0)),"Sem categoria"))</f>
        <v/>
      </c>
      <c r="E4117" s="75">
        <f>IF($C4117="","",IFERROR(INDEX(CAT_GRUPO,MATCH($C4117,CAT_NOME,0)),"Sem categoria"))</f>
        <v/>
      </c>
      <c r="F4117" s="76" t="n"/>
      <c r="G4117" s="74" t="n"/>
      <c r="H4117" s="74" t="n"/>
      <c r="I4117" s="74" t="n"/>
      <c r="J4117" s="77" t="n"/>
      <c r="K4117" s="77" t="n"/>
      <c r="L4117" s="74" t="n"/>
      <c r="M4117" s="74" t="n"/>
      <c r="O4117" s="78">
        <f>IF($A4117="","",YEAR($A4117)*100+MONTH($A4117))</f>
        <v/>
      </c>
      <c r="P4117" s="79">
        <f>IF(OR($F4117="",$D4117=""),"",IF($D4117="Receita",$F4117,IF($D4117="Transferência",0,-$F4117)))</f>
        <v/>
      </c>
    </row>
    <row r="4118">
      <c r="A4118" s="73" t="n"/>
      <c r="B4118" s="74" t="n"/>
      <c r="C4118" s="74" t="n"/>
      <c r="D4118" s="75">
        <f>IF($C4118="","",IFERROR(INDEX(CAT_TIPO,MATCH($C4118,CAT_NOME,0)),"Sem categoria"))</f>
        <v/>
      </c>
      <c r="E4118" s="75">
        <f>IF($C4118="","",IFERROR(INDEX(CAT_GRUPO,MATCH($C4118,CAT_NOME,0)),"Sem categoria"))</f>
        <v/>
      </c>
      <c r="F4118" s="76" t="n"/>
      <c r="G4118" s="74" t="n"/>
      <c r="H4118" s="74" t="n"/>
      <c r="I4118" s="74" t="n"/>
      <c r="J4118" s="77" t="n"/>
      <c r="K4118" s="77" t="n"/>
      <c r="L4118" s="74" t="n"/>
      <c r="M4118" s="74" t="n"/>
      <c r="O4118" s="78">
        <f>IF($A4118="","",YEAR($A4118)*100+MONTH($A4118))</f>
        <v/>
      </c>
      <c r="P4118" s="79">
        <f>IF(OR($F4118="",$D4118=""),"",IF($D4118="Receita",$F4118,IF($D4118="Transferência",0,-$F4118)))</f>
        <v/>
      </c>
    </row>
    <row r="4119">
      <c r="A4119" s="73" t="n"/>
      <c r="B4119" s="74" t="n"/>
      <c r="C4119" s="74" t="n"/>
      <c r="D4119" s="75">
        <f>IF($C4119="","",IFERROR(INDEX(CAT_TIPO,MATCH($C4119,CAT_NOME,0)),"Sem categoria"))</f>
        <v/>
      </c>
      <c r="E4119" s="75">
        <f>IF($C4119="","",IFERROR(INDEX(CAT_GRUPO,MATCH($C4119,CAT_NOME,0)),"Sem categoria"))</f>
        <v/>
      </c>
      <c r="F4119" s="76" t="n"/>
      <c r="G4119" s="74" t="n"/>
      <c r="H4119" s="74" t="n"/>
      <c r="I4119" s="74" t="n"/>
      <c r="J4119" s="77" t="n"/>
      <c r="K4119" s="77" t="n"/>
      <c r="L4119" s="74" t="n"/>
      <c r="M4119" s="74" t="n"/>
      <c r="O4119" s="78">
        <f>IF($A4119="","",YEAR($A4119)*100+MONTH($A4119))</f>
        <v/>
      </c>
      <c r="P4119" s="79">
        <f>IF(OR($F4119="",$D4119=""),"",IF($D4119="Receita",$F4119,IF($D4119="Transferência",0,-$F4119)))</f>
        <v/>
      </c>
    </row>
    <row r="4120">
      <c r="A4120" s="73" t="n"/>
      <c r="B4120" s="74" t="n"/>
      <c r="C4120" s="74" t="n"/>
      <c r="D4120" s="75">
        <f>IF($C4120="","",IFERROR(INDEX(CAT_TIPO,MATCH($C4120,CAT_NOME,0)),"Sem categoria"))</f>
        <v/>
      </c>
      <c r="E4120" s="75">
        <f>IF($C4120="","",IFERROR(INDEX(CAT_GRUPO,MATCH($C4120,CAT_NOME,0)),"Sem categoria"))</f>
        <v/>
      </c>
      <c r="F4120" s="76" t="n"/>
      <c r="G4120" s="74" t="n"/>
      <c r="H4120" s="74" t="n"/>
      <c r="I4120" s="74" t="n"/>
      <c r="J4120" s="77" t="n"/>
      <c r="K4120" s="77" t="n"/>
      <c r="L4120" s="74" t="n"/>
      <c r="M4120" s="74" t="n"/>
      <c r="O4120" s="78">
        <f>IF($A4120="","",YEAR($A4120)*100+MONTH($A4120))</f>
        <v/>
      </c>
      <c r="P4120" s="79">
        <f>IF(OR($F4120="",$D4120=""),"",IF($D4120="Receita",$F4120,IF($D4120="Transferência",0,-$F4120)))</f>
        <v/>
      </c>
    </row>
    <row r="4121">
      <c r="A4121" s="73" t="n"/>
      <c r="B4121" s="74" t="n"/>
      <c r="C4121" s="74" t="n"/>
      <c r="D4121" s="75">
        <f>IF($C4121="","",IFERROR(INDEX(CAT_TIPO,MATCH($C4121,CAT_NOME,0)),"Sem categoria"))</f>
        <v/>
      </c>
      <c r="E4121" s="75">
        <f>IF($C4121="","",IFERROR(INDEX(CAT_GRUPO,MATCH($C4121,CAT_NOME,0)),"Sem categoria"))</f>
        <v/>
      </c>
      <c r="F4121" s="76" t="n"/>
      <c r="G4121" s="74" t="n"/>
      <c r="H4121" s="74" t="n"/>
      <c r="I4121" s="74" t="n"/>
      <c r="J4121" s="77" t="n"/>
      <c r="K4121" s="77" t="n"/>
      <c r="L4121" s="74" t="n"/>
      <c r="M4121" s="74" t="n"/>
      <c r="O4121" s="78">
        <f>IF($A4121="","",YEAR($A4121)*100+MONTH($A4121))</f>
        <v/>
      </c>
      <c r="P4121" s="79">
        <f>IF(OR($F4121="",$D4121=""),"",IF($D4121="Receita",$F4121,IF($D4121="Transferência",0,-$F4121)))</f>
        <v/>
      </c>
    </row>
    <row r="4122">
      <c r="A4122" s="73" t="n"/>
      <c r="B4122" s="74" t="n"/>
      <c r="C4122" s="74" t="n"/>
      <c r="D4122" s="75">
        <f>IF($C4122="","",IFERROR(INDEX(CAT_TIPO,MATCH($C4122,CAT_NOME,0)),"Sem categoria"))</f>
        <v/>
      </c>
      <c r="E4122" s="75">
        <f>IF($C4122="","",IFERROR(INDEX(CAT_GRUPO,MATCH($C4122,CAT_NOME,0)),"Sem categoria"))</f>
        <v/>
      </c>
      <c r="F4122" s="76" t="n"/>
      <c r="G4122" s="74" t="n"/>
      <c r="H4122" s="74" t="n"/>
      <c r="I4122" s="74" t="n"/>
      <c r="J4122" s="77" t="n"/>
      <c r="K4122" s="77" t="n"/>
      <c r="L4122" s="74" t="n"/>
      <c r="M4122" s="74" t="n"/>
      <c r="O4122" s="78">
        <f>IF($A4122="","",YEAR($A4122)*100+MONTH($A4122))</f>
        <v/>
      </c>
      <c r="P4122" s="79">
        <f>IF(OR($F4122="",$D4122=""),"",IF($D4122="Receita",$F4122,IF($D4122="Transferência",0,-$F4122)))</f>
        <v/>
      </c>
    </row>
    <row r="4123">
      <c r="A4123" s="73" t="n"/>
      <c r="B4123" s="74" t="n"/>
      <c r="C4123" s="74" t="n"/>
      <c r="D4123" s="75">
        <f>IF($C4123="","",IFERROR(INDEX(CAT_TIPO,MATCH($C4123,CAT_NOME,0)),"Sem categoria"))</f>
        <v/>
      </c>
      <c r="E4123" s="75">
        <f>IF($C4123="","",IFERROR(INDEX(CAT_GRUPO,MATCH($C4123,CAT_NOME,0)),"Sem categoria"))</f>
        <v/>
      </c>
      <c r="F4123" s="76" t="n"/>
      <c r="G4123" s="74" t="n"/>
      <c r="H4123" s="74" t="n"/>
      <c r="I4123" s="74" t="n"/>
      <c r="J4123" s="77" t="n"/>
      <c r="K4123" s="77" t="n"/>
      <c r="L4123" s="74" t="n"/>
      <c r="M4123" s="74" t="n"/>
      <c r="O4123" s="78">
        <f>IF($A4123="","",YEAR($A4123)*100+MONTH($A4123))</f>
        <v/>
      </c>
      <c r="P4123" s="79">
        <f>IF(OR($F4123="",$D4123=""),"",IF($D4123="Receita",$F4123,IF($D4123="Transferência",0,-$F4123)))</f>
        <v/>
      </c>
    </row>
    <row r="4124">
      <c r="A4124" s="73" t="n"/>
      <c r="B4124" s="74" t="n"/>
      <c r="C4124" s="74" t="n"/>
      <c r="D4124" s="75">
        <f>IF($C4124="","",IFERROR(INDEX(CAT_TIPO,MATCH($C4124,CAT_NOME,0)),"Sem categoria"))</f>
        <v/>
      </c>
      <c r="E4124" s="75">
        <f>IF($C4124="","",IFERROR(INDEX(CAT_GRUPO,MATCH($C4124,CAT_NOME,0)),"Sem categoria"))</f>
        <v/>
      </c>
      <c r="F4124" s="76" t="n"/>
      <c r="G4124" s="74" t="n"/>
      <c r="H4124" s="74" t="n"/>
      <c r="I4124" s="74" t="n"/>
      <c r="J4124" s="77" t="n"/>
      <c r="K4124" s="77" t="n"/>
      <c r="L4124" s="74" t="n"/>
      <c r="M4124" s="74" t="n"/>
      <c r="O4124" s="78">
        <f>IF($A4124="","",YEAR($A4124)*100+MONTH($A4124))</f>
        <v/>
      </c>
      <c r="P4124" s="79">
        <f>IF(OR($F4124="",$D4124=""),"",IF($D4124="Receita",$F4124,IF($D4124="Transferência",0,-$F4124)))</f>
        <v/>
      </c>
    </row>
    <row r="4125">
      <c r="A4125" s="73" t="n"/>
      <c r="B4125" s="74" t="n"/>
      <c r="C4125" s="74" t="n"/>
      <c r="D4125" s="75">
        <f>IF($C4125="","",IFERROR(INDEX(CAT_TIPO,MATCH($C4125,CAT_NOME,0)),"Sem categoria"))</f>
        <v/>
      </c>
      <c r="E4125" s="75">
        <f>IF($C4125="","",IFERROR(INDEX(CAT_GRUPO,MATCH($C4125,CAT_NOME,0)),"Sem categoria"))</f>
        <v/>
      </c>
      <c r="F4125" s="76" t="n"/>
      <c r="G4125" s="74" t="n"/>
      <c r="H4125" s="74" t="n"/>
      <c r="I4125" s="74" t="n"/>
      <c r="J4125" s="77" t="n"/>
      <c r="K4125" s="77" t="n"/>
      <c r="L4125" s="74" t="n"/>
      <c r="M4125" s="74" t="n"/>
      <c r="O4125" s="78">
        <f>IF($A4125="","",YEAR($A4125)*100+MONTH($A4125))</f>
        <v/>
      </c>
      <c r="P4125" s="79">
        <f>IF(OR($F4125="",$D4125=""),"",IF($D4125="Receita",$F4125,IF($D4125="Transferência",0,-$F4125)))</f>
        <v/>
      </c>
    </row>
    <row r="4126">
      <c r="A4126" s="73" t="n"/>
      <c r="B4126" s="74" t="n"/>
      <c r="C4126" s="74" t="n"/>
      <c r="D4126" s="75">
        <f>IF($C4126="","",IFERROR(INDEX(CAT_TIPO,MATCH($C4126,CAT_NOME,0)),"Sem categoria"))</f>
        <v/>
      </c>
      <c r="E4126" s="75">
        <f>IF($C4126="","",IFERROR(INDEX(CAT_GRUPO,MATCH($C4126,CAT_NOME,0)),"Sem categoria"))</f>
        <v/>
      </c>
      <c r="F4126" s="76" t="n"/>
      <c r="G4126" s="74" t="n"/>
      <c r="H4126" s="74" t="n"/>
      <c r="I4126" s="74" t="n"/>
      <c r="J4126" s="77" t="n"/>
      <c r="K4126" s="77" t="n"/>
      <c r="L4126" s="74" t="n"/>
      <c r="M4126" s="74" t="n"/>
      <c r="O4126" s="78">
        <f>IF($A4126="","",YEAR($A4126)*100+MONTH($A4126))</f>
        <v/>
      </c>
      <c r="P4126" s="79">
        <f>IF(OR($F4126="",$D4126=""),"",IF($D4126="Receita",$F4126,IF($D4126="Transferência",0,-$F4126)))</f>
        <v/>
      </c>
    </row>
    <row r="4127">
      <c r="A4127" s="73" t="n"/>
      <c r="B4127" s="74" t="n"/>
      <c r="C4127" s="74" t="n"/>
      <c r="D4127" s="75">
        <f>IF($C4127="","",IFERROR(INDEX(CAT_TIPO,MATCH($C4127,CAT_NOME,0)),"Sem categoria"))</f>
        <v/>
      </c>
      <c r="E4127" s="75">
        <f>IF($C4127="","",IFERROR(INDEX(CAT_GRUPO,MATCH($C4127,CAT_NOME,0)),"Sem categoria"))</f>
        <v/>
      </c>
      <c r="F4127" s="76" t="n"/>
      <c r="G4127" s="74" t="n"/>
      <c r="H4127" s="74" t="n"/>
      <c r="I4127" s="74" t="n"/>
      <c r="J4127" s="77" t="n"/>
      <c r="K4127" s="77" t="n"/>
      <c r="L4127" s="74" t="n"/>
      <c r="M4127" s="74" t="n"/>
      <c r="O4127" s="78">
        <f>IF($A4127="","",YEAR($A4127)*100+MONTH($A4127))</f>
        <v/>
      </c>
      <c r="P4127" s="79">
        <f>IF(OR($F4127="",$D4127=""),"",IF($D4127="Receita",$F4127,IF($D4127="Transferência",0,-$F4127)))</f>
        <v/>
      </c>
    </row>
    <row r="4128">
      <c r="A4128" s="73" t="n"/>
      <c r="B4128" s="74" t="n"/>
      <c r="C4128" s="74" t="n"/>
      <c r="D4128" s="75">
        <f>IF($C4128="","",IFERROR(INDEX(CAT_TIPO,MATCH($C4128,CAT_NOME,0)),"Sem categoria"))</f>
        <v/>
      </c>
      <c r="E4128" s="75">
        <f>IF($C4128="","",IFERROR(INDEX(CAT_GRUPO,MATCH($C4128,CAT_NOME,0)),"Sem categoria"))</f>
        <v/>
      </c>
      <c r="F4128" s="76" t="n"/>
      <c r="G4128" s="74" t="n"/>
      <c r="H4128" s="74" t="n"/>
      <c r="I4128" s="74" t="n"/>
      <c r="J4128" s="77" t="n"/>
      <c r="K4128" s="77" t="n"/>
      <c r="L4128" s="74" t="n"/>
      <c r="M4128" s="74" t="n"/>
      <c r="O4128" s="78">
        <f>IF($A4128="","",YEAR($A4128)*100+MONTH($A4128))</f>
        <v/>
      </c>
      <c r="P4128" s="79">
        <f>IF(OR($F4128="",$D4128=""),"",IF($D4128="Receita",$F4128,IF($D4128="Transferência",0,-$F4128)))</f>
        <v/>
      </c>
    </row>
    <row r="4129">
      <c r="A4129" s="73" t="n"/>
      <c r="B4129" s="74" t="n"/>
      <c r="C4129" s="74" t="n"/>
      <c r="D4129" s="75">
        <f>IF($C4129="","",IFERROR(INDEX(CAT_TIPO,MATCH($C4129,CAT_NOME,0)),"Sem categoria"))</f>
        <v/>
      </c>
      <c r="E4129" s="75">
        <f>IF($C4129="","",IFERROR(INDEX(CAT_GRUPO,MATCH($C4129,CAT_NOME,0)),"Sem categoria"))</f>
        <v/>
      </c>
      <c r="F4129" s="76" t="n"/>
      <c r="G4129" s="74" t="n"/>
      <c r="H4129" s="74" t="n"/>
      <c r="I4129" s="74" t="n"/>
      <c r="J4129" s="77" t="n"/>
      <c r="K4129" s="77" t="n"/>
      <c r="L4129" s="74" t="n"/>
      <c r="M4129" s="74" t="n"/>
      <c r="O4129" s="78">
        <f>IF($A4129="","",YEAR($A4129)*100+MONTH($A4129))</f>
        <v/>
      </c>
      <c r="P4129" s="79">
        <f>IF(OR($F4129="",$D4129=""),"",IF($D4129="Receita",$F4129,IF($D4129="Transferência",0,-$F4129)))</f>
        <v/>
      </c>
    </row>
    <row r="4130">
      <c r="A4130" s="73" t="n"/>
      <c r="B4130" s="74" t="n"/>
      <c r="C4130" s="74" t="n"/>
      <c r="D4130" s="75">
        <f>IF($C4130="","",IFERROR(INDEX(CAT_TIPO,MATCH($C4130,CAT_NOME,0)),"Sem categoria"))</f>
        <v/>
      </c>
      <c r="E4130" s="75">
        <f>IF($C4130="","",IFERROR(INDEX(CAT_GRUPO,MATCH($C4130,CAT_NOME,0)),"Sem categoria"))</f>
        <v/>
      </c>
      <c r="F4130" s="76" t="n"/>
      <c r="G4130" s="74" t="n"/>
      <c r="H4130" s="74" t="n"/>
      <c r="I4130" s="74" t="n"/>
      <c r="J4130" s="77" t="n"/>
      <c r="K4130" s="77" t="n"/>
      <c r="L4130" s="74" t="n"/>
      <c r="M4130" s="74" t="n"/>
      <c r="O4130" s="78">
        <f>IF($A4130="","",YEAR($A4130)*100+MONTH($A4130))</f>
        <v/>
      </c>
      <c r="P4130" s="79">
        <f>IF(OR($F4130="",$D4130=""),"",IF($D4130="Receita",$F4130,IF($D4130="Transferência",0,-$F4130)))</f>
        <v/>
      </c>
    </row>
    <row r="4131">
      <c r="A4131" s="73" t="n"/>
      <c r="B4131" s="74" t="n"/>
      <c r="C4131" s="74" t="n"/>
      <c r="D4131" s="75">
        <f>IF($C4131="","",IFERROR(INDEX(CAT_TIPO,MATCH($C4131,CAT_NOME,0)),"Sem categoria"))</f>
        <v/>
      </c>
      <c r="E4131" s="75">
        <f>IF($C4131="","",IFERROR(INDEX(CAT_GRUPO,MATCH($C4131,CAT_NOME,0)),"Sem categoria"))</f>
        <v/>
      </c>
      <c r="F4131" s="76" t="n"/>
      <c r="G4131" s="74" t="n"/>
      <c r="H4131" s="74" t="n"/>
      <c r="I4131" s="74" t="n"/>
      <c r="J4131" s="77" t="n"/>
      <c r="K4131" s="77" t="n"/>
      <c r="L4131" s="74" t="n"/>
      <c r="M4131" s="74" t="n"/>
      <c r="O4131" s="78">
        <f>IF($A4131="","",YEAR($A4131)*100+MONTH($A4131))</f>
        <v/>
      </c>
      <c r="P4131" s="79">
        <f>IF(OR($F4131="",$D4131=""),"",IF($D4131="Receita",$F4131,IF($D4131="Transferência",0,-$F4131)))</f>
        <v/>
      </c>
    </row>
    <row r="4132">
      <c r="A4132" s="73" t="n"/>
      <c r="B4132" s="74" t="n"/>
      <c r="C4132" s="74" t="n"/>
      <c r="D4132" s="75">
        <f>IF($C4132="","",IFERROR(INDEX(CAT_TIPO,MATCH($C4132,CAT_NOME,0)),"Sem categoria"))</f>
        <v/>
      </c>
      <c r="E4132" s="75">
        <f>IF($C4132="","",IFERROR(INDEX(CAT_GRUPO,MATCH($C4132,CAT_NOME,0)),"Sem categoria"))</f>
        <v/>
      </c>
      <c r="F4132" s="76" t="n"/>
      <c r="G4132" s="74" t="n"/>
      <c r="H4132" s="74" t="n"/>
      <c r="I4132" s="74" t="n"/>
      <c r="J4132" s="77" t="n"/>
      <c r="K4132" s="77" t="n"/>
      <c r="L4132" s="74" t="n"/>
      <c r="M4132" s="74" t="n"/>
      <c r="O4132" s="78">
        <f>IF($A4132="","",YEAR($A4132)*100+MONTH($A4132))</f>
        <v/>
      </c>
      <c r="P4132" s="79">
        <f>IF(OR($F4132="",$D4132=""),"",IF($D4132="Receita",$F4132,IF($D4132="Transferência",0,-$F4132)))</f>
        <v/>
      </c>
    </row>
    <row r="4133">
      <c r="A4133" s="73" t="n"/>
      <c r="B4133" s="74" t="n"/>
      <c r="C4133" s="74" t="n"/>
      <c r="D4133" s="75">
        <f>IF($C4133="","",IFERROR(INDEX(CAT_TIPO,MATCH($C4133,CAT_NOME,0)),"Sem categoria"))</f>
        <v/>
      </c>
      <c r="E4133" s="75">
        <f>IF($C4133="","",IFERROR(INDEX(CAT_GRUPO,MATCH($C4133,CAT_NOME,0)),"Sem categoria"))</f>
        <v/>
      </c>
      <c r="F4133" s="76" t="n"/>
      <c r="G4133" s="74" t="n"/>
      <c r="H4133" s="74" t="n"/>
      <c r="I4133" s="74" t="n"/>
      <c r="J4133" s="77" t="n"/>
      <c r="K4133" s="77" t="n"/>
      <c r="L4133" s="74" t="n"/>
      <c r="M4133" s="74" t="n"/>
      <c r="O4133" s="78">
        <f>IF($A4133="","",YEAR($A4133)*100+MONTH($A4133))</f>
        <v/>
      </c>
      <c r="P4133" s="79">
        <f>IF(OR($F4133="",$D4133=""),"",IF($D4133="Receita",$F4133,IF($D4133="Transferência",0,-$F4133)))</f>
        <v/>
      </c>
    </row>
    <row r="4134">
      <c r="A4134" s="73" t="n"/>
      <c r="B4134" s="74" t="n"/>
      <c r="C4134" s="74" t="n"/>
      <c r="D4134" s="75">
        <f>IF($C4134="","",IFERROR(INDEX(CAT_TIPO,MATCH($C4134,CAT_NOME,0)),"Sem categoria"))</f>
        <v/>
      </c>
      <c r="E4134" s="75">
        <f>IF($C4134="","",IFERROR(INDEX(CAT_GRUPO,MATCH($C4134,CAT_NOME,0)),"Sem categoria"))</f>
        <v/>
      </c>
      <c r="F4134" s="76" t="n"/>
      <c r="G4134" s="74" t="n"/>
      <c r="H4134" s="74" t="n"/>
      <c r="I4134" s="74" t="n"/>
      <c r="J4134" s="77" t="n"/>
      <c r="K4134" s="77" t="n"/>
      <c r="L4134" s="74" t="n"/>
      <c r="M4134" s="74" t="n"/>
      <c r="O4134" s="78">
        <f>IF($A4134="","",YEAR($A4134)*100+MONTH($A4134))</f>
        <v/>
      </c>
      <c r="P4134" s="79">
        <f>IF(OR($F4134="",$D4134=""),"",IF($D4134="Receita",$F4134,IF($D4134="Transferência",0,-$F4134)))</f>
        <v/>
      </c>
    </row>
    <row r="4135">
      <c r="A4135" s="73" t="n"/>
      <c r="B4135" s="74" t="n"/>
      <c r="C4135" s="74" t="n"/>
      <c r="D4135" s="75">
        <f>IF($C4135="","",IFERROR(INDEX(CAT_TIPO,MATCH($C4135,CAT_NOME,0)),"Sem categoria"))</f>
        <v/>
      </c>
      <c r="E4135" s="75">
        <f>IF($C4135="","",IFERROR(INDEX(CAT_GRUPO,MATCH($C4135,CAT_NOME,0)),"Sem categoria"))</f>
        <v/>
      </c>
      <c r="F4135" s="76" t="n"/>
      <c r="G4135" s="74" t="n"/>
      <c r="H4135" s="74" t="n"/>
      <c r="I4135" s="74" t="n"/>
      <c r="J4135" s="77" t="n"/>
      <c r="K4135" s="77" t="n"/>
      <c r="L4135" s="74" t="n"/>
      <c r="M4135" s="74" t="n"/>
      <c r="O4135" s="78">
        <f>IF($A4135="","",YEAR($A4135)*100+MONTH($A4135))</f>
        <v/>
      </c>
      <c r="P4135" s="79">
        <f>IF(OR($F4135="",$D4135=""),"",IF($D4135="Receita",$F4135,IF($D4135="Transferência",0,-$F4135)))</f>
        <v/>
      </c>
    </row>
    <row r="4136">
      <c r="A4136" s="73" t="n"/>
      <c r="B4136" s="74" t="n"/>
      <c r="C4136" s="74" t="n"/>
      <c r="D4136" s="75">
        <f>IF($C4136="","",IFERROR(INDEX(CAT_TIPO,MATCH($C4136,CAT_NOME,0)),"Sem categoria"))</f>
        <v/>
      </c>
      <c r="E4136" s="75">
        <f>IF($C4136="","",IFERROR(INDEX(CAT_GRUPO,MATCH($C4136,CAT_NOME,0)),"Sem categoria"))</f>
        <v/>
      </c>
      <c r="F4136" s="76" t="n"/>
      <c r="G4136" s="74" t="n"/>
      <c r="H4136" s="74" t="n"/>
      <c r="I4136" s="74" t="n"/>
      <c r="J4136" s="77" t="n"/>
      <c r="K4136" s="77" t="n"/>
      <c r="L4136" s="74" t="n"/>
      <c r="M4136" s="74" t="n"/>
      <c r="O4136" s="78">
        <f>IF($A4136="","",YEAR($A4136)*100+MONTH($A4136))</f>
        <v/>
      </c>
      <c r="P4136" s="79">
        <f>IF(OR($F4136="",$D4136=""),"",IF($D4136="Receita",$F4136,IF($D4136="Transferência",0,-$F4136)))</f>
        <v/>
      </c>
    </row>
    <row r="4137">
      <c r="A4137" s="73" t="n"/>
      <c r="B4137" s="74" t="n"/>
      <c r="C4137" s="74" t="n"/>
      <c r="D4137" s="75">
        <f>IF($C4137="","",IFERROR(INDEX(CAT_TIPO,MATCH($C4137,CAT_NOME,0)),"Sem categoria"))</f>
        <v/>
      </c>
      <c r="E4137" s="75">
        <f>IF($C4137="","",IFERROR(INDEX(CAT_GRUPO,MATCH($C4137,CAT_NOME,0)),"Sem categoria"))</f>
        <v/>
      </c>
      <c r="F4137" s="76" t="n"/>
      <c r="G4137" s="74" t="n"/>
      <c r="H4137" s="74" t="n"/>
      <c r="I4137" s="74" t="n"/>
      <c r="J4137" s="77" t="n"/>
      <c r="K4137" s="77" t="n"/>
      <c r="L4137" s="74" t="n"/>
      <c r="M4137" s="74" t="n"/>
      <c r="O4137" s="78">
        <f>IF($A4137="","",YEAR($A4137)*100+MONTH($A4137))</f>
        <v/>
      </c>
      <c r="P4137" s="79">
        <f>IF(OR($F4137="",$D4137=""),"",IF($D4137="Receita",$F4137,IF($D4137="Transferência",0,-$F4137)))</f>
        <v/>
      </c>
    </row>
    <row r="4138">
      <c r="A4138" s="73" t="n"/>
      <c r="B4138" s="74" t="n"/>
      <c r="C4138" s="74" t="n"/>
      <c r="D4138" s="75">
        <f>IF($C4138="","",IFERROR(INDEX(CAT_TIPO,MATCH($C4138,CAT_NOME,0)),"Sem categoria"))</f>
        <v/>
      </c>
      <c r="E4138" s="75">
        <f>IF($C4138="","",IFERROR(INDEX(CAT_GRUPO,MATCH($C4138,CAT_NOME,0)),"Sem categoria"))</f>
        <v/>
      </c>
      <c r="F4138" s="76" t="n"/>
      <c r="G4138" s="74" t="n"/>
      <c r="H4138" s="74" t="n"/>
      <c r="I4138" s="74" t="n"/>
      <c r="J4138" s="77" t="n"/>
      <c r="K4138" s="77" t="n"/>
      <c r="L4138" s="74" t="n"/>
      <c r="M4138" s="74" t="n"/>
      <c r="O4138" s="78">
        <f>IF($A4138="","",YEAR($A4138)*100+MONTH($A4138))</f>
        <v/>
      </c>
      <c r="P4138" s="79">
        <f>IF(OR($F4138="",$D4138=""),"",IF($D4138="Receita",$F4138,IF($D4138="Transferência",0,-$F4138)))</f>
        <v/>
      </c>
    </row>
    <row r="4139">
      <c r="A4139" s="73" t="n"/>
      <c r="B4139" s="74" t="n"/>
      <c r="C4139" s="74" t="n"/>
      <c r="D4139" s="75">
        <f>IF($C4139="","",IFERROR(INDEX(CAT_TIPO,MATCH($C4139,CAT_NOME,0)),"Sem categoria"))</f>
        <v/>
      </c>
      <c r="E4139" s="75">
        <f>IF($C4139="","",IFERROR(INDEX(CAT_GRUPO,MATCH($C4139,CAT_NOME,0)),"Sem categoria"))</f>
        <v/>
      </c>
      <c r="F4139" s="76" t="n"/>
      <c r="G4139" s="74" t="n"/>
      <c r="H4139" s="74" t="n"/>
      <c r="I4139" s="74" t="n"/>
      <c r="J4139" s="77" t="n"/>
      <c r="K4139" s="77" t="n"/>
      <c r="L4139" s="74" t="n"/>
      <c r="M4139" s="74" t="n"/>
      <c r="O4139" s="78">
        <f>IF($A4139="","",YEAR($A4139)*100+MONTH($A4139))</f>
        <v/>
      </c>
      <c r="P4139" s="79">
        <f>IF(OR($F4139="",$D4139=""),"",IF($D4139="Receita",$F4139,IF($D4139="Transferência",0,-$F4139)))</f>
        <v/>
      </c>
    </row>
    <row r="4140">
      <c r="A4140" s="73" t="n"/>
      <c r="B4140" s="74" t="n"/>
      <c r="C4140" s="74" t="n"/>
      <c r="D4140" s="75">
        <f>IF($C4140="","",IFERROR(INDEX(CAT_TIPO,MATCH($C4140,CAT_NOME,0)),"Sem categoria"))</f>
        <v/>
      </c>
      <c r="E4140" s="75">
        <f>IF($C4140="","",IFERROR(INDEX(CAT_GRUPO,MATCH($C4140,CAT_NOME,0)),"Sem categoria"))</f>
        <v/>
      </c>
      <c r="F4140" s="76" t="n"/>
      <c r="G4140" s="74" t="n"/>
      <c r="H4140" s="74" t="n"/>
      <c r="I4140" s="74" t="n"/>
      <c r="J4140" s="77" t="n"/>
      <c r="K4140" s="77" t="n"/>
      <c r="L4140" s="74" t="n"/>
      <c r="M4140" s="74" t="n"/>
      <c r="O4140" s="78">
        <f>IF($A4140="","",YEAR($A4140)*100+MONTH($A4140))</f>
        <v/>
      </c>
      <c r="P4140" s="79">
        <f>IF(OR($F4140="",$D4140=""),"",IF($D4140="Receita",$F4140,IF($D4140="Transferência",0,-$F4140)))</f>
        <v/>
      </c>
    </row>
    <row r="4141">
      <c r="A4141" s="73" t="n"/>
      <c r="B4141" s="74" t="n"/>
      <c r="C4141" s="74" t="n"/>
      <c r="D4141" s="75">
        <f>IF($C4141="","",IFERROR(INDEX(CAT_TIPO,MATCH($C4141,CAT_NOME,0)),"Sem categoria"))</f>
        <v/>
      </c>
      <c r="E4141" s="75">
        <f>IF($C4141="","",IFERROR(INDEX(CAT_GRUPO,MATCH($C4141,CAT_NOME,0)),"Sem categoria"))</f>
        <v/>
      </c>
      <c r="F4141" s="76" t="n"/>
      <c r="G4141" s="74" t="n"/>
      <c r="H4141" s="74" t="n"/>
      <c r="I4141" s="74" t="n"/>
      <c r="J4141" s="77" t="n"/>
      <c r="K4141" s="77" t="n"/>
      <c r="L4141" s="74" t="n"/>
      <c r="M4141" s="74" t="n"/>
      <c r="O4141" s="78">
        <f>IF($A4141="","",YEAR($A4141)*100+MONTH($A4141))</f>
        <v/>
      </c>
      <c r="P4141" s="79">
        <f>IF(OR($F4141="",$D4141=""),"",IF($D4141="Receita",$F4141,IF($D4141="Transferência",0,-$F4141)))</f>
        <v/>
      </c>
    </row>
    <row r="4142">
      <c r="A4142" s="73" t="n"/>
      <c r="B4142" s="74" t="n"/>
      <c r="C4142" s="74" t="n"/>
      <c r="D4142" s="75">
        <f>IF($C4142="","",IFERROR(INDEX(CAT_TIPO,MATCH($C4142,CAT_NOME,0)),"Sem categoria"))</f>
        <v/>
      </c>
      <c r="E4142" s="75">
        <f>IF($C4142="","",IFERROR(INDEX(CAT_GRUPO,MATCH($C4142,CAT_NOME,0)),"Sem categoria"))</f>
        <v/>
      </c>
      <c r="F4142" s="76" t="n"/>
      <c r="G4142" s="74" t="n"/>
      <c r="H4142" s="74" t="n"/>
      <c r="I4142" s="74" t="n"/>
      <c r="J4142" s="77" t="n"/>
      <c r="K4142" s="77" t="n"/>
      <c r="L4142" s="74" t="n"/>
      <c r="M4142" s="74" t="n"/>
      <c r="O4142" s="78">
        <f>IF($A4142="","",YEAR($A4142)*100+MONTH($A4142))</f>
        <v/>
      </c>
      <c r="P4142" s="79">
        <f>IF(OR($F4142="",$D4142=""),"",IF($D4142="Receita",$F4142,IF($D4142="Transferência",0,-$F4142)))</f>
        <v/>
      </c>
    </row>
    <row r="4143">
      <c r="A4143" s="73" t="n"/>
      <c r="B4143" s="74" t="n"/>
      <c r="C4143" s="74" t="n"/>
      <c r="D4143" s="75">
        <f>IF($C4143="","",IFERROR(INDEX(CAT_TIPO,MATCH($C4143,CAT_NOME,0)),"Sem categoria"))</f>
        <v/>
      </c>
      <c r="E4143" s="75">
        <f>IF($C4143="","",IFERROR(INDEX(CAT_GRUPO,MATCH($C4143,CAT_NOME,0)),"Sem categoria"))</f>
        <v/>
      </c>
      <c r="F4143" s="76" t="n"/>
      <c r="G4143" s="74" t="n"/>
      <c r="H4143" s="74" t="n"/>
      <c r="I4143" s="74" t="n"/>
      <c r="J4143" s="77" t="n"/>
      <c r="K4143" s="77" t="n"/>
      <c r="L4143" s="74" t="n"/>
      <c r="M4143" s="74" t="n"/>
      <c r="O4143" s="78">
        <f>IF($A4143="","",YEAR($A4143)*100+MONTH($A4143))</f>
        <v/>
      </c>
      <c r="P4143" s="79">
        <f>IF(OR($F4143="",$D4143=""),"",IF($D4143="Receita",$F4143,IF($D4143="Transferência",0,-$F4143)))</f>
        <v/>
      </c>
    </row>
    <row r="4144">
      <c r="A4144" s="73" t="n"/>
      <c r="B4144" s="74" t="n"/>
      <c r="C4144" s="74" t="n"/>
      <c r="D4144" s="75">
        <f>IF($C4144="","",IFERROR(INDEX(CAT_TIPO,MATCH($C4144,CAT_NOME,0)),"Sem categoria"))</f>
        <v/>
      </c>
      <c r="E4144" s="75">
        <f>IF($C4144="","",IFERROR(INDEX(CAT_GRUPO,MATCH($C4144,CAT_NOME,0)),"Sem categoria"))</f>
        <v/>
      </c>
      <c r="F4144" s="76" t="n"/>
      <c r="G4144" s="74" t="n"/>
      <c r="H4144" s="74" t="n"/>
      <c r="I4144" s="74" t="n"/>
      <c r="J4144" s="77" t="n"/>
      <c r="K4144" s="77" t="n"/>
      <c r="L4144" s="74" t="n"/>
      <c r="M4144" s="74" t="n"/>
      <c r="O4144" s="78">
        <f>IF($A4144="","",YEAR($A4144)*100+MONTH($A4144))</f>
        <v/>
      </c>
      <c r="P4144" s="79">
        <f>IF(OR($F4144="",$D4144=""),"",IF($D4144="Receita",$F4144,IF($D4144="Transferência",0,-$F4144)))</f>
        <v/>
      </c>
    </row>
    <row r="4145">
      <c r="A4145" s="73" t="n"/>
      <c r="B4145" s="74" t="n"/>
      <c r="C4145" s="74" t="n"/>
      <c r="D4145" s="75">
        <f>IF($C4145="","",IFERROR(INDEX(CAT_TIPO,MATCH($C4145,CAT_NOME,0)),"Sem categoria"))</f>
        <v/>
      </c>
      <c r="E4145" s="75">
        <f>IF($C4145="","",IFERROR(INDEX(CAT_GRUPO,MATCH($C4145,CAT_NOME,0)),"Sem categoria"))</f>
        <v/>
      </c>
      <c r="F4145" s="76" t="n"/>
      <c r="G4145" s="74" t="n"/>
      <c r="H4145" s="74" t="n"/>
      <c r="I4145" s="74" t="n"/>
      <c r="J4145" s="77" t="n"/>
      <c r="K4145" s="77" t="n"/>
      <c r="L4145" s="74" t="n"/>
      <c r="M4145" s="74" t="n"/>
      <c r="O4145" s="78">
        <f>IF($A4145="","",YEAR($A4145)*100+MONTH($A4145))</f>
        <v/>
      </c>
      <c r="P4145" s="79">
        <f>IF(OR($F4145="",$D4145=""),"",IF($D4145="Receita",$F4145,IF($D4145="Transferência",0,-$F4145)))</f>
        <v/>
      </c>
    </row>
    <row r="4146">
      <c r="A4146" s="73" t="n"/>
      <c r="B4146" s="74" t="n"/>
      <c r="C4146" s="74" t="n"/>
      <c r="D4146" s="75">
        <f>IF($C4146="","",IFERROR(INDEX(CAT_TIPO,MATCH($C4146,CAT_NOME,0)),"Sem categoria"))</f>
        <v/>
      </c>
      <c r="E4146" s="75">
        <f>IF($C4146="","",IFERROR(INDEX(CAT_GRUPO,MATCH($C4146,CAT_NOME,0)),"Sem categoria"))</f>
        <v/>
      </c>
      <c r="F4146" s="76" t="n"/>
      <c r="G4146" s="74" t="n"/>
      <c r="H4146" s="74" t="n"/>
      <c r="I4146" s="74" t="n"/>
      <c r="J4146" s="77" t="n"/>
      <c r="K4146" s="77" t="n"/>
      <c r="L4146" s="74" t="n"/>
      <c r="M4146" s="74" t="n"/>
      <c r="O4146" s="78">
        <f>IF($A4146="","",YEAR($A4146)*100+MONTH($A4146))</f>
        <v/>
      </c>
      <c r="P4146" s="79">
        <f>IF(OR($F4146="",$D4146=""),"",IF($D4146="Receita",$F4146,IF($D4146="Transferência",0,-$F4146)))</f>
        <v/>
      </c>
    </row>
    <row r="4147">
      <c r="A4147" s="73" t="n"/>
      <c r="B4147" s="74" t="n"/>
      <c r="C4147" s="74" t="n"/>
      <c r="D4147" s="75">
        <f>IF($C4147="","",IFERROR(INDEX(CAT_TIPO,MATCH($C4147,CAT_NOME,0)),"Sem categoria"))</f>
        <v/>
      </c>
      <c r="E4147" s="75">
        <f>IF($C4147="","",IFERROR(INDEX(CAT_GRUPO,MATCH($C4147,CAT_NOME,0)),"Sem categoria"))</f>
        <v/>
      </c>
      <c r="F4147" s="76" t="n"/>
      <c r="G4147" s="74" t="n"/>
      <c r="H4147" s="74" t="n"/>
      <c r="I4147" s="74" t="n"/>
      <c r="J4147" s="77" t="n"/>
      <c r="K4147" s="77" t="n"/>
      <c r="L4147" s="74" t="n"/>
      <c r="M4147" s="74" t="n"/>
      <c r="O4147" s="78">
        <f>IF($A4147="","",YEAR($A4147)*100+MONTH($A4147))</f>
        <v/>
      </c>
      <c r="P4147" s="79">
        <f>IF(OR($F4147="",$D4147=""),"",IF($D4147="Receita",$F4147,IF($D4147="Transferência",0,-$F4147)))</f>
        <v/>
      </c>
    </row>
    <row r="4148">
      <c r="A4148" s="73" t="n"/>
      <c r="B4148" s="74" t="n"/>
      <c r="C4148" s="74" t="n"/>
      <c r="D4148" s="75">
        <f>IF($C4148="","",IFERROR(INDEX(CAT_TIPO,MATCH($C4148,CAT_NOME,0)),"Sem categoria"))</f>
        <v/>
      </c>
      <c r="E4148" s="75">
        <f>IF($C4148="","",IFERROR(INDEX(CAT_GRUPO,MATCH($C4148,CAT_NOME,0)),"Sem categoria"))</f>
        <v/>
      </c>
      <c r="F4148" s="76" t="n"/>
      <c r="G4148" s="74" t="n"/>
      <c r="H4148" s="74" t="n"/>
      <c r="I4148" s="74" t="n"/>
      <c r="J4148" s="77" t="n"/>
      <c r="K4148" s="77" t="n"/>
      <c r="L4148" s="74" t="n"/>
      <c r="M4148" s="74" t="n"/>
      <c r="O4148" s="78">
        <f>IF($A4148="","",YEAR($A4148)*100+MONTH($A4148))</f>
        <v/>
      </c>
      <c r="P4148" s="79">
        <f>IF(OR($F4148="",$D4148=""),"",IF($D4148="Receita",$F4148,IF($D4148="Transferência",0,-$F4148)))</f>
        <v/>
      </c>
    </row>
    <row r="4149">
      <c r="A4149" s="73" t="n"/>
      <c r="B4149" s="74" t="n"/>
      <c r="C4149" s="74" t="n"/>
      <c r="D4149" s="75">
        <f>IF($C4149="","",IFERROR(INDEX(CAT_TIPO,MATCH($C4149,CAT_NOME,0)),"Sem categoria"))</f>
        <v/>
      </c>
      <c r="E4149" s="75">
        <f>IF($C4149="","",IFERROR(INDEX(CAT_GRUPO,MATCH($C4149,CAT_NOME,0)),"Sem categoria"))</f>
        <v/>
      </c>
      <c r="F4149" s="76" t="n"/>
      <c r="G4149" s="74" t="n"/>
      <c r="H4149" s="74" t="n"/>
      <c r="I4149" s="74" t="n"/>
      <c r="J4149" s="77" t="n"/>
      <c r="K4149" s="77" t="n"/>
      <c r="L4149" s="74" t="n"/>
      <c r="M4149" s="74" t="n"/>
      <c r="O4149" s="78">
        <f>IF($A4149="","",YEAR($A4149)*100+MONTH($A4149))</f>
        <v/>
      </c>
      <c r="P4149" s="79">
        <f>IF(OR($F4149="",$D4149=""),"",IF($D4149="Receita",$F4149,IF($D4149="Transferência",0,-$F4149)))</f>
        <v/>
      </c>
    </row>
    <row r="4150">
      <c r="A4150" s="73" t="n"/>
      <c r="B4150" s="74" t="n"/>
      <c r="C4150" s="74" t="n"/>
      <c r="D4150" s="75">
        <f>IF($C4150="","",IFERROR(INDEX(CAT_TIPO,MATCH($C4150,CAT_NOME,0)),"Sem categoria"))</f>
        <v/>
      </c>
      <c r="E4150" s="75">
        <f>IF($C4150="","",IFERROR(INDEX(CAT_GRUPO,MATCH($C4150,CAT_NOME,0)),"Sem categoria"))</f>
        <v/>
      </c>
      <c r="F4150" s="76" t="n"/>
      <c r="G4150" s="74" t="n"/>
      <c r="H4150" s="74" t="n"/>
      <c r="I4150" s="74" t="n"/>
      <c r="J4150" s="77" t="n"/>
      <c r="K4150" s="77" t="n"/>
      <c r="L4150" s="74" t="n"/>
      <c r="M4150" s="74" t="n"/>
      <c r="O4150" s="78">
        <f>IF($A4150="","",YEAR($A4150)*100+MONTH($A4150))</f>
        <v/>
      </c>
      <c r="P4150" s="79">
        <f>IF(OR($F4150="",$D4150=""),"",IF($D4150="Receita",$F4150,IF($D4150="Transferência",0,-$F4150)))</f>
        <v/>
      </c>
    </row>
    <row r="4151">
      <c r="A4151" s="73" t="n"/>
      <c r="B4151" s="74" t="n"/>
      <c r="C4151" s="74" t="n"/>
      <c r="D4151" s="75">
        <f>IF($C4151="","",IFERROR(INDEX(CAT_TIPO,MATCH($C4151,CAT_NOME,0)),"Sem categoria"))</f>
        <v/>
      </c>
      <c r="E4151" s="75">
        <f>IF($C4151="","",IFERROR(INDEX(CAT_GRUPO,MATCH($C4151,CAT_NOME,0)),"Sem categoria"))</f>
        <v/>
      </c>
      <c r="F4151" s="76" t="n"/>
      <c r="G4151" s="74" t="n"/>
      <c r="H4151" s="74" t="n"/>
      <c r="I4151" s="74" t="n"/>
      <c r="J4151" s="77" t="n"/>
      <c r="K4151" s="77" t="n"/>
      <c r="L4151" s="74" t="n"/>
      <c r="M4151" s="74" t="n"/>
      <c r="O4151" s="78">
        <f>IF($A4151="","",YEAR($A4151)*100+MONTH($A4151))</f>
        <v/>
      </c>
      <c r="P4151" s="79">
        <f>IF(OR($F4151="",$D4151=""),"",IF($D4151="Receita",$F4151,IF($D4151="Transferência",0,-$F4151)))</f>
        <v/>
      </c>
    </row>
    <row r="4152">
      <c r="A4152" s="73" t="n"/>
      <c r="B4152" s="74" t="n"/>
      <c r="C4152" s="74" t="n"/>
      <c r="D4152" s="75">
        <f>IF($C4152="","",IFERROR(INDEX(CAT_TIPO,MATCH($C4152,CAT_NOME,0)),"Sem categoria"))</f>
        <v/>
      </c>
      <c r="E4152" s="75">
        <f>IF($C4152="","",IFERROR(INDEX(CAT_GRUPO,MATCH($C4152,CAT_NOME,0)),"Sem categoria"))</f>
        <v/>
      </c>
      <c r="F4152" s="76" t="n"/>
      <c r="G4152" s="74" t="n"/>
      <c r="H4152" s="74" t="n"/>
      <c r="I4152" s="74" t="n"/>
      <c r="J4152" s="77" t="n"/>
      <c r="K4152" s="77" t="n"/>
      <c r="L4152" s="74" t="n"/>
      <c r="M4152" s="74" t="n"/>
      <c r="O4152" s="78">
        <f>IF($A4152="","",YEAR($A4152)*100+MONTH($A4152))</f>
        <v/>
      </c>
      <c r="P4152" s="79">
        <f>IF(OR($F4152="",$D4152=""),"",IF($D4152="Receita",$F4152,IF($D4152="Transferência",0,-$F4152)))</f>
        <v/>
      </c>
    </row>
    <row r="4153">
      <c r="A4153" s="73" t="n"/>
      <c r="B4153" s="74" t="n"/>
      <c r="C4153" s="74" t="n"/>
      <c r="D4153" s="75">
        <f>IF($C4153="","",IFERROR(INDEX(CAT_TIPO,MATCH($C4153,CAT_NOME,0)),"Sem categoria"))</f>
        <v/>
      </c>
      <c r="E4153" s="75">
        <f>IF($C4153="","",IFERROR(INDEX(CAT_GRUPO,MATCH($C4153,CAT_NOME,0)),"Sem categoria"))</f>
        <v/>
      </c>
      <c r="F4153" s="76" t="n"/>
      <c r="G4153" s="74" t="n"/>
      <c r="H4153" s="74" t="n"/>
      <c r="I4153" s="74" t="n"/>
      <c r="J4153" s="77" t="n"/>
      <c r="K4153" s="77" t="n"/>
      <c r="L4153" s="74" t="n"/>
      <c r="M4153" s="74" t="n"/>
      <c r="O4153" s="78">
        <f>IF($A4153="","",YEAR($A4153)*100+MONTH($A4153))</f>
        <v/>
      </c>
      <c r="P4153" s="79">
        <f>IF(OR($F4153="",$D4153=""),"",IF($D4153="Receita",$F4153,IF($D4153="Transferência",0,-$F4153)))</f>
        <v/>
      </c>
    </row>
    <row r="4154">
      <c r="A4154" s="73" t="n"/>
      <c r="B4154" s="74" t="n"/>
      <c r="C4154" s="74" t="n"/>
      <c r="D4154" s="75">
        <f>IF($C4154="","",IFERROR(INDEX(CAT_TIPO,MATCH($C4154,CAT_NOME,0)),"Sem categoria"))</f>
        <v/>
      </c>
      <c r="E4154" s="75">
        <f>IF($C4154="","",IFERROR(INDEX(CAT_GRUPO,MATCH($C4154,CAT_NOME,0)),"Sem categoria"))</f>
        <v/>
      </c>
      <c r="F4154" s="76" t="n"/>
      <c r="G4154" s="74" t="n"/>
      <c r="H4154" s="74" t="n"/>
      <c r="I4154" s="74" t="n"/>
      <c r="J4154" s="77" t="n"/>
      <c r="K4154" s="77" t="n"/>
      <c r="L4154" s="74" t="n"/>
      <c r="M4154" s="74" t="n"/>
      <c r="O4154" s="78">
        <f>IF($A4154="","",YEAR($A4154)*100+MONTH($A4154))</f>
        <v/>
      </c>
      <c r="P4154" s="79">
        <f>IF(OR($F4154="",$D4154=""),"",IF($D4154="Receita",$F4154,IF($D4154="Transferência",0,-$F4154)))</f>
        <v/>
      </c>
    </row>
    <row r="4155">
      <c r="A4155" s="73" t="n"/>
      <c r="B4155" s="74" t="n"/>
      <c r="C4155" s="74" t="n"/>
      <c r="D4155" s="75">
        <f>IF($C4155="","",IFERROR(INDEX(CAT_TIPO,MATCH($C4155,CAT_NOME,0)),"Sem categoria"))</f>
        <v/>
      </c>
      <c r="E4155" s="75">
        <f>IF($C4155="","",IFERROR(INDEX(CAT_GRUPO,MATCH($C4155,CAT_NOME,0)),"Sem categoria"))</f>
        <v/>
      </c>
      <c r="F4155" s="76" t="n"/>
      <c r="G4155" s="74" t="n"/>
      <c r="H4155" s="74" t="n"/>
      <c r="I4155" s="74" t="n"/>
      <c r="J4155" s="77" t="n"/>
      <c r="K4155" s="77" t="n"/>
      <c r="L4155" s="74" t="n"/>
      <c r="M4155" s="74" t="n"/>
      <c r="O4155" s="78">
        <f>IF($A4155="","",YEAR($A4155)*100+MONTH($A4155))</f>
        <v/>
      </c>
      <c r="P4155" s="79">
        <f>IF(OR($F4155="",$D4155=""),"",IF($D4155="Receita",$F4155,IF($D4155="Transferência",0,-$F4155)))</f>
        <v/>
      </c>
    </row>
    <row r="4156">
      <c r="A4156" s="73" t="n"/>
      <c r="B4156" s="74" t="n"/>
      <c r="C4156" s="74" t="n"/>
      <c r="D4156" s="75">
        <f>IF($C4156="","",IFERROR(INDEX(CAT_TIPO,MATCH($C4156,CAT_NOME,0)),"Sem categoria"))</f>
        <v/>
      </c>
      <c r="E4156" s="75">
        <f>IF($C4156="","",IFERROR(INDEX(CAT_GRUPO,MATCH($C4156,CAT_NOME,0)),"Sem categoria"))</f>
        <v/>
      </c>
      <c r="F4156" s="76" t="n"/>
      <c r="G4156" s="74" t="n"/>
      <c r="H4156" s="74" t="n"/>
      <c r="I4156" s="74" t="n"/>
      <c r="J4156" s="77" t="n"/>
      <c r="K4156" s="77" t="n"/>
      <c r="L4156" s="74" t="n"/>
      <c r="M4156" s="74" t="n"/>
      <c r="O4156" s="78">
        <f>IF($A4156="","",YEAR($A4156)*100+MONTH($A4156))</f>
        <v/>
      </c>
      <c r="P4156" s="79">
        <f>IF(OR($F4156="",$D4156=""),"",IF($D4156="Receita",$F4156,IF($D4156="Transferência",0,-$F4156)))</f>
        <v/>
      </c>
    </row>
    <row r="4157">
      <c r="A4157" s="73" t="n"/>
      <c r="B4157" s="74" t="n"/>
      <c r="C4157" s="74" t="n"/>
      <c r="D4157" s="75">
        <f>IF($C4157="","",IFERROR(INDEX(CAT_TIPO,MATCH($C4157,CAT_NOME,0)),"Sem categoria"))</f>
        <v/>
      </c>
      <c r="E4157" s="75">
        <f>IF($C4157="","",IFERROR(INDEX(CAT_GRUPO,MATCH($C4157,CAT_NOME,0)),"Sem categoria"))</f>
        <v/>
      </c>
      <c r="F4157" s="76" t="n"/>
      <c r="G4157" s="74" t="n"/>
      <c r="H4157" s="74" t="n"/>
      <c r="I4157" s="74" t="n"/>
      <c r="J4157" s="77" t="n"/>
      <c r="K4157" s="77" t="n"/>
      <c r="L4157" s="74" t="n"/>
      <c r="M4157" s="74" t="n"/>
      <c r="O4157" s="78">
        <f>IF($A4157="","",YEAR($A4157)*100+MONTH($A4157))</f>
        <v/>
      </c>
      <c r="P4157" s="79">
        <f>IF(OR($F4157="",$D4157=""),"",IF($D4157="Receita",$F4157,IF($D4157="Transferência",0,-$F4157)))</f>
        <v/>
      </c>
    </row>
    <row r="4158">
      <c r="A4158" s="73" t="n"/>
      <c r="B4158" s="74" t="n"/>
      <c r="C4158" s="74" t="n"/>
      <c r="D4158" s="75">
        <f>IF($C4158="","",IFERROR(INDEX(CAT_TIPO,MATCH($C4158,CAT_NOME,0)),"Sem categoria"))</f>
        <v/>
      </c>
      <c r="E4158" s="75">
        <f>IF($C4158="","",IFERROR(INDEX(CAT_GRUPO,MATCH($C4158,CAT_NOME,0)),"Sem categoria"))</f>
        <v/>
      </c>
      <c r="F4158" s="76" t="n"/>
      <c r="G4158" s="74" t="n"/>
      <c r="H4158" s="74" t="n"/>
      <c r="I4158" s="74" t="n"/>
      <c r="J4158" s="77" t="n"/>
      <c r="K4158" s="77" t="n"/>
      <c r="L4158" s="74" t="n"/>
      <c r="M4158" s="74" t="n"/>
      <c r="O4158" s="78">
        <f>IF($A4158="","",YEAR($A4158)*100+MONTH($A4158))</f>
        <v/>
      </c>
      <c r="P4158" s="79">
        <f>IF(OR($F4158="",$D4158=""),"",IF($D4158="Receita",$F4158,IF($D4158="Transferência",0,-$F4158)))</f>
        <v/>
      </c>
    </row>
    <row r="4159">
      <c r="A4159" s="73" t="n"/>
      <c r="B4159" s="74" t="n"/>
      <c r="C4159" s="74" t="n"/>
      <c r="D4159" s="75">
        <f>IF($C4159="","",IFERROR(INDEX(CAT_TIPO,MATCH($C4159,CAT_NOME,0)),"Sem categoria"))</f>
        <v/>
      </c>
      <c r="E4159" s="75">
        <f>IF($C4159="","",IFERROR(INDEX(CAT_GRUPO,MATCH($C4159,CAT_NOME,0)),"Sem categoria"))</f>
        <v/>
      </c>
      <c r="F4159" s="76" t="n"/>
      <c r="G4159" s="74" t="n"/>
      <c r="H4159" s="74" t="n"/>
      <c r="I4159" s="74" t="n"/>
      <c r="J4159" s="77" t="n"/>
      <c r="K4159" s="77" t="n"/>
      <c r="L4159" s="74" t="n"/>
      <c r="M4159" s="74" t="n"/>
      <c r="O4159" s="78">
        <f>IF($A4159="","",YEAR($A4159)*100+MONTH($A4159))</f>
        <v/>
      </c>
      <c r="P4159" s="79">
        <f>IF(OR($F4159="",$D4159=""),"",IF($D4159="Receita",$F4159,IF($D4159="Transferência",0,-$F4159)))</f>
        <v/>
      </c>
    </row>
    <row r="4160">
      <c r="A4160" s="73" t="n"/>
      <c r="B4160" s="74" t="n"/>
      <c r="C4160" s="74" t="n"/>
      <c r="D4160" s="75">
        <f>IF($C4160="","",IFERROR(INDEX(CAT_TIPO,MATCH($C4160,CAT_NOME,0)),"Sem categoria"))</f>
        <v/>
      </c>
      <c r="E4160" s="75">
        <f>IF($C4160="","",IFERROR(INDEX(CAT_GRUPO,MATCH($C4160,CAT_NOME,0)),"Sem categoria"))</f>
        <v/>
      </c>
      <c r="F4160" s="76" t="n"/>
      <c r="G4160" s="74" t="n"/>
      <c r="H4160" s="74" t="n"/>
      <c r="I4160" s="74" t="n"/>
      <c r="J4160" s="77" t="n"/>
      <c r="K4160" s="77" t="n"/>
      <c r="L4160" s="74" t="n"/>
      <c r="M4160" s="74" t="n"/>
      <c r="O4160" s="78">
        <f>IF($A4160="","",YEAR($A4160)*100+MONTH($A4160))</f>
        <v/>
      </c>
      <c r="P4160" s="79">
        <f>IF(OR($F4160="",$D4160=""),"",IF($D4160="Receita",$F4160,IF($D4160="Transferência",0,-$F4160)))</f>
        <v/>
      </c>
    </row>
    <row r="4161">
      <c r="A4161" s="73" t="n"/>
      <c r="B4161" s="74" t="n"/>
      <c r="C4161" s="74" t="n"/>
      <c r="D4161" s="75">
        <f>IF($C4161="","",IFERROR(INDEX(CAT_TIPO,MATCH($C4161,CAT_NOME,0)),"Sem categoria"))</f>
        <v/>
      </c>
      <c r="E4161" s="75">
        <f>IF($C4161="","",IFERROR(INDEX(CAT_GRUPO,MATCH($C4161,CAT_NOME,0)),"Sem categoria"))</f>
        <v/>
      </c>
      <c r="F4161" s="76" t="n"/>
      <c r="G4161" s="74" t="n"/>
      <c r="H4161" s="74" t="n"/>
      <c r="I4161" s="74" t="n"/>
      <c r="J4161" s="77" t="n"/>
      <c r="K4161" s="77" t="n"/>
      <c r="L4161" s="74" t="n"/>
      <c r="M4161" s="74" t="n"/>
      <c r="O4161" s="78">
        <f>IF($A4161="","",YEAR($A4161)*100+MONTH($A4161))</f>
        <v/>
      </c>
      <c r="P4161" s="79">
        <f>IF(OR($F4161="",$D4161=""),"",IF($D4161="Receita",$F4161,IF($D4161="Transferência",0,-$F4161)))</f>
        <v/>
      </c>
    </row>
    <row r="4162">
      <c r="A4162" s="73" t="n"/>
      <c r="B4162" s="74" t="n"/>
      <c r="C4162" s="74" t="n"/>
      <c r="D4162" s="75">
        <f>IF($C4162="","",IFERROR(INDEX(CAT_TIPO,MATCH($C4162,CAT_NOME,0)),"Sem categoria"))</f>
        <v/>
      </c>
      <c r="E4162" s="75">
        <f>IF($C4162="","",IFERROR(INDEX(CAT_GRUPO,MATCH($C4162,CAT_NOME,0)),"Sem categoria"))</f>
        <v/>
      </c>
      <c r="F4162" s="76" t="n"/>
      <c r="G4162" s="74" t="n"/>
      <c r="H4162" s="74" t="n"/>
      <c r="I4162" s="74" t="n"/>
      <c r="J4162" s="77" t="n"/>
      <c r="K4162" s="77" t="n"/>
      <c r="L4162" s="74" t="n"/>
      <c r="M4162" s="74" t="n"/>
      <c r="O4162" s="78">
        <f>IF($A4162="","",YEAR($A4162)*100+MONTH($A4162))</f>
        <v/>
      </c>
      <c r="P4162" s="79">
        <f>IF(OR($F4162="",$D4162=""),"",IF($D4162="Receita",$F4162,IF($D4162="Transferência",0,-$F4162)))</f>
        <v/>
      </c>
    </row>
    <row r="4163">
      <c r="A4163" s="73" t="n"/>
      <c r="B4163" s="74" t="n"/>
      <c r="C4163" s="74" t="n"/>
      <c r="D4163" s="75">
        <f>IF($C4163="","",IFERROR(INDEX(CAT_TIPO,MATCH($C4163,CAT_NOME,0)),"Sem categoria"))</f>
        <v/>
      </c>
      <c r="E4163" s="75">
        <f>IF($C4163="","",IFERROR(INDEX(CAT_GRUPO,MATCH($C4163,CAT_NOME,0)),"Sem categoria"))</f>
        <v/>
      </c>
      <c r="F4163" s="76" t="n"/>
      <c r="G4163" s="74" t="n"/>
      <c r="H4163" s="74" t="n"/>
      <c r="I4163" s="74" t="n"/>
      <c r="J4163" s="77" t="n"/>
      <c r="K4163" s="77" t="n"/>
      <c r="L4163" s="74" t="n"/>
      <c r="M4163" s="74" t="n"/>
      <c r="O4163" s="78">
        <f>IF($A4163="","",YEAR($A4163)*100+MONTH($A4163))</f>
        <v/>
      </c>
      <c r="P4163" s="79">
        <f>IF(OR($F4163="",$D4163=""),"",IF($D4163="Receita",$F4163,IF($D4163="Transferência",0,-$F4163)))</f>
        <v/>
      </c>
    </row>
    <row r="4164">
      <c r="A4164" s="73" t="n"/>
      <c r="B4164" s="74" t="n"/>
      <c r="C4164" s="74" t="n"/>
      <c r="D4164" s="75">
        <f>IF($C4164="","",IFERROR(INDEX(CAT_TIPO,MATCH($C4164,CAT_NOME,0)),"Sem categoria"))</f>
        <v/>
      </c>
      <c r="E4164" s="75">
        <f>IF($C4164="","",IFERROR(INDEX(CAT_GRUPO,MATCH($C4164,CAT_NOME,0)),"Sem categoria"))</f>
        <v/>
      </c>
      <c r="F4164" s="76" t="n"/>
      <c r="G4164" s="74" t="n"/>
      <c r="H4164" s="74" t="n"/>
      <c r="I4164" s="74" t="n"/>
      <c r="J4164" s="77" t="n"/>
      <c r="K4164" s="77" t="n"/>
      <c r="L4164" s="74" t="n"/>
      <c r="M4164" s="74" t="n"/>
      <c r="O4164" s="78">
        <f>IF($A4164="","",YEAR($A4164)*100+MONTH($A4164))</f>
        <v/>
      </c>
      <c r="P4164" s="79">
        <f>IF(OR($F4164="",$D4164=""),"",IF($D4164="Receita",$F4164,IF($D4164="Transferência",0,-$F4164)))</f>
        <v/>
      </c>
    </row>
    <row r="4165">
      <c r="A4165" s="73" t="n"/>
      <c r="B4165" s="74" t="n"/>
      <c r="C4165" s="74" t="n"/>
      <c r="D4165" s="75">
        <f>IF($C4165="","",IFERROR(INDEX(CAT_TIPO,MATCH($C4165,CAT_NOME,0)),"Sem categoria"))</f>
        <v/>
      </c>
      <c r="E4165" s="75">
        <f>IF($C4165="","",IFERROR(INDEX(CAT_GRUPO,MATCH($C4165,CAT_NOME,0)),"Sem categoria"))</f>
        <v/>
      </c>
      <c r="F4165" s="76" t="n"/>
      <c r="G4165" s="74" t="n"/>
      <c r="H4165" s="74" t="n"/>
      <c r="I4165" s="74" t="n"/>
      <c r="J4165" s="77" t="n"/>
      <c r="K4165" s="77" t="n"/>
      <c r="L4165" s="74" t="n"/>
      <c r="M4165" s="74" t="n"/>
      <c r="O4165" s="78">
        <f>IF($A4165="","",YEAR($A4165)*100+MONTH($A4165))</f>
        <v/>
      </c>
      <c r="P4165" s="79">
        <f>IF(OR($F4165="",$D4165=""),"",IF($D4165="Receita",$F4165,IF($D4165="Transferência",0,-$F4165)))</f>
        <v/>
      </c>
    </row>
    <row r="4166">
      <c r="A4166" s="73" t="n"/>
      <c r="B4166" s="74" t="n"/>
      <c r="C4166" s="74" t="n"/>
      <c r="D4166" s="75">
        <f>IF($C4166="","",IFERROR(INDEX(CAT_TIPO,MATCH($C4166,CAT_NOME,0)),"Sem categoria"))</f>
        <v/>
      </c>
      <c r="E4166" s="75">
        <f>IF($C4166="","",IFERROR(INDEX(CAT_GRUPO,MATCH($C4166,CAT_NOME,0)),"Sem categoria"))</f>
        <v/>
      </c>
      <c r="F4166" s="76" t="n"/>
      <c r="G4166" s="74" t="n"/>
      <c r="H4166" s="74" t="n"/>
      <c r="I4166" s="74" t="n"/>
      <c r="J4166" s="77" t="n"/>
      <c r="K4166" s="77" t="n"/>
      <c r="L4166" s="74" t="n"/>
      <c r="M4166" s="74" t="n"/>
      <c r="O4166" s="78">
        <f>IF($A4166="","",YEAR($A4166)*100+MONTH($A4166))</f>
        <v/>
      </c>
      <c r="P4166" s="79">
        <f>IF(OR($F4166="",$D4166=""),"",IF($D4166="Receita",$F4166,IF($D4166="Transferência",0,-$F4166)))</f>
        <v/>
      </c>
    </row>
    <row r="4167">
      <c r="A4167" s="73" t="n"/>
      <c r="B4167" s="74" t="n"/>
      <c r="C4167" s="74" t="n"/>
      <c r="D4167" s="75">
        <f>IF($C4167="","",IFERROR(INDEX(CAT_TIPO,MATCH($C4167,CAT_NOME,0)),"Sem categoria"))</f>
        <v/>
      </c>
      <c r="E4167" s="75">
        <f>IF($C4167="","",IFERROR(INDEX(CAT_GRUPO,MATCH($C4167,CAT_NOME,0)),"Sem categoria"))</f>
        <v/>
      </c>
      <c r="F4167" s="76" t="n"/>
      <c r="G4167" s="74" t="n"/>
      <c r="H4167" s="74" t="n"/>
      <c r="I4167" s="74" t="n"/>
      <c r="J4167" s="77" t="n"/>
      <c r="K4167" s="77" t="n"/>
      <c r="L4167" s="74" t="n"/>
      <c r="M4167" s="74" t="n"/>
      <c r="O4167" s="78">
        <f>IF($A4167="","",YEAR($A4167)*100+MONTH($A4167))</f>
        <v/>
      </c>
      <c r="P4167" s="79">
        <f>IF(OR($F4167="",$D4167=""),"",IF($D4167="Receita",$F4167,IF($D4167="Transferência",0,-$F4167)))</f>
        <v/>
      </c>
    </row>
    <row r="4168">
      <c r="A4168" s="73" t="n"/>
      <c r="B4168" s="74" t="n"/>
      <c r="C4168" s="74" t="n"/>
      <c r="D4168" s="75">
        <f>IF($C4168="","",IFERROR(INDEX(CAT_TIPO,MATCH($C4168,CAT_NOME,0)),"Sem categoria"))</f>
        <v/>
      </c>
      <c r="E4168" s="75">
        <f>IF($C4168="","",IFERROR(INDEX(CAT_GRUPO,MATCH($C4168,CAT_NOME,0)),"Sem categoria"))</f>
        <v/>
      </c>
      <c r="F4168" s="76" t="n"/>
      <c r="G4168" s="74" t="n"/>
      <c r="H4168" s="74" t="n"/>
      <c r="I4168" s="74" t="n"/>
      <c r="J4168" s="77" t="n"/>
      <c r="K4168" s="77" t="n"/>
      <c r="L4168" s="74" t="n"/>
      <c r="M4168" s="74" t="n"/>
      <c r="O4168" s="78">
        <f>IF($A4168="","",YEAR($A4168)*100+MONTH($A4168))</f>
        <v/>
      </c>
      <c r="P4168" s="79">
        <f>IF(OR($F4168="",$D4168=""),"",IF($D4168="Receita",$F4168,IF($D4168="Transferência",0,-$F4168)))</f>
        <v/>
      </c>
    </row>
    <row r="4169">
      <c r="A4169" s="73" t="n"/>
      <c r="B4169" s="74" t="n"/>
      <c r="C4169" s="74" t="n"/>
      <c r="D4169" s="75">
        <f>IF($C4169="","",IFERROR(INDEX(CAT_TIPO,MATCH($C4169,CAT_NOME,0)),"Sem categoria"))</f>
        <v/>
      </c>
      <c r="E4169" s="75">
        <f>IF($C4169="","",IFERROR(INDEX(CAT_GRUPO,MATCH($C4169,CAT_NOME,0)),"Sem categoria"))</f>
        <v/>
      </c>
      <c r="F4169" s="76" t="n"/>
      <c r="G4169" s="74" t="n"/>
      <c r="H4169" s="74" t="n"/>
      <c r="I4169" s="74" t="n"/>
      <c r="J4169" s="77" t="n"/>
      <c r="K4169" s="77" t="n"/>
      <c r="L4169" s="74" t="n"/>
      <c r="M4169" s="74" t="n"/>
      <c r="O4169" s="78">
        <f>IF($A4169="","",YEAR($A4169)*100+MONTH($A4169))</f>
        <v/>
      </c>
      <c r="P4169" s="79">
        <f>IF(OR($F4169="",$D4169=""),"",IF($D4169="Receita",$F4169,IF($D4169="Transferência",0,-$F4169)))</f>
        <v/>
      </c>
    </row>
    <row r="4170">
      <c r="A4170" s="73" t="n"/>
      <c r="B4170" s="74" t="n"/>
      <c r="C4170" s="74" t="n"/>
      <c r="D4170" s="75">
        <f>IF($C4170="","",IFERROR(INDEX(CAT_TIPO,MATCH($C4170,CAT_NOME,0)),"Sem categoria"))</f>
        <v/>
      </c>
      <c r="E4170" s="75">
        <f>IF($C4170="","",IFERROR(INDEX(CAT_GRUPO,MATCH($C4170,CAT_NOME,0)),"Sem categoria"))</f>
        <v/>
      </c>
      <c r="F4170" s="76" t="n"/>
      <c r="G4170" s="74" t="n"/>
      <c r="H4170" s="74" t="n"/>
      <c r="I4170" s="74" t="n"/>
      <c r="J4170" s="77" t="n"/>
      <c r="K4170" s="77" t="n"/>
      <c r="L4170" s="74" t="n"/>
      <c r="M4170" s="74" t="n"/>
      <c r="O4170" s="78">
        <f>IF($A4170="","",YEAR($A4170)*100+MONTH($A4170))</f>
        <v/>
      </c>
      <c r="P4170" s="79">
        <f>IF(OR($F4170="",$D4170=""),"",IF($D4170="Receita",$F4170,IF($D4170="Transferência",0,-$F4170)))</f>
        <v/>
      </c>
    </row>
    <row r="4171">
      <c r="A4171" s="73" t="n"/>
      <c r="B4171" s="74" t="n"/>
      <c r="C4171" s="74" t="n"/>
      <c r="D4171" s="75">
        <f>IF($C4171="","",IFERROR(INDEX(CAT_TIPO,MATCH($C4171,CAT_NOME,0)),"Sem categoria"))</f>
        <v/>
      </c>
      <c r="E4171" s="75">
        <f>IF($C4171="","",IFERROR(INDEX(CAT_GRUPO,MATCH($C4171,CAT_NOME,0)),"Sem categoria"))</f>
        <v/>
      </c>
      <c r="F4171" s="76" t="n"/>
      <c r="G4171" s="74" t="n"/>
      <c r="H4171" s="74" t="n"/>
      <c r="I4171" s="74" t="n"/>
      <c r="J4171" s="77" t="n"/>
      <c r="K4171" s="77" t="n"/>
      <c r="L4171" s="74" t="n"/>
      <c r="M4171" s="74" t="n"/>
      <c r="O4171" s="78">
        <f>IF($A4171="","",YEAR($A4171)*100+MONTH($A4171))</f>
        <v/>
      </c>
      <c r="P4171" s="79">
        <f>IF(OR($F4171="",$D4171=""),"",IF($D4171="Receita",$F4171,IF($D4171="Transferência",0,-$F4171)))</f>
        <v/>
      </c>
    </row>
    <row r="4172">
      <c r="A4172" s="73" t="n"/>
      <c r="B4172" s="74" t="n"/>
      <c r="C4172" s="74" t="n"/>
      <c r="D4172" s="75">
        <f>IF($C4172="","",IFERROR(INDEX(CAT_TIPO,MATCH($C4172,CAT_NOME,0)),"Sem categoria"))</f>
        <v/>
      </c>
      <c r="E4172" s="75">
        <f>IF($C4172="","",IFERROR(INDEX(CAT_GRUPO,MATCH($C4172,CAT_NOME,0)),"Sem categoria"))</f>
        <v/>
      </c>
      <c r="F4172" s="76" t="n"/>
      <c r="G4172" s="74" t="n"/>
      <c r="H4172" s="74" t="n"/>
      <c r="I4172" s="74" t="n"/>
      <c r="J4172" s="77" t="n"/>
      <c r="K4172" s="77" t="n"/>
      <c r="L4172" s="74" t="n"/>
      <c r="M4172" s="74" t="n"/>
      <c r="O4172" s="78">
        <f>IF($A4172="","",YEAR($A4172)*100+MONTH($A4172))</f>
        <v/>
      </c>
      <c r="P4172" s="79">
        <f>IF(OR($F4172="",$D4172=""),"",IF($D4172="Receita",$F4172,IF($D4172="Transferência",0,-$F4172)))</f>
        <v/>
      </c>
    </row>
    <row r="4173">
      <c r="A4173" s="73" t="n"/>
      <c r="B4173" s="74" t="n"/>
      <c r="C4173" s="74" t="n"/>
      <c r="D4173" s="75">
        <f>IF($C4173="","",IFERROR(INDEX(CAT_TIPO,MATCH($C4173,CAT_NOME,0)),"Sem categoria"))</f>
        <v/>
      </c>
      <c r="E4173" s="75">
        <f>IF($C4173="","",IFERROR(INDEX(CAT_GRUPO,MATCH($C4173,CAT_NOME,0)),"Sem categoria"))</f>
        <v/>
      </c>
      <c r="F4173" s="76" t="n"/>
      <c r="G4173" s="74" t="n"/>
      <c r="H4173" s="74" t="n"/>
      <c r="I4173" s="74" t="n"/>
      <c r="J4173" s="77" t="n"/>
      <c r="K4173" s="77" t="n"/>
      <c r="L4173" s="74" t="n"/>
      <c r="M4173" s="74" t="n"/>
      <c r="O4173" s="78">
        <f>IF($A4173="","",YEAR($A4173)*100+MONTH($A4173))</f>
        <v/>
      </c>
      <c r="P4173" s="79">
        <f>IF(OR($F4173="",$D4173=""),"",IF($D4173="Receita",$F4173,IF($D4173="Transferência",0,-$F4173)))</f>
        <v/>
      </c>
    </row>
    <row r="4174">
      <c r="A4174" s="73" t="n"/>
      <c r="B4174" s="74" t="n"/>
      <c r="C4174" s="74" t="n"/>
      <c r="D4174" s="75">
        <f>IF($C4174="","",IFERROR(INDEX(CAT_TIPO,MATCH($C4174,CAT_NOME,0)),"Sem categoria"))</f>
        <v/>
      </c>
      <c r="E4174" s="75">
        <f>IF($C4174="","",IFERROR(INDEX(CAT_GRUPO,MATCH($C4174,CAT_NOME,0)),"Sem categoria"))</f>
        <v/>
      </c>
      <c r="F4174" s="76" t="n"/>
      <c r="G4174" s="74" t="n"/>
      <c r="H4174" s="74" t="n"/>
      <c r="I4174" s="74" t="n"/>
      <c r="J4174" s="77" t="n"/>
      <c r="K4174" s="77" t="n"/>
      <c r="L4174" s="74" t="n"/>
      <c r="M4174" s="74" t="n"/>
      <c r="O4174" s="78">
        <f>IF($A4174="","",YEAR($A4174)*100+MONTH($A4174))</f>
        <v/>
      </c>
      <c r="P4174" s="79">
        <f>IF(OR($F4174="",$D4174=""),"",IF($D4174="Receita",$F4174,IF($D4174="Transferência",0,-$F4174)))</f>
        <v/>
      </c>
    </row>
    <row r="4175">
      <c r="A4175" s="73" t="n"/>
      <c r="B4175" s="74" t="n"/>
      <c r="C4175" s="74" t="n"/>
      <c r="D4175" s="75">
        <f>IF($C4175="","",IFERROR(INDEX(CAT_TIPO,MATCH($C4175,CAT_NOME,0)),"Sem categoria"))</f>
        <v/>
      </c>
      <c r="E4175" s="75">
        <f>IF($C4175="","",IFERROR(INDEX(CAT_GRUPO,MATCH($C4175,CAT_NOME,0)),"Sem categoria"))</f>
        <v/>
      </c>
      <c r="F4175" s="76" t="n"/>
      <c r="G4175" s="74" t="n"/>
      <c r="H4175" s="74" t="n"/>
      <c r="I4175" s="74" t="n"/>
      <c r="J4175" s="77" t="n"/>
      <c r="K4175" s="77" t="n"/>
      <c r="L4175" s="74" t="n"/>
      <c r="M4175" s="74" t="n"/>
      <c r="O4175" s="78">
        <f>IF($A4175="","",YEAR($A4175)*100+MONTH($A4175))</f>
        <v/>
      </c>
      <c r="P4175" s="79">
        <f>IF(OR($F4175="",$D4175=""),"",IF($D4175="Receita",$F4175,IF($D4175="Transferência",0,-$F4175)))</f>
        <v/>
      </c>
    </row>
    <row r="4176">
      <c r="A4176" s="73" t="n"/>
      <c r="B4176" s="74" t="n"/>
      <c r="C4176" s="74" t="n"/>
      <c r="D4176" s="75">
        <f>IF($C4176="","",IFERROR(INDEX(CAT_TIPO,MATCH($C4176,CAT_NOME,0)),"Sem categoria"))</f>
        <v/>
      </c>
      <c r="E4176" s="75">
        <f>IF($C4176="","",IFERROR(INDEX(CAT_GRUPO,MATCH($C4176,CAT_NOME,0)),"Sem categoria"))</f>
        <v/>
      </c>
      <c r="F4176" s="76" t="n"/>
      <c r="G4176" s="74" t="n"/>
      <c r="H4176" s="74" t="n"/>
      <c r="I4176" s="74" t="n"/>
      <c r="J4176" s="77" t="n"/>
      <c r="K4176" s="77" t="n"/>
      <c r="L4176" s="74" t="n"/>
      <c r="M4176" s="74" t="n"/>
      <c r="O4176" s="78">
        <f>IF($A4176="","",YEAR($A4176)*100+MONTH($A4176))</f>
        <v/>
      </c>
      <c r="P4176" s="79">
        <f>IF(OR($F4176="",$D4176=""),"",IF($D4176="Receita",$F4176,IF($D4176="Transferência",0,-$F4176)))</f>
        <v/>
      </c>
    </row>
    <row r="4177">
      <c r="A4177" s="73" t="n"/>
      <c r="B4177" s="74" t="n"/>
      <c r="C4177" s="74" t="n"/>
      <c r="D4177" s="75">
        <f>IF($C4177="","",IFERROR(INDEX(CAT_TIPO,MATCH($C4177,CAT_NOME,0)),"Sem categoria"))</f>
        <v/>
      </c>
      <c r="E4177" s="75">
        <f>IF($C4177="","",IFERROR(INDEX(CAT_GRUPO,MATCH($C4177,CAT_NOME,0)),"Sem categoria"))</f>
        <v/>
      </c>
      <c r="F4177" s="76" t="n"/>
      <c r="G4177" s="74" t="n"/>
      <c r="H4177" s="74" t="n"/>
      <c r="I4177" s="74" t="n"/>
      <c r="J4177" s="77" t="n"/>
      <c r="K4177" s="77" t="n"/>
      <c r="L4177" s="74" t="n"/>
      <c r="M4177" s="74" t="n"/>
      <c r="O4177" s="78">
        <f>IF($A4177="","",YEAR($A4177)*100+MONTH($A4177))</f>
        <v/>
      </c>
      <c r="P4177" s="79">
        <f>IF(OR($F4177="",$D4177=""),"",IF($D4177="Receita",$F4177,IF($D4177="Transferência",0,-$F4177)))</f>
        <v/>
      </c>
    </row>
    <row r="4178">
      <c r="A4178" s="73" t="n"/>
      <c r="B4178" s="74" t="n"/>
      <c r="C4178" s="74" t="n"/>
      <c r="D4178" s="75">
        <f>IF($C4178="","",IFERROR(INDEX(CAT_TIPO,MATCH($C4178,CAT_NOME,0)),"Sem categoria"))</f>
        <v/>
      </c>
      <c r="E4178" s="75">
        <f>IF($C4178="","",IFERROR(INDEX(CAT_GRUPO,MATCH($C4178,CAT_NOME,0)),"Sem categoria"))</f>
        <v/>
      </c>
      <c r="F4178" s="76" t="n"/>
      <c r="G4178" s="74" t="n"/>
      <c r="H4178" s="74" t="n"/>
      <c r="I4178" s="74" t="n"/>
      <c r="J4178" s="77" t="n"/>
      <c r="K4178" s="77" t="n"/>
      <c r="L4178" s="74" t="n"/>
      <c r="M4178" s="74" t="n"/>
      <c r="O4178" s="78">
        <f>IF($A4178="","",YEAR($A4178)*100+MONTH($A4178))</f>
        <v/>
      </c>
      <c r="P4178" s="79">
        <f>IF(OR($F4178="",$D4178=""),"",IF($D4178="Receita",$F4178,IF($D4178="Transferência",0,-$F4178)))</f>
        <v/>
      </c>
    </row>
    <row r="4179">
      <c r="A4179" s="73" t="n"/>
      <c r="B4179" s="74" t="n"/>
      <c r="C4179" s="74" t="n"/>
      <c r="D4179" s="75">
        <f>IF($C4179="","",IFERROR(INDEX(CAT_TIPO,MATCH($C4179,CAT_NOME,0)),"Sem categoria"))</f>
        <v/>
      </c>
      <c r="E4179" s="75">
        <f>IF($C4179="","",IFERROR(INDEX(CAT_GRUPO,MATCH($C4179,CAT_NOME,0)),"Sem categoria"))</f>
        <v/>
      </c>
      <c r="F4179" s="76" t="n"/>
      <c r="G4179" s="74" t="n"/>
      <c r="H4179" s="74" t="n"/>
      <c r="I4179" s="74" t="n"/>
      <c r="J4179" s="77" t="n"/>
      <c r="K4179" s="77" t="n"/>
      <c r="L4179" s="74" t="n"/>
      <c r="M4179" s="74" t="n"/>
      <c r="O4179" s="78">
        <f>IF($A4179="","",YEAR($A4179)*100+MONTH($A4179))</f>
        <v/>
      </c>
      <c r="P4179" s="79">
        <f>IF(OR($F4179="",$D4179=""),"",IF($D4179="Receita",$F4179,IF($D4179="Transferência",0,-$F4179)))</f>
        <v/>
      </c>
    </row>
    <row r="4180">
      <c r="A4180" s="73" t="n"/>
      <c r="B4180" s="74" t="n"/>
      <c r="C4180" s="74" t="n"/>
      <c r="D4180" s="75">
        <f>IF($C4180="","",IFERROR(INDEX(CAT_TIPO,MATCH($C4180,CAT_NOME,0)),"Sem categoria"))</f>
        <v/>
      </c>
      <c r="E4180" s="75">
        <f>IF($C4180="","",IFERROR(INDEX(CAT_GRUPO,MATCH($C4180,CAT_NOME,0)),"Sem categoria"))</f>
        <v/>
      </c>
      <c r="F4180" s="76" t="n"/>
      <c r="G4180" s="74" t="n"/>
      <c r="H4180" s="74" t="n"/>
      <c r="I4180" s="74" t="n"/>
      <c r="J4180" s="77" t="n"/>
      <c r="K4180" s="77" t="n"/>
      <c r="L4180" s="74" t="n"/>
      <c r="M4180" s="74" t="n"/>
      <c r="O4180" s="78">
        <f>IF($A4180="","",YEAR($A4180)*100+MONTH($A4180))</f>
        <v/>
      </c>
      <c r="P4180" s="79">
        <f>IF(OR($F4180="",$D4180=""),"",IF($D4180="Receita",$F4180,IF($D4180="Transferência",0,-$F4180)))</f>
        <v/>
      </c>
    </row>
    <row r="4181">
      <c r="A4181" s="73" t="n"/>
      <c r="B4181" s="74" t="n"/>
      <c r="C4181" s="74" t="n"/>
      <c r="D4181" s="75">
        <f>IF($C4181="","",IFERROR(INDEX(CAT_TIPO,MATCH($C4181,CAT_NOME,0)),"Sem categoria"))</f>
        <v/>
      </c>
      <c r="E4181" s="75">
        <f>IF($C4181="","",IFERROR(INDEX(CAT_GRUPO,MATCH($C4181,CAT_NOME,0)),"Sem categoria"))</f>
        <v/>
      </c>
      <c r="F4181" s="76" t="n"/>
      <c r="G4181" s="74" t="n"/>
      <c r="H4181" s="74" t="n"/>
      <c r="I4181" s="74" t="n"/>
      <c r="J4181" s="77" t="n"/>
      <c r="K4181" s="77" t="n"/>
      <c r="L4181" s="74" t="n"/>
      <c r="M4181" s="74" t="n"/>
      <c r="O4181" s="78">
        <f>IF($A4181="","",YEAR($A4181)*100+MONTH($A4181))</f>
        <v/>
      </c>
      <c r="P4181" s="79">
        <f>IF(OR($F4181="",$D4181=""),"",IF($D4181="Receita",$F4181,IF($D4181="Transferência",0,-$F4181)))</f>
        <v/>
      </c>
    </row>
    <row r="4182">
      <c r="A4182" s="73" t="n"/>
      <c r="B4182" s="74" t="n"/>
      <c r="C4182" s="74" t="n"/>
      <c r="D4182" s="75">
        <f>IF($C4182="","",IFERROR(INDEX(CAT_TIPO,MATCH($C4182,CAT_NOME,0)),"Sem categoria"))</f>
        <v/>
      </c>
      <c r="E4182" s="75">
        <f>IF($C4182="","",IFERROR(INDEX(CAT_GRUPO,MATCH($C4182,CAT_NOME,0)),"Sem categoria"))</f>
        <v/>
      </c>
      <c r="F4182" s="76" t="n"/>
      <c r="G4182" s="74" t="n"/>
      <c r="H4182" s="74" t="n"/>
      <c r="I4182" s="74" t="n"/>
      <c r="J4182" s="77" t="n"/>
      <c r="K4182" s="77" t="n"/>
      <c r="L4182" s="74" t="n"/>
      <c r="M4182" s="74" t="n"/>
      <c r="O4182" s="78">
        <f>IF($A4182="","",YEAR($A4182)*100+MONTH($A4182))</f>
        <v/>
      </c>
      <c r="P4182" s="79">
        <f>IF(OR($F4182="",$D4182=""),"",IF($D4182="Receita",$F4182,IF($D4182="Transferência",0,-$F4182)))</f>
        <v/>
      </c>
    </row>
    <row r="4183">
      <c r="A4183" s="73" t="n"/>
      <c r="B4183" s="74" t="n"/>
      <c r="C4183" s="74" t="n"/>
      <c r="D4183" s="75">
        <f>IF($C4183="","",IFERROR(INDEX(CAT_TIPO,MATCH($C4183,CAT_NOME,0)),"Sem categoria"))</f>
        <v/>
      </c>
      <c r="E4183" s="75">
        <f>IF($C4183="","",IFERROR(INDEX(CAT_GRUPO,MATCH($C4183,CAT_NOME,0)),"Sem categoria"))</f>
        <v/>
      </c>
      <c r="F4183" s="76" t="n"/>
      <c r="G4183" s="74" t="n"/>
      <c r="H4183" s="74" t="n"/>
      <c r="I4183" s="74" t="n"/>
      <c r="J4183" s="77" t="n"/>
      <c r="K4183" s="77" t="n"/>
      <c r="L4183" s="74" t="n"/>
      <c r="M4183" s="74" t="n"/>
      <c r="O4183" s="78">
        <f>IF($A4183="","",YEAR($A4183)*100+MONTH($A4183))</f>
        <v/>
      </c>
      <c r="P4183" s="79">
        <f>IF(OR($F4183="",$D4183=""),"",IF($D4183="Receita",$F4183,IF($D4183="Transferência",0,-$F4183)))</f>
        <v/>
      </c>
    </row>
    <row r="4184">
      <c r="A4184" s="73" t="n"/>
      <c r="B4184" s="74" t="n"/>
      <c r="C4184" s="74" t="n"/>
      <c r="D4184" s="75">
        <f>IF($C4184="","",IFERROR(INDEX(CAT_TIPO,MATCH($C4184,CAT_NOME,0)),"Sem categoria"))</f>
        <v/>
      </c>
      <c r="E4184" s="75">
        <f>IF($C4184="","",IFERROR(INDEX(CAT_GRUPO,MATCH($C4184,CAT_NOME,0)),"Sem categoria"))</f>
        <v/>
      </c>
      <c r="F4184" s="76" t="n"/>
      <c r="G4184" s="74" t="n"/>
      <c r="H4184" s="74" t="n"/>
      <c r="I4184" s="74" t="n"/>
      <c r="J4184" s="77" t="n"/>
      <c r="K4184" s="77" t="n"/>
      <c r="L4184" s="74" t="n"/>
      <c r="M4184" s="74" t="n"/>
      <c r="O4184" s="78">
        <f>IF($A4184="","",YEAR($A4184)*100+MONTH($A4184))</f>
        <v/>
      </c>
      <c r="P4184" s="79">
        <f>IF(OR($F4184="",$D4184=""),"",IF($D4184="Receita",$F4184,IF($D4184="Transferência",0,-$F4184)))</f>
        <v/>
      </c>
    </row>
    <row r="4185">
      <c r="A4185" s="73" t="n"/>
      <c r="B4185" s="74" t="n"/>
      <c r="C4185" s="74" t="n"/>
      <c r="D4185" s="75">
        <f>IF($C4185="","",IFERROR(INDEX(CAT_TIPO,MATCH($C4185,CAT_NOME,0)),"Sem categoria"))</f>
        <v/>
      </c>
      <c r="E4185" s="75">
        <f>IF($C4185="","",IFERROR(INDEX(CAT_GRUPO,MATCH($C4185,CAT_NOME,0)),"Sem categoria"))</f>
        <v/>
      </c>
      <c r="F4185" s="76" t="n"/>
      <c r="G4185" s="74" t="n"/>
      <c r="H4185" s="74" t="n"/>
      <c r="I4185" s="74" t="n"/>
      <c r="J4185" s="77" t="n"/>
      <c r="K4185" s="77" t="n"/>
      <c r="L4185" s="74" t="n"/>
      <c r="M4185" s="74" t="n"/>
      <c r="O4185" s="78">
        <f>IF($A4185="","",YEAR($A4185)*100+MONTH($A4185))</f>
        <v/>
      </c>
      <c r="P4185" s="79">
        <f>IF(OR($F4185="",$D4185=""),"",IF($D4185="Receita",$F4185,IF($D4185="Transferência",0,-$F4185)))</f>
        <v/>
      </c>
    </row>
    <row r="4186">
      <c r="A4186" s="73" t="n"/>
      <c r="B4186" s="74" t="n"/>
      <c r="C4186" s="74" t="n"/>
      <c r="D4186" s="75">
        <f>IF($C4186="","",IFERROR(INDEX(CAT_TIPO,MATCH($C4186,CAT_NOME,0)),"Sem categoria"))</f>
        <v/>
      </c>
      <c r="E4186" s="75">
        <f>IF($C4186="","",IFERROR(INDEX(CAT_GRUPO,MATCH($C4186,CAT_NOME,0)),"Sem categoria"))</f>
        <v/>
      </c>
      <c r="F4186" s="76" t="n"/>
      <c r="G4186" s="74" t="n"/>
      <c r="H4186" s="74" t="n"/>
      <c r="I4186" s="74" t="n"/>
      <c r="J4186" s="77" t="n"/>
      <c r="K4186" s="77" t="n"/>
      <c r="L4186" s="74" t="n"/>
      <c r="M4186" s="74" t="n"/>
      <c r="O4186" s="78">
        <f>IF($A4186="","",YEAR($A4186)*100+MONTH($A4186))</f>
        <v/>
      </c>
      <c r="P4186" s="79">
        <f>IF(OR($F4186="",$D4186=""),"",IF($D4186="Receita",$F4186,IF($D4186="Transferência",0,-$F4186)))</f>
        <v/>
      </c>
    </row>
    <row r="4187">
      <c r="A4187" s="73" t="n"/>
      <c r="B4187" s="74" t="n"/>
      <c r="C4187" s="74" t="n"/>
      <c r="D4187" s="75">
        <f>IF($C4187="","",IFERROR(INDEX(CAT_TIPO,MATCH($C4187,CAT_NOME,0)),"Sem categoria"))</f>
        <v/>
      </c>
      <c r="E4187" s="75">
        <f>IF($C4187="","",IFERROR(INDEX(CAT_GRUPO,MATCH($C4187,CAT_NOME,0)),"Sem categoria"))</f>
        <v/>
      </c>
      <c r="F4187" s="76" t="n"/>
      <c r="G4187" s="74" t="n"/>
      <c r="H4187" s="74" t="n"/>
      <c r="I4187" s="74" t="n"/>
      <c r="J4187" s="77" t="n"/>
      <c r="K4187" s="77" t="n"/>
      <c r="L4187" s="74" t="n"/>
      <c r="M4187" s="74" t="n"/>
      <c r="O4187" s="78">
        <f>IF($A4187="","",YEAR($A4187)*100+MONTH($A4187))</f>
        <v/>
      </c>
      <c r="P4187" s="79">
        <f>IF(OR($F4187="",$D4187=""),"",IF($D4187="Receita",$F4187,IF($D4187="Transferência",0,-$F4187)))</f>
        <v/>
      </c>
    </row>
    <row r="4188">
      <c r="A4188" s="73" t="n"/>
      <c r="B4188" s="74" t="n"/>
      <c r="C4188" s="74" t="n"/>
      <c r="D4188" s="75">
        <f>IF($C4188="","",IFERROR(INDEX(CAT_TIPO,MATCH($C4188,CAT_NOME,0)),"Sem categoria"))</f>
        <v/>
      </c>
      <c r="E4188" s="75">
        <f>IF($C4188="","",IFERROR(INDEX(CAT_GRUPO,MATCH($C4188,CAT_NOME,0)),"Sem categoria"))</f>
        <v/>
      </c>
      <c r="F4188" s="76" t="n"/>
      <c r="G4188" s="74" t="n"/>
      <c r="H4188" s="74" t="n"/>
      <c r="I4188" s="74" t="n"/>
      <c r="J4188" s="77" t="n"/>
      <c r="K4188" s="77" t="n"/>
      <c r="L4188" s="74" t="n"/>
      <c r="M4188" s="74" t="n"/>
      <c r="O4188" s="78">
        <f>IF($A4188="","",YEAR($A4188)*100+MONTH($A4188))</f>
        <v/>
      </c>
      <c r="P4188" s="79">
        <f>IF(OR($F4188="",$D4188=""),"",IF($D4188="Receita",$F4188,IF($D4188="Transferência",0,-$F4188)))</f>
        <v/>
      </c>
    </row>
    <row r="4189">
      <c r="A4189" s="73" t="n"/>
      <c r="B4189" s="74" t="n"/>
      <c r="C4189" s="74" t="n"/>
      <c r="D4189" s="75">
        <f>IF($C4189="","",IFERROR(INDEX(CAT_TIPO,MATCH($C4189,CAT_NOME,0)),"Sem categoria"))</f>
        <v/>
      </c>
      <c r="E4189" s="75">
        <f>IF($C4189="","",IFERROR(INDEX(CAT_GRUPO,MATCH($C4189,CAT_NOME,0)),"Sem categoria"))</f>
        <v/>
      </c>
      <c r="F4189" s="76" t="n"/>
      <c r="G4189" s="74" t="n"/>
      <c r="H4189" s="74" t="n"/>
      <c r="I4189" s="74" t="n"/>
      <c r="J4189" s="77" t="n"/>
      <c r="K4189" s="77" t="n"/>
      <c r="L4189" s="74" t="n"/>
      <c r="M4189" s="74" t="n"/>
      <c r="O4189" s="78">
        <f>IF($A4189="","",YEAR($A4189)*100+MONTH($A4189))</f>
        <v/>
      </c>
      <c r="P4189" s="79">
        <f>IF(OR($F4189="",$D4189=""),"",IF($D4189="Receita",$F4189,IF($D4189="Transferência",0,-$F4189)))</f>
        <v/>
      </c>
    </row>
    <row r="4190">
      <c r="A4190" s="73" t="n"/>
      <c r="B4190" s="74" t="n"/>
      <c r="C4190" s="74" t="n"/>
      <c r="D4190" s="75">
        <f>IF($C4190="","",IFERROR(INDEX(CAT_TIPO,MATCH($C4190,CAT_NOME,0)),"Sem categoria"))</f>
        <v/>
      </c>
      <c r="E4190" s="75">
        <f>IF($C4190="","",IFERROR(INDEX(CAT_GRUPO,MATCH($C4190,CAT_NOME,0)),"Sem categoria"))</f>
        <v/>
      </c>
      <c r="F4190" s="76" t="n"/>
      <c r="G4190" s="74" t="n"/>
      <c r="H4190" s="74" t="n"/>
      <c r="I4190" s="74" t="n"/>
      <c r="J4190" s="77" t="n"/>
      <c r="K4190" s="77" t="n"/>
      <c r="L4190" s="74" t="n"/>
      <c r="M4190" s="74" t="n"/>
      <c r="O4190" s="78">
        <f>IF($A4190="","",YEAR($A4190)*100+MONTH($A4190))</f>
        <v/>
      </c>
      <c r="P4190" s="79">
        <f>IF(OR($F4190="",$D4190=""),"",IF($D4190="Receita",$F4190,IF($D4190="Transferência",0,-$F4190)))</f>
        <v/>
      </c>
    </row>
    <row r="4191">
      <c r="A4191" s="73" t="n"/>
      <c r="B4191" s="74" t="n"/>
      <c r="C4191" s="74" t="n"/>
      <c r="D4191" s="75">
        <f>IF($C4191="","",IFERROR(INDEX(CAT_TIPO,MATCH($C4191,CAT_NOME,0)),"Sem categoria"))</f>
        <v/>
      </c>
      <c r="E4191" s="75">
        <f>IF($C4191="","",IFERROR(INDEX(CAT_GRUPO,MATCH($C4191,CAT_NOME,0)),"Sem categoria"))</f>
        <v/>
      </c>
      <c r="F4191" s="76" t="n"/>
      <c r="G4191" s="74" t="n"/>
      <c r="H4191" s="74" t="n"/>
      <c r="I4191" s="74" t="n"/>
      <c r="J4191" s="77" t="n"/>
      <c r="K4191" s="77" t="n"/>
      <c r="L4191" s="74" t="n"/>
      <c r="M4191" s="74" t="n"/>
      <c r="O4191" s="78">
        <f>IF($A4191="","",YEAR($A4191)*100+MONTH($A4191))</f>
        <v/>
      </c>
      <c r="P4191" s="79">
        <f>IF(OR($F4191="",$D4191=""),"",IF($D4191="Receita",$F4191,IF($D4191="Transferência",0,-$F4191)))</f>
        <v/>
      </c>
    </row>
    <row r="4192">
      <c r="A4192" s="73" t="n"/>
      <c r="B4192" s="74" t="n"/>
      <c r="C4192" s="74" t="n"/>
      <c r="D4192" s="75">
        <f>IF($C4192="","",IFERROR(INDEX(CAT_TIPO,MATCH($C4192,CAT_NOME,0)),"Sem categoria"))</f>
        <v/>
      </c>
      <c r="E4192" s="75">
        <f>IF($C4192="","",IFERROR(INDEX(CAT_GRUPO,MATCH($C4192,CAT_NOME,0)),"Sem categoria"))</f>
        <v/>
      </c>
      <c r="F4192" s="76" t="n"/>
      <c r="G4192" s="74" t="n"/>
      <c r="H4192" s="74" t="n"/>
      <c r="I4192" s="74" t="n"/>
      <c r="J4192" s="77" t="n"/>
      <c r="K4192" s="77" t="n"/>
      <c r="L4192" s="74" t="n"/>
      <c r="M4192" s="74" t="n"/>
      <c r="O4192" s="78">
        <f>IF($A4192="","",YEAR($A4192)*100+MONTH($A4192))</f>
        <v/>
      </c>
      <c r="P4192" s="79">
        <f>IF(OR($F4192="",$D4192=""),"",IF($D4192="Receita",$F4192,IF($D4192="Transferência",0,-$F4192)))</f>
        <v/>
      </c>
    </row>
    <row r="4193">
      <c r="A4193" s="73" t="n"/>
      <c r="B4193" s="74" t="n"/>
      <c r="C4193" s="74" t="n"/>
      <c r="D4193" s="75">
        <f>IF($C4193="","",IFERROR(INDEX(CAT_TIPO,MATCH($C4193,CAT_NOME,0)),"Sem categoria"))</f>
        <v/>
      </c>
      <c r="E4193" s="75">
        <f>IF($C4193="","",IFERROR(INDEX(CAT_GRUPO,MATCH($C4193,CAT_NOME,0)),"Sem categoria"))</f>
        <v/>
      </c>
      <c r="F4193" s="76" t="n"/>
      <c r="G4193" s="74" t="n"/>
      <c r="H4193" s="74" t="n"/>
      <c r="I4193" s="74" t="n"/>
      <c r="J4193" s="77" t="n"/>
      <c r="K4193" s="77" t="n"/>
      <c r="L4193" s="74" t="n"/>
      <c r="M4193" s="74" t="n"/>
      <c r="O4193" s="78">
        <f>IF($A4193="","",YEAR($A4193)*100+MONTH($A4193))</f>
        <v/>
      </c>
      <c r="P4193" s="79">
        <f>IF(OR($F4193="",$D4193=""),"",IF($D4193="Receita",$F4193,IF($D4193="Transferência",0,-$F4193)))</f>
        <v/>
      </c>
    </row>
    <row r="4194">
      <c r="A4194" s="73" t="n"/>
      <c r="B4194" s="74" t="n"/>
      <c r="C4194" s="74" t="n"/>
      <c r="D4194" s="75">
        <f>IF($C4194="","",IFERROR(INDEX(CAT_TIPO,MATCH($C4194,CAT_NOME,0)),"Sem categoria"))</f>
        <v/>
      </c>
      <c r="E4194" s="75">
        <f>IF($C4194="","",IFERROR(INDEX(CAT_GRUPO,MATCH($C4194,CAT_NOME,0)),"Sem categoria"))</f>
        <v/>
      </c>
      <c r="F4194" s="76" t="n"/>
      <c r="G4194" s="74" t="n"/>
      <c r="H4194" s="74" t="n"/>
      <c r="I4194" s="74" t="n"/>
      <c r="J4194" s="77" t="n"/>
      <c r="K4194" s="77" t="n"/>
      <c r="L4194" s="74" t="n"/>
      <c r="M4194" s="74" t="n"/>
      <c r="O4194" s="78">
        <f>IF($A4194="","",YEAR($A4194)*100+MONTH($A4194))</f>
        <v/>
      </c>
      <c r="P4194" s="79">
        <f>IF(OR($F4194="",$D4194=""),"",IF($D4194="Receita",$F4194,IF($D4194="Transferência",0,-$F4194)))</f>
        <v/>
      </c>
    </row>
    <row r="4195">
      <c r="A4195" s="73" t="n"/>
      <c r="B4195" s="74" t="n"/>
      <c r="C4195" s="74" t="n"/>
      <c r="D4195" s="75">
        <f>IF($C4195="","",IFERROR(INDEX(CAT_TIPO,MATCH($C4195,CAT_NOME,0)),"Sem categoria"))</f>
        <v/>
      </c>
      <c r="E4195" s="75">
        <f>IF($C4195="","",IFERROR(INDEX(CAT_GRUPO,MATCH($C4195,CAT_NOME,0)),"Sem categoria"))</f>
        <v/>
      </c>
      <c r="F4195" s="76" t="n"/>
      <c r="G4195" s="74" t="n"/>
      <c r="H4195" s="74" t="n"/>
      <c r="I4195" s="74" t="n"/>
      <c r="J4195" s="77" t="n"/>
      <c r="K4195" s="77" t="n"/>
      <c r="L4195" s="74" t="n"/>
      <c r="M4195" s="74" t="n"/>
      <c r="O4195" s="78">
        <f>IF($A4195="","",YEAR($A4195)*100+MONTH($A4195))</f>
        <v/>
      </c>
      <c r="P4195" s="79">
        <f>IF(OR($F4195="",$D4195=""),"",IF($D4195="Receita",$F4195,IF($D4195="Transferência",0,-$F4195)))</f>
        <v/>
      </c>
    </row>
    <row r="4196">
      <c r="A4196" s="73" t="n"/>
      <c r="B4196" s="74" t="n"/>
      <c r="C4196" s="74" t="n"/>
      <c r="D4196" s="75">
        <f>IF($C4196="","",IFERROR(INDEX(CAT_TIPO,MATCH($C4196,CAT_NOME,0)),"Sem categoria"))</f>
        <v/>
      </c>
      <c r="E4196" s="75">
        <f>IF($C4196="","",IFERROR(INDEX(CAT_GRUPO,MATCH($C4196,CAT_NOME,0)),"Sem categoria"))</f>
        <v/>
      </c>
      <c r="F4196" s="76" t="n"/>
      <c r="G4196" s="74" t="n"/>
      <c r="H4196" s="74" t="n"/>
      <c r="I4196" s="74" t="n"/>
      <c r="J4196" s="77" t="n"/>
      <c r="K4196" s="77" t="n"/>
      <c r="L4196" s="74" t="n"/>
      <c r="M4196" s="74" t="n"/>
      <c r="O4196" s="78">
        <f>IF($A4196="","",YEAR($A4196)*100+MONTH($A4196))</f>
        <v/>
      </c>
      <c r="P4196" s="79">
        <f>IF(OR($F4196="",$D4196=""),"",IF($D4196="Receita",$F4196,IF($D4196="Transferência",0,-$F4196)))</f>
        <v/>
      </c>
    </row>
    <row r="4197">
      <c r="A4197" s="73" t="n"/>
      <c r="B4197" s="74" t="n"/>
      <c r="C4197" s="74" t="n"/>
      <c r="D4197" s="75">
        <f>IF($C4197="","",IFERROR(INDEX(CAT_TIPO,MATCH($C4197,CAT_NOME,0)),"Sem categoria"))</f>
        <v/>
      </c>
      <c r="E4197" s="75">
        <f>IF($C4197="","",IFERROR(INDEX(CAT_GRUPO,MATCH($C4197,CAT_NOME,0)),"Sem categoria"))</f>
        <v/>
      </c>
      <c r="F4197" s="76" t="n"/>
      <c r="G4197" s="74" t="n"/>
      <c r="H4197" s="74" t="n"/>
      <c r="I4197" s="74" t="n"/>
      <c r="J4197" s="77" t="n"/>
      <c r="K4197" s="77" t="n"/>
      <c r="L4197" s="74" t="n"/>
      <c r="M4197" s="74" t="n"/>
      <c r="O4197" s="78">
        <f>IF($A4197="","",YEAR($A4197)*100+MONTH($A4197))</f>
        <v/>
      </c>
      <c r="P4197" s="79">
        <f>IF(OR($F4197="",$D4197=""),"",IF($D4197="Receita",$F4197,IF($D4197="Transferência",0,-$F4197)))</f>
        <v/>
      </c>
    </row>
    <row r="4198">
      <c r="A4198" s="73" t="n"/>
      <c r="B4198" s="74" t="n"/>
      <c r="C4198" s="74" t="n"/>
      <c r="D4198" s="75">
        <f>IF($C4198="","",IFERROR(INDEX(CAT_TIPO,MATCH($C4198,CAT_NOME,0)),"Sem categoria"))</f>
        <v/>
      </c>
      <c r="E4198" s="75">
        <f>IF($C4198="","",IFERROR(INDEX(CAT_GRUPO,MATCH($C4198,CAT_NOME,0)),"Sem categoria"))</f>
        <v/>
      </c>
      <c r="F4198" s="76" t="n"/>
      <c r="G4198" s="74" t="n"/>
      <c r="H4198" s="74" t="n"/>
      <c r="I4198" s="74" t="n"/>
      <c r="J4198" s="77" t="n"/>
      <c r="K4198" s="77" t="n"/>
      <c r="L4198" s="74" t="n"/>
      <c r="M4198" s="74" t="n"/>
      <c r="O4198" s="78">
        <f>IF($A4198="","",YEAR($A4198)*100+MONTH($A4198))</f>
        <v/>
      </c>
      <c r="P4198" s="79">
        <f>IF(OR($F4198="",$D4198=""),"",IF($D4198="Receita",$F4198,IF($D4198="Transferência",0,-$F4198)))</f>
        <v/>
      </c>
    </row>
    <row r="4199">
      <c r="A4199" s="73" t="n"/>
      <c r="B4199" s="74" t="n"/>
      <c r="C4199" s="74" t="n"/>
      <c r="D4199" s="75">
        <f>IF($C4199="","",IFERROR(INDEX(CAT_TIPO,MATCH($C4199,CAT_NOME,0)),"Sem categoria"))</f>
        <v/>
      </c>
      <c r="E4199" s="75">
        <f>IF($C4199="","",IFERROR(INDEX(CAT_GRUPO,MATCH($C4199,CAT_NOME,0)),"Sem categoria"))</f>
        <v/>
      </c>
      <c r="F4199" s="76" t="n"/>
      <c r="G4199" s="74" t="n"/>
      <c r="H4199" s="74" t="n"/>
      <c r="I4199" s="74" t="n"/>
      <c r="J4199" s="77" t="n"/>
      <c r="K4199" s="77" t="n"/>
      <c r="L4199" s="74" t="n"/>
      <c r="M4199" s="74" t="n"/>
      <c r="O4199" s="78">
        <f>IF($A4199="","",YEAR($A4199)*100+MONTH($A4199))</f>
        <v/>
      </c>
      <c r="P4199" s="79">
        <f>IF(OR($F4199="",$D4199=""),"",IF($D4199="Receita",$F4199,IF($D4199="Transferência",0,-$F4199)))</f>
        <v/>
      </c>
    </row>
    <row r="4200">
      <c r="A4200" s="73" t="n"/>
      <c r="B4200" s="74" t="n"/>
      <c r="C4200" s="74" t="n"/>
      <c r="D4200" s="75">
        <f>IF($C4200="","",IFERROR(INDEX(CAT_TIPO,MATCH($C4200,CAT_NOME,0)),"Sem categoria"))</f>
        <v/>
      </c>
      <c r="E4200" s="75">
        <f>IF($C4200="","",IFERROR(INDEX(CAT_GRUPO,MATCH($C4200,CAT_NOME,0)),"Sem categoria"))</f>
        <v/>
      </c>
      <c r="F4200" s="76" t="n"/>
      <c r="G4200" s="74" t="n"/>
      <c r="H4200" s="74" t="n"/>
      <c r="I4200" s="74" t="n"/>
      <c r="J4200" s="77" t="n"/>
      <c r="K4200" s="77" t="n"/>
      <c r="L4200" s="74" t="n"/>
      <c r="M4200" s="74" t="n"/>
      <c r="O4200" s="78">
        <f>IF($A4200="","",YEAR($A4200)*100+MONTH($A4200))</f>
        <v/>
      </c>
      <c r="P4200" s="79">
        <f>IF(OR($F4200="",$D4200=""),"",IF($D4200="Receita",$F4200,IF($D4200="Transferência",0,-$F4200)))</f>
        <v/>
      </c>
    </row>
    <row r="4201">
      <c r="A4201" s="73" t="n"/>
      <c r="B4201" s="74" t="n"/>
      <c r="C4201" s="74" t="n"/>
      <c r="D4201" s="75">
        <f>IF($C4201="","",IFERROR(INDEX(CAT_TIPO,MATCH($C4201,CAT_NOME,0)),"Sem categoria"))</f>
        <v/>
      </c>
      <c r="E4201" s="75">
        <f>IF($C4201="","",IFERROR(INDEX(CAT_GRUPO,MATCH($C4201,CAT_NOME,0)),"Sem categoria"))</f>
        <v/>
      </c>
      <c r="F4201" s="76" t="n"/>
      <c r="G4201" s="74" t="n"/>
      <c r="H4201" s="74" t="n"/>
      <c r="I4201" s="74" t="n"/>
      <c r="J4201" s="77" t="n"/>
      <c r="K4201" s="77" t="n"/>
      <c r="L4201" s="74" t="n"/>
      <c r="M4201" s="74" t="n"/>
      <c r="O4201" s="78">
        <f>IF($A4201="","",YEAR($A4201)*100+MONTH($A4201))</f>
        <v/>
      </c>
      <c r="P4201" s="79">
        <f>IF(OR($F4201="",$D4201=""),"",IF($D4201="Receita",$F4201,IF($D4201="Transferência",0,-$F4201)))</f>
        <v/>
      </c>
    </row>
    <row r="4202">
      <c r="A4202" s="73" t="n"/>
      <c r="B4202" s="74" t="n"/>
      <c r="C4202" s="74" t="n"/>
      <c r="D4202" s="75">
        <f>IF($C4202="","",IFERROR(INDEX(CAT_TIPO,MATCH($C4202,CAT_NOME,0)),"Sem categoria"))</f>
        <v/>
      </c>
      <c r="E4202" s="75">
        <f>IF($C4202="","",IFERROR(INDEX(CAT_GRUPO,MATCH($C4202,CAT_NOME,0)),"Sem categoria"))</f>
        <v/>
      </c>
      <c r="F4202" s="76" t="n"/>
      <c r="G4202" s="74" t="n"/>
      <c r="H4202" s="74" t="n"/>
      <c r="I4202" s="74" t="n"/>
      <c r="J4202" s="77" t="n"/>
      <c r="K4202" s="77" t="n"/>
      <c r="L4202" s="74" t="n"/>
      <c r="M4202" s="74" t="n"/>
      <c r="O4202" s="78">
        <f>IF($A4202="","",YEAR($A4202)*100+MONTH($A4202))</f>
        <v/>
      </c>
      <c r="P4202" s="79">
        <f>IF(OR($F4202="",$D4202=""),"",IF($D4202="Receita",$F4202,IF($D4202="Transferência",0,-$F4202)))</f>
        <v/>
      </c>
    </row>
    <row r="4203">
      <c r="A4203" s="73" t="n"/>
      <c r="B4203" s="74" t="n"/>
      <c r="C4203" s="74" t="n"/>
      <c r="D4203" s="75">
        <f>IF($C4203="","",IFERROR(INDEX(CAT_TIPO,MATCH($C4203,CAT_NOME,0)),"Sem categoria"))</f>
        <v/>
      </c>
      <c r="E4203" s="75">
        <f>IF($C4203="","",IFERROR(INDEX(CAT_GRUPO,MATCH($C4203,CAT_NOME,0)),"Sem categoria"))</f>
        <v/>
      </c>
      <c r="F4203" s="76" t="n"/>
      <c r="G4203" s="74" t="n"/>
      <c r="H4203" s="74" t="n"/>
      <c r="I4203" s="74" t="n"/>
      <c r="J4203" s="77" t="n"/>
      <c r="K4203" s="77" t="n"/>
      <c r="L4203" s="74" t="n"/>
      <c r="M4203" s="74" t="n"/>
      <c r="O4203" s="78">
        <f>IF($A4203="","",YEAR($A4203)*100+MONTH($A4203))</f>
        <v/>
      </c>
      <c r="P4203" s="79">
        <f>IF(OR($F4203="",$D4203=""),"",IF($D4203="Receita",$F4203,IF($D4203="Transferência",0,-$F4203)))</f>
        <v/>
      </c>
    </row>
    <row r="4204">
      <c r="A4204" s="73" t="n"/>
      <c r="B4204" s="74" t="n"/>
      <c r="C4204" s="74" t="n"/>
      <c r="D4204" s="75">
        <f>IF($C4204="","",IFERROR(INDEX(CAT_TIPO,MATCH($C4204,CAT_NOME,0)),"Sem categoria"))</f>
        <v/>
      </c>
      <c r="E4204" s="75">
        <f>IF($C4204="","",IFERROR(INDEX(CAT_GRUPO,MATCH($C4204,CAT_NOME,0)),"Sem categoria"))</f>
        <v/>
      </c>
      <c r="F4204" s="76" t="n"/>
      <c r="G4204" s="74" t="n"/>
      <c r="H4204" s="74" t="n"/>
      <c r="I4204" s="74" t="n"/>
      <c r="J4204" s="77" t="n"/>
      <c r="K4204" s="77" t="n"/>
      <c r="L4204" s="74" t="n"/>
      <c r="M4204" s="74" t="n"/>
      <c r="O4204" s="78">
        <f>IF($A4204="","",YEAR($A4204)*100+MONTH($A4204))</f>
        <v/>
      </c>
      <c r="P4204" s="79">
        <f>IF(OR($F4204="",$D4204=""),"",IF($D4204="Receita",$F4204,IF($D4204="Transferência",0,-$F4204)))</f>
        <v/>
      </c>
    </row>
    <row r="4205">
      <c r="A4205" s="73" t="n"/>
      <c r="B4205" s="74" t="n"/>
      <c r="C4205" s="74" t="n"/>
      <c r="D4205" s="75">
        <f>IF($C4205="","",IFERROR(INDEX(CAT_TIPO,MATCH($C4205,CAT_NOME,0)),"Sem categoria"))</f>
        <v/>
      </c>
      <c r="E4205" s="75">
        <f>IF($C4205="","",IFERROR(INDEX(CAT_GRUPO,MATCH($C4205,CAT_NOME,0)),"Sem categoria"))</f>
        <v/>
      </c>
      <c r="F4205" s="76" t="n"/>
      <c r="G4205" s="74" t="n"/>
      <c r="H4205" s="74" t="n"/>
      <c r="I4205" s="74" t="n"/>
      <c r="J4205" s="77" t="n"/>
      <c r="K4205" s="77" t="n"/>
      <c r="L4205" s="74" t="n"/>
      <c r="M4205" s="74" t="n"/>
      <c r="O4205" s="78">
        <f>IF($A4205="","",YEAR($A4205)*100+MONTH($A4205))</f>
        <v/>
      </c>
      <c r="P4205" s="79">
        <f>IF(OR($F4205="",$D4205=""),"",IF($D4205="Receita",$F4205,IF($D4205="Transferência",0,-$F4205)))</f>
        <v/>
      </c>
    </row>
    <row r="4206">
      <c r="A4206" s="73" t="n"/>
      <c r="B4206" s="74" t="n"/>
      <c r="C4206" s="74" t="n"/>
      <c r="D4206" s="75">
        <f>IF($C4206="","",IFERROR(INDEX(CAT_TIPO,MATCH($C4206,CAT_NOME,0)),"Sem categoria"))</f>
        <v/>
      </c>
      <c r="E4206" s="75">
        <f>IF($C4206="","",IFERROR(INDEX(CAT_GRUPO,MATCH($C4206,CAT_NOME,0)),"Sem categoria"))</f>
        <v/>
      </c>
      <c r="F4206" s="76" t="n"/>
      <c r="G4206" s="74" t="n"/>
      <c r="H4206" s="74" t="n"/>
      <c r="I4206" s="74" t="n"/>
      <c r="J4206" s="77" t="n"/>
      <c r="K4206" s="77" t="n"/>
      <c r="L4206" s="74" t="n"/>
      <c r="M4206" s="74" t="n"/>
      <c r="O4206" s="78">
        <f>IF($A4206="","",YEAR($A4206)*100+MONTH($A4206))</f>
        <v/>
      </c>
      <c r="P4206" s="79">
        <f>IF(OR($F4206="",$D4206=""),"",IF($D4206="Receita",$F4206,IF($D4206="Transferência",0,-$F4206)))</f>
        <v/>
      </c>
    </row>
    <row r="4207">
      <c r="A4207" s="73" t="n"/>
      <c r="B4207" s="74" t="n"/>
      <c r="C4207" s="74" t="n"/>
      <c r="D4207" s="75">
        <f>IF($C4207="","",IFERROR(INDEX(CAT_TIPO,MATCH($C4207,CAT_NOME,0)),"Sem categoria"))</f>
        <v/>
      </c>
      <c r="E4207" s="75">
        <f>IF($C4207="","",IFERROR(INDEX(CAT_GRUPO,MATCH($C4207,CAT_NOME,0)),"Sem categoria"))</f>
        <v/>
      </c>
      <c r="F4207" s="76" t="n"/>
      <c r="G4207" s="74" t="n"/>
      <c r="H4207" s="74" t="n"/>
      <c r="I4207" s="74" t="n"/>
      <c r="J4207" s="77" t="n"/>
      <c r="K4207" s="77" t="n"/>
      <c r="L4207" s="74" t="n"/>
      <c r="M4207" s="74" t="n"/>
      <c r="O4207" s="78">
        <f>IF($A4207="","",YEAR($A4207)*100+MONTH($A4207))</f>
        <v/>
      </c>
      <c r="P4207" s="79">
        <f>IF(OR($F4207="",$D4207=""),"",IF($D4207="Receita",$F4207,IF($D4207="Transferência",0,-$F4207)))</f>
        <v/>
      </c>
    </row>
    <row r="4208">
      <c r="A4208" s="73" t="n"/>
      <c r="B4208" s="74" t="n"/>
      <c r="C4208" s="74" t="n"/>
      <c r="D4208" s="75">
        <f>IF($C4208="","",IFERROR(INDEX(CAT_TIPO,MATCH($C4208,CAT_NOME,0)),"Sem categoria"))</f>
        <v/>
      </c>
      <c r="E4208" s="75">
        <f>IF($C4208="","",IFERROR(INDEX(CAT_GRUPO,MATCH($C4208,CAT_NOME,0)),"Sem categoria"))</f>
        <v/>
      </c>
      <c r="F4208" s="76" t="n"/>
      <c r="G4208" s="74" t="n"/>
      <c r="H4208" s="74" t="n"/>
      <c r="I4208" s="74" t="n"/>
      <c r="J4208" s="77" t="n"/>
      <c r="K4208" s="77" t="n"/>
      <c r="L4208" s="74" t="n"/>
      <c r="M4208" s="74" t="n"/>
      <c r="O4208" s="78">
        <f>IF($A4208="","",YEAR($A4208)*100+MONTH($A4208))</f>
        <v/>
      </c>
      <c r="P4208" s="79">
        <f>IF(OR($F4208="",$D4208=""),"",IF($D4208="Receita",$F4208,IF($D4208="Transferência",0,-$F4208)))</f>
        <v/>
      </c>
    </row>
    <row r="4209">
      <c r="A4209" s="73" t="n"/>
      <c r="B4209" s="74" t="n"/>
      <c r="C4209" s="74" t="n"/>
      <c r="D4209" s="75">
        <f>IF($C4209="","",IFERROR(INDEX(CAT_TIPO,MATCH($C4209,CAT_NOME,0)),"Sem categoria"))</f>
        <v/>
      </c>
      <c r="E4209" s="75">
        <f>IF($C4209="","",IFERROR(INDEX(CAT_GRUPO,MATCH($C4209,CAT_NOME,0)),"Sem categoria"))</f>
        <v/>
      </c>
      <c r="F4209" s="76" t="n"/>
      <c r="G4209" s="74" t="n"/>
      <c r="H4209" s="74" t="n"/>
      <c r="I4209" s="74" t="n"/>
      <c r="J4209" s="77" t="n"/>
      <c r="K4209" s="77" t="n"/>
      <c r="L4209" s="74" t="n"/>
      <c r="M4209" s="74" t="n"/>
      <c r="O4209" s="78">
        <f>IF($A4209="","",YEAR($A4209)*100+MONTH($A4209))</f>
        <v/>
      </c>
      <c r="P4209" s="79">
        <f>IF(OR($F4209="",$D4209=""),"",IF($D4209="Receita",$F4209,IF($D4209="Transferência",0,-$F4209)))</f>
        <v/>
      </c>
    </row>
    <row r="4210">
      <c r="A4210" s="73" t="n"/>
      <c r="B4210" s="74" t="n"/>
      <c r="C4210" s="74" t="n"/>
      <c r="D4210" s="75">
        <f>IF($C4210="","",IFERROR(INDEX(CAT_TIPO,MATCH($C4210,CAT_NOME,0)),"Sem categoria"))</f>
        <v/>
      </c>
      <c r="E4210" s="75">
        <f>IF($C4210="","",IFERROR(INDEX(CAT_GRUPO,MATCH($C4210,CAT_NOME,0)),"Sem categoria"))</f>
        <v/>
      </c>
      <c r="F4210" s="76" t="n"/>
      <c r="G4210" s="74" t="n"/>
      <c r="H4210" s="74" t="n"/>
      <c r="I4210" s="74" t="n"/>
      <c r="J4210" s="77" t="n"/>
      <c r="K4210" s="77" t="n"/>
      <c r="L4210" s="74" t="n"/>
      <c r="M4210" s="74" t="n"/>
      <c r="O4210" s="78">
        <f>IF($A4210="","",YEAR($A4210)*100+MONTH($A4210))</f>
        <v/>
      </c>
      <c r="P4210" s="79">
        <f>IF(OR($F4210="",$D4210=""),"",IF($D4210="Receita",$F4210,IF($D4210="Transferência",0,-$F4210)))</f>
        <v/>
      </c>
    </row>
    <row r="4211">
      <c r="A4211" s="73" t="n"/>
      <c r="B4211" s="74" t="n"/>
      <c r="C4211" s="74" t="n"/>
      <c r="D4211" s="75">
        <f>IF($C4211="","",IFERROR(INDEX(CAT_TIPO,MATCH($C4211,CAT_NOME,0)),"Sem categoria"))</f>
        <v/>
      </c>
      <c r="E4211" s="75">
        <f>IF($C4211="","",IFERROR(INDEX(CAT_GRUPO,MATCH($C4211,CAT_NOME,0)),"Sem categoria"))</f>
        <v/>
      </c>
      <c r="F4211" s="76" t="n"/>
      <c r="G4211" s="74" t="n"/>
      <c r="H4211" s="74" t="n"/>
      <c r="I4211" s="74" t="n"/>
      <c r="J4211" s="77" t="n"/>
      <c r="K4211" s="77" t="n"/>
      <c r="L4211" s="74" t="n"/>
      <c r="M4211" s="74" t="n"/>
      <c r="O4211" s="78">
        <f>IF($A4211="","",YEAR($A4211)*100+MONTH($A4211))</f>
        <v/>
      </c>
      <c r="P4211" s="79">
        <f>IF(OR($F4211="",$D4211=""),"",IF($D4211="Receita",$F4211,IF($D4211="Transferência",0,-$F4211)))</f>
        <v/>
      </c>
    </row>
    <row r="4212">
      <c r="A4212" s="73" t="n"/>
      <c r="B4212" s="74" t="n"/>
      <c r="C4212" s="74" t="n"/>
      <c r="D4212" s="75">
        <f>IF($C4212="","",IFERROR(INDEX(CAT_TIPO,MATCH($C4212,CAT_NOME,0)),"Sem categoria"))</f>
        <v/>
      </c>
      <c r="E4212" s="75">
        <f>IF($C4212="","",IFERROR(INDEX(CAT_GRUPO,MATCH($C4212,CAT_NOME,0)),"Sem categoria"))</f>
        <v/>
      </c>
      <c r="F4212" s="76" t="n"/>
      <c r="G4212" s="74" t="n"/>
      <c r="H4212" s="74" t="n"/>
      <c r="I4212" s="74" t="n"/>
      <c r="J4212" s="77" t="n"/>
      <c r="K4212" s="77" t="n"/>
      <c r="L4212" s="74" t="n"/>
      <c r="M4212" s="74" t="n"/>
      <c r="O4212" s="78">
        <f>IF($A4212="","",YEAR($A4212)*100+MONTH($A4212))</f>
        <v/>
      </c>
      <c r="P4212" s="79">
        <f>IF(OR($F4212="",$D4212=""),"",IF($D4212="Receita",$F4212,IF($D4212="Transferência",0,-$F4212)))</f>
        <v/>
      </c>
    </row>
    <row r="4213">
      <c r="A4213" s="73" t="n"/>
      <c r="B4213" s="74" t="n"/>
      <c r="C4213" s="74" t="n"/>
      <c r="D4213" s="75">
        <f>IF($C4213="","",IFERROR(INDEX(CAT_TIPO,MATCH($C4213,CAT_NOME,0)),"Sem categoria"))</f>
        <v/>
      </c>
      <c r="E4213" s="75">
        <f>IF($C4213="","",IFERROR(INDEX(CAT_GRUPO,MATCH($C4213,CAT_NOME,0)),"Sem categoria"))</f>
        <v/>
      </c>
      <c r="F4213" s="76" t="n"/>
      <c r="G4213" s="74" t="n"/>
      <c r="H4213" s="74" t="n"/>
      <c r="I4213" s="74" t="n"/>
      <c r="J4213" s="77" t="n"/>
      <c r="K4213" s="77" t="n"/>
      <c r="L4213" s="74" t="n"/>
      <c r="M4213" s="74" t="n"/>
      <c r="O4213" s="78">
        <f>IF($A4213="","",YEAR($A4213)*100+MONTH($A4213))</f>
        <v/>
      </c>
      <c r="P4213" s="79">
        <f>IF(OR($F4213="",$D4213=""),"",IF($D4213="Receita",$F4213,IF($D4213="Transferência",0,-$F4213)))</f>
        <v/>
      </c>
    </row>
    <row r="4214">
      <c r="A4214" s="73" t="n"/>
      <c r="B4214" s="74" t="n"/>
      <c r="C4214" s="74" t="n"/>
      <c r="D4214" s="75">
        <f>IF($C4214="","",IFERROR(INDEX(CAT_TIPO,MATCH($C4214,CAT_NOME,0)),"Sem categoria"))</f>
        <v/>
      </c>
      <c r="E4214" s="75">
        <f>IF($C4214="","",IFERROR(INDEX(CAT_GRUPO,MATCH($C4214,CAT_NOME,0)),"Sem categoria"))</f>
        <v/>
      </c>
      <c r="F4214" s="76" t="n"/>
      <c r="G4214" s="74" t="n"/>
      <c r="H4214" s="74" t="n"/>
      <c r="I4214" s="74" t="n"/>
      <c r="J4214" s="77" t="n"/>
      <c r="K4214" s="77" t="n"/>
      <c r="L4214" s="74" t="n"/>
      <c r="M4214" s="74" t="n"/>
      <c r="O4214" s="78">
        <f>IF($A4214="","",YEAR($A4214)*100+MONTH($A4214))</f>
        <v/>
      </c>
      <c r="P4214" s="79">
        <f>IF(OR($F4214="",$D4214=""),"",IF($D4214="Receita",$F4214,IF($D4214="Transferência",0,-$F4214)))</f>
        <v/>
      </c>
    </row>
    <row r="4215">
      <c r="A4215" s="73" t="n"/>
      <c r="B4215" s="74" t="n"/>
      <c r="C4215" s="74" t="n"/>
      <c r="D4215" s="75">
        <f>IF($C4215="","",IFERROR(INDEX(CAT_TIPO,MATCH($C4215,CAT_NOME,0)),"Sem categoria"))</f>
        <v/>
      </c>
      <c r="E4215" s="75">
        <f>IF($C4215="","",IFERROR(INDEX(CAT_GRUPO,MATCH($C4215,CAT_NOME,0)),"Sem categoria"))</f>
        <v/>
      </c>
      <c r="F4215" s="76" t="n"/>
      <c r="G4215" s="74" t="n"/>
      <c r="H4215" s="74" t="n"/>
      <c r="I4215" s="74" t="n"/>
      <c r="J4215" s="77" t="n"/>
      <c r="K4215" s="77" t="n"/>
      <c r="L4215" s="74" t="n"/>
      <c r="M4215" s="74" t="n"/>
      <c r="O4215" s="78">
        <f>IF($A4215="","",YEAR($A4215)*100+MONTH($A4215))</f>
        <v/>
      </c>
      <c r="P4215" s="79">
        <f>IF(OR($F4215="",$D4215=""),"",IF($D4215="Receita",$F4215,IF($D4215="Transferência",0,-$F4215)))</f>
        <v/>
      </c>
    </row>
    <row r="4216">
      <c r="A4216" s="73" t="n"/>
      <c r="B4216" s="74" t="n"/>
      <c r="C4216" s="74" t="n"/>
      <c r="D4216" s="75">
        <f>IF($C4216="","",IFERROR(INDEX(CAT_TIPO,MATCH($C4216,CAT_NOME,0)),"Sem categoria"))</f>
        <v/>
      </c>
      <c r="E4216" s="75">
        <f>IF($C4216="","",IFERROR(INDEX(CAT_GRUPO,MATCH($C4216,CAT_NOME,0)),"Sem categoria"))</f>
        <v/>
      </c>
      <c r="F4216" s="76" t="n"/>
      <c r="G4216" s="74" t="n"/>
      <c r="H4216" s="74" t="n"/>
      <c r="I4216" s="74" t="n"/>
      <c r="J4216" s="77" t="n"/>
      <c r="K4216" s="77" t="n"/>
      <c r="L4216" s="74" t="n"/>
      <c r="M4216" s="74" t="n"/>
      <c r="O4216" s="78">
        <f>IF($A4216="","",YEAR($A4216)*100+MONTH($A4216))</f>
        <v/>
      </c>
      <c r="P4216" s="79">
        <f>IF(OR($F4216="",$D4216=""),"",IF($D4216="Receita",$F4216,IF($D4216="Transferência",0,-$F4216)))</f>
        <v/>
      </c>
    </row>
    <row r="4217">
      <c r="A4217" s="73" t="n"/>
      <c r="B4217" s="74" t="n"/>
      <c r="C4217" s="74" t="n"/>
      <c r="D4217" s="75">
        <f>IF($C4217="","",IFERROR(INDEX(CAT_TIPO,MATCH($C4217,CAT_NOME,0)),"Sem categoria"))</f>
        <v/>
      </c>
      <c r="E4217" s="75">
        <f>IF($C4217="","",IFERROR(INDEX(CAT_GRUPO,MATCH($C4217,CAT_NOME,0)),"Sem categoria"))</f>
        <v/>
      </c>
      <c r="F4217" s="76" t="n"/>
      <c r="G4217" s="74" t="n"/>
      <c r="H4217" s="74" t="n"/>
      <c r="I4217" s="74" t="n"/>
      <c r="J4217" s="77" t="n"/>
      <c r="K4217" s="77" t="n"/>
      <c r="L4217" s="74" t="n"/>
      <c r="M4217" s="74" t="n"/>
      <c r="O4217" s="78">
        <f>IF($A4217="","",YEAR($A4217)*100+MONTH($A4217))</f>
        <v/>
      </c>
      <c r="P4217" s="79">
        <f>IF(OR($F4217="",$D4217=""),"",IF($D4217="Receita",$F4217,IF($D4217="Transferência",0,-$F4217)))</f>
        <v/>
      </c>
    </row>
    <row r="4218">
      <c r="A4218" s="73" t="n"/>
      <c r="B4218" s="74" t="n"/>
      <c r="C4218" s="74" t="n"/>
      <c r="D4218" s="75">
        <f>IF($C4218="","",IFERROR(INDEX(CAT_TIPO,MATCH($C4218,CAT_NOME,0)),"Sem categoria"))</f>
        <v/>
      </c>
      <c r="E4218" s="75">
        <f>IF($C4218="","",IFERROR(INDEX(CAT_GRUPO,MATCH($C4218,CAT_NOME,0)),"Sem categoria"))</f>
        <v/>
      </c>
      <c r="F4218" s="76" t="n"/>
      <c r="G4218" s="74" t="n"/>
      <c r="H4218" s="74" t="n"/>
      <c r="I4218" s="74" t="n"/>
      <c r="J4218" s="77" t="n"/>
      <c r="K4218" s="77" t="n"/>
      <c r="L4218" s="74" t="n"/>
      <c r="M4218" s="74" t="n"/>
      <c r="O4218" s="78">
        <f>IF($A4218="","",YEAR($A4218)*100+MONTH($A4218))</f>
        <v/>
      </c>
      <c r="P4218" s="79">
        <f>IF(OR($F4218="",$D4218=""),"",IF($D4218="Receita",$F4218,IF($D4218="Transferência",0,-$F4218)))</f>
        <v/>
      </c>
    </row>
    <row r="4219">
      <c r="A4219" s="73" t="n"/>
      <c r="B4219" s="74" t="n"/>
      <c r="C4219" s="74" t="n"/>
      <c r="D4219" s="75">
        <f>IF($C4219="","",IFERROR(INDEX(CAT_TIPO,MATCH($C4219,CAT_NOME,0)),"Sem categoria"))</f>
        <v/>
      </c>
      <c r="E4219" s="75">
        <f>IF($C4219="","",IFERROR(INDEX(CAT_GRUPO,MATCH($C4219,CAT_NOME,0)),"Sem categoria"))</f>
        <v/>
      </c>
      <c r="F4219" s="76" t="n"/>
      <c r="G4219" s="74" t="n"/>
      <c r="H4219" s="74" t="n"/>
      <c r="I4219" s="74" t="n"/>
      <c r="J4219" s="77" t="n"/>
      <c r="K4219" s="77" t="n"/>
      <c r="L4219" s="74" t="n"/>
      <c r="M4219" s="74" t="n"/>
      <c r="O4219" s="78">
        <f>IF($A4219="","",YEAR($A4219)*100+MONTH($A4219))</f>
        <v/>
      </c>
      <c r="P4219" s="79">
        <f>IF(OR($F4219="",$D4219=""),"",IF($D4219="Receita",$F4219,IF($D4219="Transferência",0,-$F4219)))</f>
        <v/>
      </c>
    </row>
    <row r="4220">
      <c r="A4220" s="73" t="n"/>
      <c r="B4220" s="74" t="n"/>
      <c r="C4220" s="74" t="n"/>
      <c r="D4220" s="75">
        <f>IF($C4220="","",IFERROR(INDEX(CAT_TIPO,MATCH($C4220,CAT_NOME,0)),"Sem categoria"))</f>
        <v/>
      </c>
      <c r="E4220" s="75">
        <f>IF($C4220="","",IFERROR(INDEX(CAT_GRUPO,MATCH($C4220,CAT_NOME,0)),"Sem categoria"))</f>
        <v/>
      </c>
      <c r="F4220" s="76" t="n"/>
      <c r="G4220" s="74" t="n"/>
      <c r="H4220" s="74" t="n"/>
      <c r="I4220" s="74" t="n"/>
      <c r="J4220" s="77" t="n"/>
      <c r="K4220" s="77" t="n"/>
      <c r="L4220" s="74" t="n"/>
      <c r="M4220" s="74" t="n"/>
      <c r="O4220" s="78">
        <f>IF($A4220="","",YEAR($A4220)*100+MONTH($A4220))</f>
        <v/>
      </c>
      <c r="P4220" s="79">
        <f>IF(OR($F4220="",$D4220=""),"",IF($D4220="Receita",$F4220,IF($D4220="Transferência",0,-$F4220)))</f>
        <v/>
      </c>
    </row>
    <row r="4221">
      <c r="A4221" s="73" t="n"/>
      <c r="B4221" s="74" t="n"/>
      <c r="C4221" s="74" t="n"/>
      <c r="D4221" s="75">
        <f>IF($C4221="","",IFERROR(INDEX(CAT_TIPO,MATCH($C4221,CAT_NOME,0)),"Sem categoria"))</f>
        <v/>
      </c>
      <c r="E4221" s="75">
        <f>IF($C4221="","",IFERROR(INDEX(CAT_GRUPO,MATCH($C4221,CAT_NOME,0)),"Sem categoria"))</f>
        <v/>
      </c>
      <c r="F4221" s="76" t="n"/>
      <c r="G4221" s="74" t="n"/>
      <c r="H4221" s="74" t="n"/>
      <c r="I4221" s="74" t="n"/>
      <c r="J4221" s="77" t="n"/>
      <c r="K4221" s="77" t="n"/>
      <c r="L4221" s="74" t="n"/>
      <c r="M4221" s="74" t="n"/>
      <c r="O4221" s="78">
        <f>IF($A4221="","",YEAR($A4221)*100+MONTH($A4221))</f>
        <v/>
      </c>
      <c r="P4221" s="79">
        <f>IF(OR($F4221="",$D4221=""),"",IF($D4221="Receita",$F4221,IF($D4221="Transferência",0,-$F4221)))</f>
        <v/>
      </c>
    </row>
    <row r="4222">
      <c r="A4222" s="73" t="n"/>
      <c r="B4222" s="74" t="n"/>
      <c r="C4222" s="74" t="n"/>
      <c r="D4222" s="75">
        <f>IF($C4222="","",IFERROR(INDEX(CAT_TIPO,MATCH($C4222,CAT_NOME,0)),"Sem categoria"))</f>
        <v/>
      </c>
      <c r="E4222" s="75">
        <f>IF($C4222="","",IFERROR(INDEX(CAT_GRUPO,MATCH($C4222,CAT_NOME,0)),"Sem categoria"))</f>
        <v/>
      </c>
      <c r="F4222" s="76" t="n"/>
      <c r="G4222" s="74" t="n"/>
      <c r="H4222" s="74" t="n"/>
      <c r="I4222" s="74" t="n"/>
      <c r="J4222" s="77" t="n"/>
      <c r="K4222" s="77" t="n"/>
      <c r="L4222" s="74" t="n"/>
      <c r="M4222" s="74" t="n"/>
      <c r="O4222" s="78">
        <f>IF($A4222="","",YEAR($A4222)*100+MONTH($A4222))</f>
        <v/>
      </c>
      <c r="P4222" s="79">
        <f>IF(OR($F4222="",$D4222=""),"",IF($D4222="Receita",$F4222,IF($D4222="Transferência",0,-$F4222)))</f>
        <v/>
      </c>
    </row>
    <row r="4223">
      <c r="A4223" s="73" t="n"/>
      <c r="B4223" s="74" t="n"/>
      <c r="C4223" s="74" t="n"/>
      <c r="D4223" s="75">
        <f>IF($C4223="","",IFERROR(INDEX(CAT_TIPO,MATCH($C4223,CAT_NOME,0)),"Sem categoria"))</f>
        <v/>
      </c>
      <c r="E4223" s="75">
        <f>IF($C4223="","",IFERROR(INDEX(CAT_GRUPO,MATCH($C4223,CAT_NOME,0)),"Sem categoria"))</f>
        <v/>
      </c>
      <c r="F4223" s="76" t="n"/>
      <c r="G4223" s="74" t="n"/>
      <c r="H4223" s="74" t="n"/>
      <c r="I4223" s="74" t="n"/>
      <c r="J4223" s="77" t="n"/>
      <c r="K4223" s="77" t="n"/>
      <c r="L4223" s="74" t="n"/>
      <c r="M4223" s="74" t="n"/>
      <c r="O4223" s="78">
        <f>IF($A4223="","",YEAR($A4223)*100+MONTH($A4223))</f>
        <v/>
      </c>
      <c r="P4223" s="79">
        <f>IF(OR($F4223="",$D4223=""),"",IF($D4223="Receita",$F4223,IF($D4223="Transferência",0,-$F4223)))</f>
        <v/>
      </c>
    </row>
    <row r="4224">
      <c r="A4224" s="73" t="n"/>
      <c r="B4224" s="74" t="n"/>
      <c r="C4224" s="74" t="n"/>
      <c r="D4224" s="75">
        <f>IF($C4224="","",IFERROR(INDEX(CAT_TIPO,MATCH($C4224,CAT_NOME,0)),"Sem categoria"))</f>
        <v/>
      </c>
      <c r="E4224" s="75">
        <f>IF($C4224="","",IFERROR(INDEX(CAT_GRUPO,MATCH($C4224,CAT_NOME,0)),"Sem categoria"))</f>
        <v/>
      </c>
      <c r="F4224" s="76" t="n"/>
      <c r="G4224" s="74" t="n"/>
      <c r="H4224" s="74" t="n"/>
      <c r="I4224" s="74" t="n"/>
      <c r="J4224" s="77" t="n"/>
      <c r="K4224" s="77" t="n"/>
      <c r="L4224" s="74" t="n"/>
      <c r="M4224" s="74" t="n"/>
      <c r="O4224" s="78">
        <f>IF($A4224="","",YEAR($A4224)*100+MONTH($A4224))</f>
        <v/>
      </c>
      <c r="P4224" s="79">
        <f>IF(OR($F4224="",$D4224=""),"",IF($D4224="Receita",$F4224,IF($D4224="Transferência",0,-$F4224)))</f>
        <v/>
      </c>
    </row>
    <row r="4225">
      <c r="A4225" s="73" t="n"/>
      <c r="B4225" s="74" t="n"/>
      <c r="C4225" s="74" t="n"/>
      <c r="D4225" s="75">
        <f>IF($C4225="","",IFERROR(INDEX(CAT_TIPO,MATCH($C4225,CAT_NOME,0)),"Sem categoria"))</f>
        <v/>
      </c>
      <c r="E4225" s="75">
        <f>IF($C4225="","",IFERROR(INDEX(CAT_GRUPO,MATCH($C4225,CAT_NOME,0)),"Sem categoria"))</f>
        <v/>
      </c>
      <c r="F4225" s="76" t="n"/>
      <c r="G4225" s="74" t="n"/>
      <c r="H4225" s="74" t="n"/>
      <c r="I4225" s="74" t="n"/>
      <c r="J4225" s="77" t="n"/>
      <c r="K4225" s="77" t="n"/>
      <c r="L4225" s="74" t="n"/>
      <c r="M4225" s="74" t="n"/>
      <c r="O4225" s="78">
        <f>IF($A4225="","",YEAR($A4225)*100+MONTH($A4225))</f>
        <v/>
      </c>
      <c r="P4225" s="79">
        <f>IF(OR($F4225="",$D4225=""),"",IF($D4225="Receita",$F4225,IF($D4225="Transferência",0,-$F4225)))</f>
        <v/>
      </c>
    </row>
    <row r="4226">
      <c r="A4226" s="73" t="n"/>
      <c r="B4226" s="74" t="n"/>
      <c r="C4226" s="74" t="n"/>
      <c r="D4226" s="75">
        <f>IF($C4226="","",IFERROR(INDEX(CAT_TIPO,MATCH($C4226,CAT_NOME,0)),"Sem categoria"))</f>
        <v/>
      </c>
      <c r="E4226" s="75">
        <f>IF($C4226="","",IFERROR(INDEX(CAT_GRUPO,MATCH($C4226,CAT_NOME,0)),"Sem categoria"))</f>
        <v/>
      </c>
      <c r="F4226" s="76" t="n"/>
      <c r="G4226" s="74" t="n"/>
      <c r="H4226" s="74" t="n"/>
      <c r="I4226" s="74" t="n"/>
      <c r="J4226" s="77" t="n"/>
      <c r="K4226" s="77" t="n"/>
      <c r="L4226" s="74" t="n"/>
      <c r="M4226" s="74" t="n"/>
      <c r="O4226" s="78">
        <f>IF($A4226="","",YEAR($A4226)*100+MONTH($A4226))</f>
        <v/>
      </c>
      <c r="P4226" s="79">
        <f>IF(OR($F4226="",$D4226=""),"",IF($D4226="Receita",$F4226,IF($D4226="Transferência",0,-$F4226)))</f>
        <v/>
      </c>
    </row>
    <row r="4227">
      <c r="A4227" s="73" t="n"/>
      <c r="B4227" s="74" t="n"/>
      <c r="C4227" s="74" t="n"/>
      <c r="D4227" s="75">
        <f>IF($C4227="","",IFERROR(INDEX(CAT_TIPO,MATCH($C4227,CAT_NOME,0)),"Sem categoria"))</f>
        <v/>
      </c>
      <c r="E4227" s="75">
        <f>IF($C4227="","",IFERROR(INDEX(CAT_GRUPO,MATCH($C4227,CAT_NOME,0)),"Sem categoria"))</f>
        <v/>
      </c>
      <c r="F4227" s="76" t="n"/>
      <c r="G4227" s="74" t="n"/>
      <c r="H4227" s="74" t="n"/>
      <c r="I4227" s="74" t="n"/>
      <c r="J4227" s="77" t="n"/>
      <c r="K4227" s="77" t="n"/>
      <c r="L4227" s="74" t="n"/>
      <c r="M4227" s="74" t="n"/>
      <c r="O4227" s="78">
        <f>IF($A4227="","",YEAR($A4227)*100+MONTH($A4227))</f>
        <v/>
      </c>
      <c r="P4227" s="79">
        <f>IF(OR($F4227="",$D4227=""),"",IF($D4227="Receita",$F4227,IF($D4227="Transferência",0,-$F4227)))</f>
        <v/>
      </c>
    </row>
    <row r="4228">
      <c r="A4228" s="73" t="n"/>
      <c r="B4228" s="74" t="n"/>
      <c r="C4228" s="74" t="n"/>
      <c r="D4228" s="75">
        <f>IF($C4228="","",IFERROR(INDEX(CAT_TIPO,MATCH($C4228,CAT_NOME,0)),"Sem categoria"))</f>
        <v/>
      </c>
      <c r="E4228" s="75">
        <f>IF($C4228="","",IFERROR(INDEX(CAT_GRUPO,MATCH($C4228,CAT_NOME,0)),"Sem categoria"))</f>
        <v/>
      </c>
      <c r="F4228" s="76" t="n"/>
      <c r="G4228" s="74" t="n"/>
      <c r="H4228" s="74" t="n"/>
      <c r="I4228" s="74" t="n"/>
      <c r="J4228" s="77" t="n"/>
      <c r="K4228" s="77" t="n"/>
      <c r="L4228" s="74" t="n"/>
      <c r="M4228" s="74" t="n"/>
      <c r="O4228" s="78">
        <f>IF($A4228="","",YEAR($A4228)*100+MONTH($A4228))</f>
        <v/>
      </c>
      <c r="P4228" s="79">
        <f>IF(OR($F4228="",$D4228=""),"",IF($D4228="Receita",$F4228,IF($D4228="Transferência",0,-$F4228)))</f>
        <v/>
      </c>
    </row>
    <row r="4229">
      <c r="A4229" s="73" t="n"/>
      <c r="B4229" s="74" t="n"/>
      <c r="C4229" s="74" t="n"/>
      <c r="D4229" s="75">
        <f>IF($C4229="","",IFERROR(INDEX(CAT_TIPO,MATCH($C4229,CAT_NOME,0)),"Sem categoria"))</f>
        <v/>
      </c>
      <c r="E4229" s="75">
        <f>IF($C4229="","",IFERROR(INDEX(CAT_GRUPO,MATCH($C4229,CAT_NOME,0)),"Sem categoria"))</f>
        <v/>
      </c>
      <c r="F4229" s="76" t="n"/>
      <c r="G4229" s="74" t="n"/>
      <c r="H4229" s="74" t="n"/>
      <c r="I4229" s="74" t="n"/>
      <c r="J4229" s="77" t="n"/>
      <c r="K4229" s="77" t="n"/>
      <c r="L4229" s="74" t="n"/>
      <c r="M4229" s="74" t="n"/>
      <c r="O4229" s="78">
        <f>IF($A4229="","",YEAR($A4229)*100+MONTH($A4229))</f>
        <v/>
      </c>
      <c r="P4229" s="79">
        <f>IF(OR($F4229="",$D4229=""),"",IF($D4229="Receita",$F4229,IF($D4229="Transferência",0,-$F4229)))</f>
        <v/>
      </c>
    </row>
    <row r="4230">
      <c r="A4230" s="73" t="n"/>
      <c r="B4230" s="74" t="n"/>
      <c r="C4230" s="74" t="n"/>
      <c r="D4230" s="75">
        <f>IF($C4230="","",IFERROR(INDEX(CAT_TIPO,MATCH($C4230,CAT_NOME,0)),"Sem categoria"))</f>
        <v/>
      </c>
      <c r="E4230" s="75">
        <f>IF($C4230="","",IFERROR(INDEX(CAT_GRUPO,MATCH($C4230,CAT_NOME,0)),"Sem categoria"))</f>
        <v/>
      </c>
      <c r="F4230" s="76" t="n"/>
      <c r="G4230" s="74" t="n"/>
      <c r="H4230" s="74" t="n"/>
      <c r="I4230" s="74" t="n"/>
      <c r="J4230" s="77" t="n"/>
      <c r="K4230" s="77" t="n"/>
      <c r="L4230" s="74" t="n"/>
      <c r="M4230" s="74" t="n"/>
      <c r="O4230" s="78">
        <f>IF($A4230="","",YEAR($A4230)*100+MONTH($A4230))</f>
        <v/>
      </c>
      <c r="P4230" s="79">
        <f>IF(OR($F4230="",$D4230=""),"",IF($D4230="Receita",$F4230,IF($D4230="Transferência",0,-$F4230)))</f>
        <v/>
      </c>
    </row>
    <row r="4231">
      <c r="A4231" s="73" t="n"/>
      <c r="B4231" s="74" t="n"/>
      <c r="C4231" s="74" t="n"/>
      <c r="D4231" s="75">
        <f>IF($C4231="","",IFERROR(INDEX(CAT_TIPO,MATCH($C4231,CAT_NOME,0)),"Sem categoria"))</f>
        <v/>
      </c>
      <c r="E4231" s="75">
        <f>IF($C4231="","",IFERROR(INDEX(CAT_GRUPO,MATCH($C4231,CAT_NOME,0)),"Sem categoria"))</f>
        <v/>
      </c>
      <c r="F4231" s="76" t="n"/>
      <c r="G4231" s="74" t="n"/>
      <c r="H4231" s="74" t="n"/>
      <c r="I4231" s="74" t="n"/>
      <c r="J4231" s="77" t="n"/>
      <c r="K4231" s="77" t="n"/>
      <c r="L4231" s="74" t="n"/>
      <c r="M4231" s="74" t="n"/>
      <c r="O4231" s="78">
        <f>IF($A4231="","",YEAR($A4231)*100+MONTH($A4231))</f>
        <v/>
      </c>
      <c r="P4231" s="79">
        <f>IF(OR($F4231="",$D4231=""),"",IF($D4231="Receita",$F4231,IF($D4231="Transferência",0,-$F4231)))</f>
        <v/>
      </c>
    </row>
    <row r="4232">
      <c r="A4232" s="73" t="n"/>
      <c r="B4232" s="74" t="n"/>
      <c r="C4232" s="74" t="n"/>
      <c r="D4232" s="75">
        <f>IF($C4232="","",IFERROR(INDEX(CAT_TIPO,MATCH($C4232,CAT_NOME,0)),"Sem categoria"))</f>
        <v/>
      </c>
      <c r="E4232" s="75">
        <f>IF($C4232="","",IFERROR(INDEX(CAT_GRUPO,MATCH($C4232,CAT_NOME,0)),"Sem categoria"))</f>
        <v/>
      </c>
      <c r="F4232" s="76" t="n"/>
      <c r="G4232" s="74" t="n"/>
      <c r="H4232" s="74" t="n"/>
      <c r="I4232" s="74" t="n"/>
      <c r="J4232" s="77" t="n"/>
      <c r="K4232" s="77" t="n"/>
      <c r="L4232" s="74" t="n"/>
      <c r="M4232" s="74" t="n"/>
      <c r="O4232" s="78">
        <f>IF($A4232="","",YEAR($A4232)*100+MONTH($A4232))</f>
        <v/>
      </c>
      <c r="P4232" s="79">
        <f>IF(OR($F4232="",$D4232=""),"",IF($D4232="Receita",$F4232,IF($D4232="Transferência",0,-$F4232)))</f>
        <v/>
      </c>
    </row>
    <row r="4233">
      <c r="A4233" s="73" t="n"/>
      <c r="B4233" s="74" t="n"/>
      <c r="C4233" s="74" t="n"/>
      <c r="D4233" s="75">
        <f>IF($C4233="","",IFERROR(INDEX(CAT_TIPO,MATCH($C4233,CAT_NOME,0)),"Sem categoria"))</f>
        <v/>
      </c>
      <c r="E4233" s="75">
        <f>IF($C4233="","",IFERROR(INDEX(CAT_GRUPO,MATCH($C4233,CAT_NOME,0)),"Sem categoria"))</f>
        <v/>
      </c>
      <c r="F4233" s="76" t="n"/>
      <c r="G4233" s="74" t="n"/>
      <c r="H4233" s="74" t="n"/>
      <c r="I4233" s="74" t="n"/>
      <c r="J4233" s="77" t="n"/>
      <c r="K4233" s="77" t="n"/>
      <c r="L4233" s="74" t="n"/>
      <c r="M4233" s="74" t="n"/>
      <c r="O4233" s="78">
        <f>IF($A4233="","",YEAR($A4233)*100+MONTH($A4233))</f>
        <v/>
      </c>
      <c r="P4233" s="79">
        <f>IF(OR($F4233="",$D4233=""),"",IF($D4233="Receita",$F4233,IF($D4233="Transferência",0,-$F4233)))</f>
        <v/>
      </c>
    </row>
    <row r="4234">
      <c r="A4234" s="73" t="n"/>
      <c r="B4234" s="74" t="n"/>
      <c r="C4234" s="74" t="n"/>
      <c r="D4234" s="75">
        <f>IF($C4234="","",IFERROR(INDEX(CAT_TIPO,MATCH($C4234,CAT_NOME,0)),"Sem categoria"))</f>
        <v/>
      </c>
      <c r="E4234" s="75">
        <f>IF($C4234="","",IFERROR(INDEX(CAT_GRUPO,MATCH($C4234,CAT_NOME,0)),"Sem categoria"))</f>
        <v/>
      </c>
      <c r="F4234" s="76" t="n"/>
      <c r="G4234" s="74" t="n"/>
      <c r="H4234" s="74" t="n"/>
      <c r="I4234" s="74" t="n"/>
      <c r="J4234" s="77" t="n"/>
      <c r="K4234" s="77" t="n"/>
      <c r="L4234" s="74" t="n"/>
      <c r="M4234" s="74" t="n"/>
      <c r="O4234" s="78">
        <f>IF($A4234="","",YEAR($A4234)*100+MONTH($A4234))</f>
        <v/>
      </c>
      <c r="P4234" s="79">
        <f>IF(OR($F4234="",$D4234=""),"",IF($D4234="Receita",$F4234,IF($D4234="Transferência",0,-$F4234)))</f>
        <v/>
      </c>
    </row>
    <row r="4235">
      <c r="A4235" s="73" t="n"/>
      <c r="B4235" s="74" t="n"/>
      <c r="C4235" s="74" t="n"/>
      <c r="D4235" s="75">
        <f>IF($C4235="","",IFERROR(INDEX(CAT_TIPO,MATCH($C4235,CAT_NOME,0)),"Sem categoria"))</f>
        <v/>
      </c>
      <c r="E4235" s="75">
        <f>IF($C4235="","",IFERROR(INDEX(CAT_GRUPO,MATCH($C4235,CAT_NOME,0)),"Sem categoria"))</f>
        <v/>
      </c>
      <c r="F4235" s="76" t="n"/>
      <c r="G4235" s="74" t="n"/>
      <c r="H4235" s="74" t="n"/>
      <c r="I4235" s="74" t="n"/>
      <c r="J4235" s="77" t="n"/>
      <c r="K4235" s="77" t="n"/>
      <c r="L4235" s="74" t="n"/>
      <c r="M4235" s="74" t="n"/>
      <c r="O4235" s="78">
        <f>IF($A4235="","",YEAR($A4235)*100+MONTH($A4235))</f>
        <v/>
      </c>
      <c r="P4235" s="79">
        <f>IF(OR($F4235="",$D4235=""),"",IF($D4235="Receita",$F4235,IF($D4235="Transferência",0,-$F4235)))</f>
        <v/>
      </c>
    </row>
    <row r="4236">
      <c r="A4236" s="73" t="n"/>
      <c r="B4236" s="74" t="n"/>
      <c r="C4236" s="74" t="n"/>
      <c r="D4236" s="75">
        <f>IF($C4236="","",IFERROR(INDEX(CAT_TIPO,MATCH($C4236,CAT_NOME,0)),"Sem categoria"))</f>
        <v/>
      </c>
      <c r="E4236" s="75">
        <f>IF($C4236="","",IFERROR(INDEX(CAT_GRUPO,MATCH($C4236,CAT_NOME,0)),"Sem categoria"))</f>
        <v/>
      </c>
      <c r="F4236" s="76" t="n"/>
      <c r="G4236" s="74" t="n"/>
      <c r="H4236" s="74" t="n"/>
      <c r="I4236" s="74" t="n"/>
      <c r="J4236" s="77" t="n"/>
      <c r="K4236" s="77" t="n"/>
      <c r="L4236" s="74" t="n"/>
      <c r="M4236" s="74" t="n"/>
      <c r="O4236" s="78">
        <f>IF($A4236="","",YEAR($A4236)*100+MONTH($A4236))</f>
        <v/>
      </c>
      <c r="P4236" s="79">
        <f>IF(OR($F4236="",$D4236=""),"",IF($D4236="Receita",$F4236,IF($D4236="Transferência",0,-$F4236)))</f>
        <v/>
      </c>
    </row>
    <row r="4237">
      <c r="A4237" s="73" t="n"/>
      <c r="B4237" s="74" t="n"/>
      <c r="C4237" s="74" t="n"/>
      <c r="D4237" s="75">
        <f>IF($C4237="","",IFERROR(INDEX(CAT_TIPO,MATCH($C4237,CAT_NOME,0)),"Sem categoria"))</f>
        <v/>
      </c>
      <c r="E4237" s="75">
        <f>IF($C4237="","",IFERROR(INDEX(CAT_GRUPO,MATCH($C4237,CAT_NOME,0)),"Sem categoria"))</f>
        <v/>
      </c>
      <c r="F4237" s="76" t="n"/>
      <c r="G4237" s="74" t="n"/>
      <c r="H4237" s="74" t="n"/>
      <c r="I4237" s="74" t="n"/>
      <c r="J4237" s="77" t="n"/>
      <c r="K4237" s="77" t="n"/>
      <c r="L4237" s="74" t="n"/>
      <c r="M4237" s="74" t="n"/>
      <c r="O4237" s="78">
        <f>IF($A4237="","",YEAR($A4237)*100+MONTH($A4237))</f>
        <v/>
      </c>
      <c r="P4237" s="79">
        <f>IF(OR($F4237="",$D4237=""),"",IF($D4237="Receita",$F4237,IF($D4237="Transferência",0,-$F4237)))</f>
        <v/>
      </c>
    </row>
    <row r="4238">
      <c r="A4238" s="73" t="n"/>
      <c r="B4238" s="74" t="n"/>
      <c r="C4238" s="74" t="n"/>
      <c r="D4238" s="75">
        <f>IF($C4238="","",IFERROR(INDEX(CAT_TIPO,MATCH($C4238,CAT_NOME,0)),"Sem categoria"))</f>
        <v/>
      </c>
      <c r="E4238" s="75">
        <f>IF($C4238="","",IFERROR(INDEX(CAT_GRUPO,MATCH($C4238,CAT_NOME,0)),"Sem categoria"))</f>
        <v/>
      </c>
      <c r="F4238" s="76" t="n"/>
      <c r="G4238" s="74" t="n"/>
      <c r="H4238" s="74" t="n"/>
      <c r="I4238" s="74" t="n"/>
      <c r="J4238" s="77" t="n"/>
      <c r="K4238" s="77" t="n"/>
      <c r="L4238" s="74" t="n"/>
      <c r="M4238" s="74" t="n"/>
      <c r="O4238" s="78">
        <f>IF($A4238="","",YEAR($A4238)*100+MONTH($A4238))</f>
        <v/>
      </c>
      <c r="P4238" s="79">
        <f>IF(OR($F4238="",$D4238=""),"",IF($D4238="Receita",$F4238,IF($D4238="Transferência",0,-$F4238)))</f>
        <v/>
      </c>
    </row>
    <row r="4239">
      <c r="A4239" s="73" t="n"/>
      <c r="B4239" s="74" t="n"/>
      <c r="C4239" s="74" t="n"/>
      <c r="D4239" s="75">
        <f>IF($C4239="","",IFERROR(INDEX(CAT_TIPO,MATCH($C4239,CAT_NOME,0)),"Sem categoria"))</f>
        <v/>
      </c>
      <c r="E4239" s="75">
        <f>IF($C4239="","",IFERROR(INDEX(CAT_GRUPO,MATCH($C4239,CAT_NOME,0)),"Sem categoria"))</f>
        <v/>
      </c>
      <c r="F4239" s="76" t="n"/>
      <c r="G4239" s="74" t="n"/>
      <c r="H4239" s="74" t="n"/>
      <c r="I4239" s="74" t="n"/>
      <c r="J4239" s="77" t="n"/>
      <c r="K4239" s="77" t="n"/>
      <c r="L4239" s="74" t="n"/>
      <c r="M4239" s="74" t="n"/>
      <c r="O4239" s="78">
        <f>IF($A4239="","",YEAR($A4239)*100+MONTH($A4239))</f>
        <v/>
      </c>
      <c r="P4239" s="79">
        <f>IF(OR($F4239="",$D4239=""),"",IF($D4239="Receita",$F4239,IF($D4239="Transferência",0,-$F4239)))</f>
        <v/>
      </c>
    </row>
    <row r="4240">
      <c r="A4240" s="73" t="n"/>
      <c r="B4240" s="74" t="n"/>
      <c r="C4240" s="74" t="n"/>
      <c r="D4240" s="75">
        <f>IF($C4240="","",IFERROR(INDEX(CAT_TIPO,MATCH($C4240,CAT_NOME,0)),"Sem categoria"))</f>
        <v/>
      </c>
      <c r="E4240" s="75">
        <f>IF($C4240="","",IFERROR(INDEX(CAT_GRUPO,MATCH($C4240,CAT_NOME,0)),"Sem categoria"))</f>
        <v/>
      </c>
      <c r="F4240" s="76" t="n"/>
      <c r="G4240" s="74" t="n"/>
      <c r="H4240" s="74" t="n"/>
      <c r="I4240" s="74" t="n"/>
      <c r="J4240" s="77" t="n"/>
      <c r="K4240" s="77" t="n"/>
      <c r="L4240" s="74" t="n"/>
      <c r="M4240" s="74" t="n"/>
      <c r="O4240" s="78">
        <f>IF($A4240="","",YEAR($A4240)*100+MONTH($A4240))</f>
        <v/>
      </c>
      <c r="P4240" s="79">
        <f>IF(OR($F4240="",$D4240=""),"",IF($D4240="Receita",$F4240,IF($D4240="Transferência",0,-$F4240)))</f>
        <v/>
      </c>
    </row>
    <row r="4241">
      <c r="A4241" s="73" t="n"/>
      <c r="B4241" s="74" t="n"/>
      <c r="C4241" s="74" t="n"/>
      <c r="D4241" s="75">
        <f>IF($C4241="","",IFERROR(INDEX(CAT_TIPO,MATCH($C4241,CAT_NOME,0)),"Sem categoria"))</f>
        <v/>
      </c>
      <c r="E4241" s="75">
        <f>IF($C4241="","",IFERROR(INDEX(CAT_GRUPO,MATCH($C4241,CAT_NOME,0)),"Sem categoria"))</f>
        <v/>
      </c>
      <c r="F4241" s="76" t="n"/>
      <c r="G4241" s="74" t="n"/>
      <c r="H4241" s="74" t="n"/>
      <c r="I4241" s="74" t="n"/>
      <c r="J4241" s="77" t="n"/>
      <c r="K4241" s="77" t="n"/>
      <c r="L4241" s="74" t="n"/>
      <c r="M4241" s="74" t="n"/>
      <c r="O4241" s="78">
        <f>IF($A4241="","",YEAR($A4241)*100+MONTH($A4241))</f>
        <v/>
      </c>
      <c r="P4241" s="79">
        <f>IF(OR($F4241="",$D4241=""),"",IF($D4241="Receita",$F4241,IF($D4241="Transferência",0,-$F4241)))</f>
        <v/>
      </c>
    </row>
    <row r="4242">
      <c r="A4242" s="73" t="n"/>
      <c r="B4242" s="74" t="n"/>
      <c r="C4242" s="74" t="n"/>
      <c r="D4242" s="75">
        <f>IF($C4242="","",IFERROR(INDEX(CAT_TIPO,MATCH($C4242,CAT_NOME,0)),"Sem categoria"))</f>
        <v/>
      </c>
      <c r="E4242" s="75">
        <f>IF($C4242="","",IFERROR(INDEX(CAT_GRUPO,MATCH($C4242,CAT_NOME,0)),"Sem categoria"))</f>
        <v/>
      </c>
      <c r="F4242" s="76" t="n"/>
      <c r="G4242" s="74" t="n"/>
      <c r="H4242" s="74" t="n"/>
      <c r="I4242" s="74" t="n"/>
      <c r="J4242" s="77" t="n"/>
      <c r="K4242" s="77" t="n"/>
      <c r="L4242" s="74" t="n"/>
      <c r="M4242" s="74" t="n"/>
      <c r="O4242" s="78">
        <f>IF($A4242="","",YEAR($A4242)*100+MONTH($A4242))</f>
        <v/>
      </c>
      <c r="P4242" s="79">
        <f>IF(OR($F4242="",$D4242=""),"",IF($D4242="Receita",$F4242,IF($D4242="Transferência",0,-$F4242)))</f>
        <v/>
      </c>
    </row>
    <row r="4243">
      <c r="A4243" s="73" t="n"/>
      <c r="B4243" s="74" t="n"/>
      <c r="C4243" s="74" t="n"/>
      <c r="D4243" s="75">
        <f>IF($C4243="","",IFERROR(INDEX(CAT_TIPO,MATCH($C4243,CAT_NOME,0)),"Sem categoria"))</f>
        <v/>
      </c>
      <c r="E4243" s="75">
        <f>IF($C4243="","",IFERROR(INDEX(CAT_GRUPO,MATCH($C4243,CAT_NOME,0)),"Sem categoria"))</f>
        <v/>
      </c>
      <c r="F4243" s="76" t="n"/>
      <c r="G4243" s="74" t="n"/>
      <c r="H4243" s="74" t="n"/>
      <c r="I4243" s="74" t="n"/>
      <c r="J4243" s="77" t="n"/>
      <c r="K4243" s="77" t="n"/>
      <c r="L4243" s="74" t="n"/>
      <c r="M4243" s="74" t="n"/>
      <c r="O4243" s="78">
        <f>IF($A4243="","",YEAR($A4243)*100+MONTH($A4243))</f>
        <v/>
      </c>
      <c r="P4243" s="79">
        <f>IF(OR($F4243="",$D4243=""),"",IF($D4243="Receita",$F4243,IF($D4243="Transferência",0,-$F4243)))</f>
        <v/>
      </c>
    </row>
    <row r="4244">
      <c r="A4244" s="73" t="n"/>
      <c r="B4244" s="74" t="n"/>
      <c r="C4244" s="74" t="n"/>
      <c r="D4244" s="75">
        <f>IF($C4244="","",IFERROR(INDEX(CAT_TIPO,MATCH($C4244,CAT_NOME,0)),"Sem categoria"))</f>
        <v/>
      </c>
      <c r="E4244" s="75">
        <f>IF($C4244="","",IFERROR(INDEX(CAT_GRUPO,MATCH($C4244,CAT_NOME,0)),"Sem categoria"))</f>
        <v/>
      </c>
      <c r="F4244" s="76" t="n"/>
      <c r="G4244" s="74" t="n"/>
      <c r="H4244" s="74" t="n"/>
      <c r="I4244" s="74" t="n"/>
      <c r="J4244" s="77" t="n"/>
      <c r="K4244" s="77" t="n"/>
      <c r="L4244" s="74" t="n"/>
      <c r="M4244" s="74" t="n"/>
      <c r="O4244" s="78">
        <f>IF($A4244="","",YEAR($A4244)*100+MONTH($A4244))</f>
        <v/>
      </c>
      <c r="P4244" s="79">
        <f>IF(OR($F4244="",$D4244=""),"",IF($D4244="Receita",$F4244,IF($D4244="Transferência",0,-$F4244)))</f>
        <v/>
      </c>
    </row>
    <row r="4245">
      <c r="A4245" s="73" t="n"/>
      <c r="B4245" s="74" t="n"/>
      <c r="C4245" s="74" t="n"/>
      <c r="D4245" s="75">
        <f>IF($C4245="","",IFERROR(INDEX(CAT_TIPO,MATCH($C4245,CAT_NOME,0)),"Sem categoria"))</f>
        <v/>
      </c>
      <c r="E4245" s="75">
        <f>IF($C4245="","",IFERROR(INDEX(CAT_GRUPO,MATCH($C4245,CAT_NOME,0)),"Sem categoria"))</f>
        <v/>
      </c>
      <c r="F4245" s="76" t="n"/>
      <c r="G4245" s="74" t="n"/>
      <c r="H4245" s="74" t="n"/>
      <c r="I4245" s="74" t="n"/>
      <c r="J4245" s="77" t="n"/>
      <c r="K4245" s="77" t="n"/>
      <c r="L4245" s="74" t="n"/>
      <c r="M4245" s="74" t="n"/>
      <c r="O4245" s="78">
        <f>IF($A4245="","",YEAR($A4245)*100+MONTH($A4245))</f>
        <v/>
      </c>
      <c r="P4245" s="79">
        <f>IF(OR($F4245="",$D4245=""),"",IF($D4245="Receita",$F4245,IF($D4245="Transferência",0,-$F4245)))</f>
        <v/>
      </c>
    </row>
    <row r="4246">
      <c r="A4246" s="73" t="n"/>
      <c r="B4246" s="74" t="n"/>
      <c r="C4246" s="74" t="n"/>
      <c r="D4246" s="75">
        <f>IF($C4246="","",IFERROR(INDEX(CAT_TIPO,MATCH($C4246,CAT_NOME,0)),"Sem categoria"))</f>
        <v/>
      </c>
      <c r="E4246" s="75">
        <f>IF($C4246="","",IFERROR(INDEX(CAT_GRUPO,MATCH($C4246,CAT_NOME,0)),"Sem categoria"))</f>
        <v/>
      </c>
      <c r="F4246" s="76" t="n"/>
      <c r="G4246" s="74" t="n"/>
      <c r="H4246" s="74" t="n"/>
      <c r="I4246" s="74" t="n"/>
      <c r="J4246" s="77" t="n"/>
      <c r="K4246" s="77" t="n"/>
      <c r="L4246" s="74" t="n"/>
      <c r="M4246" s="74" t="n"/>
      <c r="O4246" s="78">
        <f>IF($A4246="","",YEAR($A4246)*100+MONTH($A4246))</f>
        <v/>
      </c>
      <c r="P4246" s="79">
        <f>IF(OR($F4246="",$D4246=""),"",IF($D4246="Receita",$F4246,IF($D4246="Transferência",0,-$F4246)))</f>
        <v/>
      </c>
    </row>
    <row r="4247">
      <c r="A4247" s="73" t="n"/>
      <c r="B4247" s="74" t="n"/>
      <c r="C4247" s="74" t="n"/>
      <c r="D4247" s="75">
        <f>IF($C4247="","",IFERROR(INDEX(CAT_TIPO,MATCH($C4247,CAT_NOME,0)),"Sem categoria"))</f>
        <v/>
      </c>
      <c r="E4247" s="75">
        <f>IF($C4247="","",IFERROR(INDEX(CAT_GRUPO,MATCH($C4247,CAT_NOME,0)),"Sem categoria"))</f>
        <v/>
      </c>
      <c r="F4247" s="76" t="n"/>
      <c r="G4247" s="74" t="n"/>
      <c r="H4247" s="74" t="n"/>
      <c r="I4247" s="74" t="n"/>
      <c r="J4247" s="77" t="n"/>
      <c r="K4247" s="77" t="n"/>
      <c r="L4247" s="74" t="n"/>
      <c r="M4247" s="74" t="n"/>
      <c r="O4247" s="78">
        <f>IF($A4247="","",YEAR($A4247)*100+MONTH($A4247))</f>
        <v/>
      </c>
      <c r="P4247" s="79">
        <f>IF(OR($F4247="",$D4247=""),"",IF($D4247="Receita",$F4247,IF($D4247="Transferência",0,-$F4247)))</f>
        <v/>
      </c>
    </row>
    <row r="4248">
      <c r="A4248" s="73" t="n"/>
      <c r="B4248" s="74" t="n"/>
      <c r="C4248" s="74" t="n"/>
      <c r="D4248" s="75">
        <f>IF($C4248="","",IFERROR(INDEX(CAT_TIPO,MATCH($C4248,CAT_NOME,0)),"Sem categoria"))</f>
        <v/>
      </c>
      <c r="E4248" s="75">
        <f>IF($C4248="","",IFERROR(INDEX(CAT_GRUPO,MATCH($C4248,CAT_NOME,0)),"Sem categoria"))</f>
        <v/>
      </c>
      <c r="F4248" s="76" t="n"/>
      <c r="G4248" s="74" t="n"/>
      <c r="H4248" s="74" t="n"/>
      <c r="I4248" s="74" t="n"/>
      <c r="J4248" s="77" t="n"/>
      <c r="K4248" s="77" t="n"/>
      <c r="L4248" s="74" t="n"/>
      <c r="M4248" s="74" t="n"/>
      <c r="O4248" s="78">
        <f>IF($A4248="","",YEAR($A4248)*100+MONTH($A4248))</f>
        <v/>
      </c>
      <c r="P4248" s="79">
        <f>IF(OR($F4248="",$D4248=""),"",IF($D4248="Receita",$F4248,IF($D4248="Transferência",0,-$F4248)))</f>
        <v/>
      </c>
    </row>
    <row r="4249">
      <c r="A4249" s="73" t="n"/>
      <c r="B4249" s="74" t="n"/>
      <c r="C4249" s="74" t="n"/>
      <c r="D4249" s="75">
        <f>IF($C4249="","",IFERROR(INDEX(CAT_TIPO,MATCH($C4249,CAT_NOME,0)),"Sem categoria"))</f>
        <v/>
      </c>
      <c r="E4249" s="75">
        <f>IF($C4249="","",IFERROR(INDEX(CAT_GRUPO,MATCH($C4249,CAT_NOME,0)),"Sem categoria"))</f>
        <v/>
      </c>
      <c r="F4249" s="76" t="n"/>
      <c r="G4249" s="74" t="n"/>
      <c r="H4249" s="74" t="n"/>
      <c r="I4249" s="74" t="n"/>
      <c r="J4249" s="77" t="n"/>
      <c r="K4249" s="77" t="n"/>
      <c r="L4249" s="74" t="n"/>
      <c r="M4249" s="74" t="n"/>
      <c r="O4249" s="78">
        <f>IF($A4249="","",YEAR($A4249)*100+MONTH($A4249))</f>
        <v/>
      </c>
      <c r="P4249" s="79">
        <f>IF(OR($F4249="",$D4249=""),"",IF($D4249="Receita",$F4249,IF($D4249="Transferência",0,-$F4249)))</f>
        <v/>
      </c>
    </row>
    <row r="4250">
      <c r="A4250" s="73" t="n"/>
      <c r="B4250" s="74" t="n"/>
      <c r="C4250" s="74" t="n"/>
      <c r="D4250" s="75">
        <f>IF($C4250="","",IFERROR(INDEX(CAT_TIPO,MATCH($C4250,CAT_NOME,0)),"Sem categoria"))</f>
        <v/>
      </c>
      <c r="E4250" s="75">
        <f>IF($C4250="","",IFERROR(INDEX(CAT_GRUPO,MATCH($C4250,CAT_NOME,0)),"Sem categoria"))</f>
        <v/>
      </c>
      <c r="F4250" s="76" t="n"/>
      <c r="G4250" s="74" t="n"/>
      <c r="H4250" s="74" t="n"/>
      <c r="I4250" s="74" t="n"/>
      <c r="J4250" s="77" t="n"/>
      <c r="K4250" s="77" t="n"/>
      <c r="L4250" s="74" t="n"/>
      <c r="M4250" s="74" t="n"/>
      <c r="O4250" s="78">
        <f>IF($A4250="","",YEAR($A4250)*100+MONTH($A4250))</f>
        <v/>
      </c>
      <c r="P4250" s="79">
        <f>IF(OR($F4250="",$D4250=""),"",IF($D4250="Receita",$F4250,IF($D4250="Transferência",0,-$F4250)))</f>
        <v/>
      </c>
    </row>
    <row r="4251">
      <c r="A4251" s="73" t="n"/>
      <c r="B4251" s="74" t="n"/>
      <c r="C4251" s="74" t="n"/>
      <c r="D4251" s="75">
        <f>IF($C4251="","",IFERROR(INDEX(CAT_TIPO,MATCH($C4251,CAT_NOME,0)),"Sem categoria"))</f>
        <v/>
      </c>
      <c r="E4251" s="75">
        <f>IF($C4251="","",IFERROR(INDEX(CAT_GRUPO,MATCH($C4251,CAT_NOME,0)),"Sem categoria"))</f>
        <v/>
      </c>
      <c r="F4251" s="76" t="n"/>
      <c r="G4251" s="74" t="n"/>
      <c r="H4251" s="74" t="n"/>
      <c r="I4251" s="74" t="n"/>
      <c r="J4251" s="77" t="n"/>
      <c r="K4251" s="77" t="n"/>
      <c r="L4251" s="74" t="n"/>
      <c r="M4251" s="74" t="n"/>
      <c r="O4251" s="78">
        <f>IF($A4251="","",YEAR($A4251)*100+MONTH($A4251))</f>
        <v/>
      </c>
      <c r="P4251" s="79">
        <f>IF(OR($F4251="",$D4251=""),"",IF($D4251="Receita",$F4251,IF($D4251="Transferência",0,-$F4251)))</f>
        <v/>
      </c>
    </row>
    <row r="4252">
      <c r="A4252" s="73" t="n"/>
      <c r="B4252" s="74" t="n"/>
      <c r="C4252" s="74" t="n"/>
      <c r="D4252" s="75">
        <f>IF($C4252="","",IFERROR(INDEX(CAT_TIPO,MATCH($C4252,CAT_NOME,0)),"Sem categoria"))</f>
        <v/>
      </c>
      <c r="E4252" s="75">
        <f>IF($C4252="","",IFERROR(INDEX(CAT_GRUPO,MATCH($C4252,CAT_NOME,0)),"Sem categoria"))</f>
        <v/>
      </c>
      <c r="F4252" s="76" t="n"/>
      <c r="G4252" s="74" t="n"/>
      <c r="H4252" s="74" t="n"/>
      <c r="I4252" s="74" t="n"/>
      <c r="J4252" s="77" t="n"/>
      <c r="K4252" s="77" t="n"/>
      <c r="L4252" s="74" t="n"/>
      <c r="M4252" s="74" t="n"/>
      <c r="O4252" s="78">
        <f>IF($A4252="","",YEAR($A4252)*100+MONTH($A4252))</f>
        <v/>
      </c>
      <c r="P4252" s="79">
        <f>IF(OR($F4252="",$D4252=""),"",IF($D4252="Receita",$F4252,IF($D4252="Transferência",0,-$F4252)))</f>
        <v/>
      </c>
    </row>
    <row r="4253">
      <c r="A4253" s="73" t="n"/>
      <c r="B4253" s="74" t="n"/>
      <c r="C4253" s="74" t="n"/>
      <c r="D4253" s="75">
        <f>IF($C4253="","",IFERROR(INDEX(CAT_TIPO,MATCH($C4253,CAT_NOME,0)),"Sem categoria"))</f>
        <v/>
      </c>
      <c r="E4253" s="75">
        <f>IF($C4253="","",IFERROR(INDEX(CAT_GRUPO,MATCH($C4253,CAT_NOME,0)),"Sem categoria"))</f>
        <v/>
      </c>
      <c r="F4253" s="76" t="n"/>
      <c r="G4253" s="74" t="n"/>
      <c r="H4253" s="74" t="n"/>
      <c r="I4253" s="74" t="n"/>
      <c r="J4253" s="77" t="n"/>
      <c r="K4253" s="77" t="n"/>
      <c r="L4253" s="74" t="n"/>
      <c r="M4253" s="74" t="n"/>
      <c r="O4253" s="78">
        <f>IF($A4253="","",YEAR($A4253)*100+MONTH($A4253))</f>
        <v/>
      </c>
      <c r="P4253" s="79">
        <f>IF(OR($F4253="",$D4253=""),"",IF($D4253="Receita",$F4253,IF($D4253="Transferência",0,-$F4253)))</f>
        <v/>
      </c>
    </row>
    <row r="4254">
      <c r="A4254" s="73" t="n"/>
      <c r="B4254" s="74" t="n"/>
      <c r="C4254" s="74" t="n"/>
      <c r="D4254" s="75">
        <f>IF($C4254="","",IFERROR(INDEX(CAT_TIPO,MATCH($C4254,CAT_NOME,0)),"Sem categoria"))</f>
        <v/>
      </c>
      <c r="E4254" s="75">
        <f>IF($C4254="","",IFERROR(INDEX(CAT_GRUPO,MATCH($C4254,CAT_NOME,0)),"Sem categoria"))</f>
        <v/>
      </c>
      <c r="F4254" s="76" t="n"/>
      <c r="G4254" s="74" t="n"/>
      <c r="H4254" s="74" t="n"/>
      <c r="I4254" s="74" t="n"/>
      <c r="J4254" s="77" t="n"/>
      <c r="K4254" s="77" t="n"/>
      <c r="L4254" s="74" t="n"/>
      <c r="M4254" s="74" t="n"/>
      <c r="O4254" s="78">
        <f>IF($A4254="","",YEAR($A4254)*100+MONTH($A4254))</f>
        <v/>
      </c>
      <c r="P4254" s="79">
        <f>IF(OR($F4254="",$D4254=""),"",IF($D4254="Receita",$F4254,IF($D4254="Transferência",0,-$F4254)))</f>
        <v/>
      </c>
    </row>
    <row r="4255">
      <c r="A4255" s="73" t="n"/>
      <c r="B4255" s="74" t="n"/>
      <c r="C4255" s="74" t="n"/>
      <c r="D4255" s="75">
        <f>IF($C4255="","",IFERROR(INDEX(CAT_TIPO,MATCH($C4255,CAT_NOME,0)),"Sem categoria"))</f>
        <v/>
      </c>
      <c r="E4255" s="75">
        <f>IF($C4255="","",IFERROR(INDEX(CAT_GRUPO,MATCH($C4255,CAT_NOME,0)),"Sem categoria"))</f>
        <v/>
      </c>
      <c r="F4255" s="76" t="n"/>
      <c r="G4255" s="74" t="n"/>
      <c r="H4255" s="74" t="n"/>
      <c r="I4255" s="74" t="n"/>
      <c r="J4255" s="77" t="n"/>
      <c r="K4255" s="77" t="n"/>
      <c r="L4255" s="74" t="n"/>
      <c r="M4255" s="74" t="n"/>
      <c r="O4255" s="78">
        <f>IF($A4255="","",YEAR($A4255)*100+MONTH($A4255))</f>
        <v/>
      </c>
      <c r="P4255" s="79">
        <f>IF(OR($F4255="",$D4255=""),"",IF($D4255="Receita",$F4255,IF($D4255="Transferência",0,-$F4255)))</f>
        <v/>
      </c>
    </row>
    <row r="4256">
      <c r="A4256" s="73" t="n"/>
      <c r="B4256" s="74" t="n"/>
      <c r="C4256" s="74" t="n"/>
      <c r="D4256" s="75">
        <f>IF($C4256="","",IFERROR(INDEX(CAT_TIPO,MATCH($C4256,CAT_NOME,0)),"Sem categoria"))</f>
        <v/>
      </c>
      <c r="E4256" s="75">
        <f>IF($C4256="","",IFERROR(INDEX(CAT_GRUPO,MATCH($C4256,CAT_NOME,0)),"Sem categoria"))</f>
        <v/>
      </c>
      <c r="F4256" s="76" t="n"/>
      <c r="G4256" s="74" t="n"/>
      <c r="H4256" s="74" t="n"/>
      <c r="I4256" s="74" t="n"/>
      <c r="J4256" s="77" t="n"/>
      <c r="K4256" s="77" t="n"/>
      <c r="L4256" s="74" t="n"/>
      <c r="M4256" s="74" t="n"/>
      <c r="O4256" s="78">
        <f>IF($A4256="","",YEAR($A4256)*100+MONTH($A4256))</f>
        <v/>
      </c>
      <c r="P4256" s="79">
        <f>IF(OR($F4256="",$D4256=""),"",IF($D4256="Receita",$F4256,IF($D4256="Transferência",0,-$F4256)))</f>
        <v/>
      </c>
    </row>
    <row r="4257">
      <c r="A4257" s="73" t="n"/>
      <c r="B4257" s="74" t="n"/>
      <c r="C4257" s="74" t="n"/>
      <c r="D4257" s="75">
        <f>IF($C4257="","",IFERROR(INDEX(CAT_TIPO,MATCH($C4257,CAT_NOME,0)),"Sem categoria"))</f>
        <v/>
      </c>
      <c r="E4257" s="75">
        <f>IF($C4257="","",IFERROR(INDEX(CAT_GRUPO,MATCH($C4257,CAT_NOME,0)),"Sem categoria"))</f>
        <v/>
      </c>
      <c r="F4257" s="76" t="n"/>
      <c r="G4257" s="74" t="n"/>
      <c r="H4257" s="74" t="n"/>
      <c r="I4257" s="74" t="n"/>
      <c r="J4257" s="77" t="n"/>
      <c r="K4257" s="77" t="n"/>
      <c r="L4257" s="74" t="n"/>
      <c r="M4257" s="74" t="n"/>
      <c r="O4257" s="78">
        <f>IF($A4257="","",YEAR($A4257)*100+MONTH($A4257))</f>
        <v/>
      </c>
      <c r="P4257" s="79">
        <f>IF(OR($F4257="",$D4257=""),"",IF($D4257="Receita",$F4257,IF($D4257="Transferência",0,-$F4257)))</f>
        <v/>
      </c>
    </row>
    <row r="4258">
      <c r="A4258" s="73" t="n"/>
      <c r="B4258" s="74" t="n"/>
      <c r="C4258" s="74" t="n"/>
      <c r="D4258" s="75">
        <f>IF($C4258="","",IFERROR(INDEX(CAT_TIPO,MATCH($C4258,CAT_NOME,0)),"Sem categoria"))</f>
        <v/>
      </c>
      <c r="E4258" s="75">
        <f>IF($C4258="","",IFERROR(INDEX(CAT_GRUPO,MATCH($C4258,CAT_NOME,0)),"Sem categoria"))</f>
        <v/>
      </c>
      <c r="F4258" s="76" t="n"/>
      <c r="G4258" s="74" t="n"/>
      <c r="H4258" s="74" t="n"/>
      <c r="I4258" s="74" t="n"/>
      <c r="J4258" s="77" t="n"/>
      <c r="K4258" s="77" t="n"/>
      <c r="L4258" s="74" t="n"/>
      <c r="M4258" s="74" t="n"/>
      <c r="O4258" s="78">
        <f>IF($A4258="","",YEAR($A4258)*100+MONTH($A4258))</f>
        <v/>
      </c>
      <c r="P4258" s="79">
        <f>IF(OR($F4258="",$D4258=""),"",IF($D4258="Receita",$F4258,IF($D4258="Transferência",0,-$F4258)))</f>
        <v/>
      </c>
    </row>
    <row r="4259">
      <c r="A4259" s="73" t="n"/>
      <c r="B4259" s="74" t="n"/>
      <c r="C4259" s="74" t="n"/>
      <c r="D4259" s="75">
        <f>IF($C4259="","",IFERROR(INDEX(CAT_TIPO,MATCH($C4259,CAT_NOME,0)),"Sem categoria"))</f>
        <v/>
      </c>
      <c r="E4259" s="75">
        <f>IF($C4259="","",IFERROR(INDEX(CAT_GRUPO,MATCH($C4259,CAT_NOME,0)),"Sem categoria"))</f>
        <v/>
      </c>
      <c r="F4259" s="76" t="n"/>
      <c r="G4259" s="74" t="n"/>
      <c r="H4259" s="74" t="n"/>
      <c r="I4259" s="74" t="n"/>
      <c r="J4259" s="77" t="n"/>
      <c r="K4259" s="77" t="n"/>
      <c r="L4259" s="74" t="n"/>
      <c r="M4259" s="74" t="n"/>
      <c r="O4259" s="78">
        <f>IF($A4259="","",YEAR($A4259)*100+MONTH($A4259))</f>
        <v/>
      </c>
      <c r="P4259" s="79">
        <f>IF(OR($F4259="",$D4259=""),"",IF($D4259="Receita",$F4259,IF($D4259="Transferência",0,-$F4259)))</f>
        <v/>
      </c>
    </row>
    <row r="4260">
      <c r="A4260" s="73" t="n"/>
      <c r="B4260" s="74" t="n"/>
      <c r="C4260" s="74" t="n"/>
      <c r="D4260" s="75">
        <f>IF($C4260="","",IFERROR(INDEX(CAT_TIPO,MATCH($C4260,CAT_NOME,0)),"Sem categoria"))</f>
        <v/>
      </c>
      <c r="E4260" s="75">
        <f>IF($C4260="","",IFERROR(INDEX(CAT_GRUPO,MATCH($C4260,CAT_NOME,0)),"Sem categoria"))</f>
        <v/>
      </c>
      <c r="F4260" s="76" t="n"/>
      <c r="G4260" s="74" t="n"/>
      <c r="H4260" s="74" t="n"/>
      <c r="I4260" s="74" t="n"/>
      <c r="J4260" s="77" t="n"/>
      <c r="K4260" s="77" t="n"/>
      <c r="L4260" s="74" t="n"/>
      <c r="M4260" s="74" t="n"/>
      <c r="O4260" s="78">
        <f>IF($A4260="","",YEAR($A4260)*100+MONTH($A4260))</f>
        <v/>
      </c>
      <c r="P4260" s="79">
        <f>IF(OR($F4260="",$D4260=""),"",IF($D4260="Receita",$F4260,IF($D4260="Transferência",0,-$F4260)))</f>
        <v/>
      </c>
    </row>
    <row r="4261">
      <c r="A4261" s="73" t="n"/>
      <c r="B4261" s="74" t="n"/>
      <c r="C4261" s="74" t="n"/>
      <c r="D4261" s="75">
        <f>IF($C4261="","",IFERROR(INDEX(CAT_TIPO,MATCH($C4261,CAT_NOME,0)),"Sem categoria"))</f>
        <v/>
      </c>
      <c r="E4261" s="75">
        <f>IF($C4261="","",IFERROR(INDEX(CAT_GRUPO,MATCH($C4261,CAT_NOME,0)),"Sem categoria"))</f>
        <v/>
      </c>
      <c r="F4261" s="76" t="n"/>
      <c r="G4261" s="74" t="n"/>
      <c r="H4261" s="74" t="n"/>
      <c r="I4261" s="74" t="n"/>
      <c r="J4261" s="77" t="n"/>
      <c r="K4261" s="77" t="n"/>
      <c r="L4261" s="74" t="n"/>
      <c r="M4261" s="74" t="n"/>
      <c r="O4261" s="78">
        <f>IF($A4261="","",YEAR($A4261)*100+MONTH($A4261))</f>
        <v/>
      </c>
      <c r="P4261" s="79">
        <f>IF(OR($F4261="",$D4261=""),"",IF($D4261="Receita",$F4261,IF($D4261="Transferência",0,-$F4261)))</f>
        <v/>
      </c>
    </row>
    <row r="4262">
      <c r="A4262" s="73" t="n"/>
      <c r="B4262" s="74" t="n"/>
      <c r="C4262" s="74" t="n"/>
      <c r="D4262" s="75">
        <f>IF($C4262="","",IFERROR(INDEX(CAT_TIPO,MATCH($C4262,CAT_NOME,0)),"Sem categoria"))</f>
        <v/>
      </c>
      <c r="E4262" s="75">
        <f>IF($C4262="","",IFERROR(INDEX(CAT_GRUPO,MATCH($C4262,CAT_NOME,0)),"Sem categoria"))</f>
        <v/>
      </c>
      <c r="F4262" s="76" t="n"/>
      <c r="G4262" s="74" t="n"/>
      <c r="H4262" s="74" t="n"/>
      <c r="I4262" s="74" t="n"/>
      <c r="J4262" s="77" t="n"/>
      <c r="K4262" s="77" t="n"/>
      <c r="L4262" s="74" t="n"/>
      <c r="M4262" s="74" t="n"/>
      <c r="O4262" s="78">
        <f>IF($A4262="","",YEAR($A4262)*100+MONTH($A4262))</f>
        <v/>
      </c>
      <c r="P4262" s="79">
        <f>IF(OR($F4262="",$D4262=""),"",IF($D4262="Receita",$F4262,IF($D4262="Transferência",0,-$F4262)))</f>
        <v/>
      </c>
    </row>
    <row r="4263">
      <c r="A4263" s="73" t="n"/>
      <c r="B4263" s="74" t="n"/>
      <c r="C4263" s="74" t="n"/>
      <c r="D4263" s="75">
        <f>IF($C4263="","",IFERROR(INDEX(CAT_TIPO,MATCH($C4263,CAT_NOME,0)),"Sem categoria"))</f>
        <v/>
      </c>
      <c r="E4263" s="75">
        <f>IF($C4263="","",IFERROR(INDEX(CAT_GRUPO,MATCH($C4263,CAT_NOME,0)),"Sem categoria"))</f>
        <v/>
      </c>
      <c r="F4263" s="76" t="n"/>
      <c r="G4263" s="74" t="n"/>
      <c r="H4263" s="74" t="n"/>
      <c r="I4263" s="74" t="n"/>
      <c r="J4263" s="77" t="n"/>
      <c r="K4263" s="77" t="n"/>
      <c r="L4263" s="74" t="n"/>
      <c r="M4263" s="74" t="n"/>
      <c r="O4263" s="78">
        <f>IF($A4263="","",YEAR($A4263)*100+MONTH($A4263))</f>
        <v/>
      </c>
      <c r="P4263" s="79">
        <f>IF(OR($F4263="",$D4263=""),"",IF($D4263="Receita",$F4263,IF($D4263="Transferência",0,-$F4263)))</f>
        <v/>
      </c>
    </row>
    <row r="4264">
      <c r="A4264" s="73" t="n"/>
      <c r="B4264" s="74" t="n"/>
      <c r="C4264" s="74" t="n"/>
      <c r="D4264" s="75">
        <f>IF($C4264="","",IFERROR(INDEX(CAT_TIPO,MATCH($C4264,CAT_NOME,0)),"Sem categoria"))</f>
        <v/>
      </c>
      <c r="E4264" s="75">
        <f>IF($C4264="","",IFERROR(INDEX(CAT_GRUPO,MATCH($C4264,CAT_NOME,0)),"Sem categoria"))</f>
        <v/>
      </c>
      <c r="F4264" s="76" t="n"/>
      <c r="G4264" s="74" t="n"/>
      <c r="H4264" s="74" t="n"/>
      <c r="I4264" s="74" t="n"/>
      <c r="J4264" s="77" t="n"/>
      <c r="K4264" s="77" t="n"/>
      <c r="L4264" s="74" t="n"/>
      <c r="M4264" s="74" t="n"/>
      <c r="O4264" s="78">
        <f>IF($A4264="","",YEAR($A4264)*100+MONTH($A4264))</f>
        <v/>
      </c>
      <c r="P4264" s="79">
        <f>IF(OR($F4264="",$D4264=""),"",IF($D4264="Receita",$F4264,IF($D4264="Transferência",0,-$F4264)))</f>
        <v/>
      </c>
    </row>
    <row r="4265">
      <c r="A4265" s="73" t="n"/>
      <c r="B4265" s="74" t="n"/>
      <c r="C4265" s="74" t="n"/>
      <c r="D4265" s="75">
        <f>IF($C4265="","",IFERROR(INDEX(CAT_TIPO,MATCH($C4265,CAT_NOME,0)),"Sem categoria"))</f>
        <v/>
      </c>
      <c r="E4265" s="75">
        <f>IF($C4265="","",IFERROR(INDEX(CAT_GRUPO,MATCH($C4265,CAT_NOME,0)),"Sem categoria"))</f>
        <v/>
      </c>
      <c r="F4265" s="76" t="n"/>
      <c r="G4265" s="74" t="n"/>
      <c r="H4265" s="74" t="n"/>
      <c r="I4265" s="74" t="n"/>
      <c r="J4265" s="77" t="n"/>
      <c r="K4265" s="77" t="n"/>
      <c r="L4265" s="74" t="n"/>
      <c r="M4265" s="74" t="n"/>
      <c r="O4265" s="78">
        <f>IF($A4265="","",YEAR($A4265)*100+MONTH($A4265))</f>
        <v/>
      </c>
      <c r="P4265" s="79">
        <f>IF(OR($F4265="",$D4265=""),"",IF($D4265="Receita",$F4265,IF($D4265="Transferência",0,-$F4265)))</f>
        <v/>
      </c>
    </row>
    <row r="4266">
      <c r="A4266" s="73" t="n"/>
      <c r="B4266" s="74" t="n"/>
      <c r="C4266" s="74" t="n"/>
      <c r="D4266" s="75">
        <f>IF($C4266="","",IFERROR(INDEX(CAT_TIPO,MATCH($C4266,CAT_NOME,0)),"Sem categoria"))</f>
        <v/>
      </c>
      <c r="E4266" s="75">
        <f>IF($C4266="","",IFERROR(INDEX(CAT_GRUPO,MATCH($C4266,CAT_NOME,0)),"Sem categoria"))</f>
        <v/>
      </c>
      <c r="F4266" s="76" t="n"/>
      <c r="G4266" s="74" t="n"/>
      <c r="H4266" s="74" t="n"/>
      <c r="I4266" s="74" t="n"/>
      <c r="J4266" s="77" t="n"/>
      <c r="K4266" s="77" t="n"/>
      <c r="L4266" s="74" t="n"/>
      <c r="M4266" s="74" t="n"/>
      <c r="O4266" s="78">
        <f>IF($A4266="","",YEAR($A4266)*100+MONTH($A4266))</f>
        <v/>
      </c>
      <c r="P4266" s="79">
        <f>IF(OR($F4266="",$D4266=""),"",IF($D4266="Receita",$F4266,IF($D4266="Transferência",0,-$F4266)))</f>
        <v/>
      </c>
    </row>
    <row r="4267">
      <c r="A4267" s="73" t="n"/>
      <c r="B4267" s="74" t="n"/>
      <c r="C4267" s="74" t="n"/>
      <c r="D4267" s="75">
        <f>IF($C4267="","",IFERROR(INDEX(CAT_TIPO,MATCH($C4267,CAT_NOME,0)),"Sem categoria"))</f>
        <v/>
      </c>
      <c r="E4267" s="75">
        <f>IF($C4267="","",IFERROR(INDEX(CAT_GRUPO,MATCH($C4267,CAT_NOME,0)),"Sem categoria"))</f>
        <v/>
      </c>
      <c r="F4267" s="76" t="n"/>
      <c r="G4267" s="74" t="n"/>
      <c r="H4267" s="74" t="n"/>
      <c r="I4267" s="74" t="n"/>
      <c r="J4267" s="77" t="n"/>
      <c r="K4267" s="77" t="n"/>
      <c r="L4267" s="74" t="n"/>
      <c r="M4267" s="74" t="n"/>
      <c r="O4267" s="78">
        <f>IF($A4267="","",YEAR($A4267)*100+MONTH($A4267))</f>
        <v/>
      </c>
      <c r="P4267" s="79">
        <f>IF(OR($F4267="",$D4267=""),"",IF($D4267="Receita",$F4267,IF($D4267="Transferência",0,-$F4267)))</f>
        <v/>
      </c>
    </row>
    <row r="4268">
      <c r="A4268" s="73" t="n"/>
      <c r="B4268" s="74" t="n"/>
      <c r="C4268" s="74" t="n"/>
      <c r="D4268" s="75">
        <f>IF($C4268="","",IFERROR(INDEX(CAT_TIPO,MATCH($C4268,CAT_NOME,0)),"Sem categoria"))</f>
        <v/>
      </c>
      <c r="E4268" s="75">
        <f>IF($C4268="","",IFERROR(INDEX(CAT_GRUPO,MATCH($C4268,CAT_NOME,0)),"Sem categoria"))</f>
        <v/>
      </c>
      <c r="F4268" s="76" t="n"/>
      <c r="G4268" s="74" t="n"/>
      <c r="H4268" s="74" t="n"/>
      <c r="I4268" s="74" t="n"/>
      <c r="J4268" s="77" t="n"/>
      <c r="K4268" s="77" t="n"/>
      <c r="L4268" s="74" t="n"/>
      <c r="M4268" s="74" t="n"/>
      <c r="O4268" s="78">
        <f>IF($A4268="","",YEAR($A4268)*100+MONTH($A4268))</f>
        <v/>
      </c>
      <c r="P4268" s="79">
        <f>IF(OR($F4268="",$D4268=""),"",IF($D4268="Receita",$F4268,IF($D4268="Transferência",0,-$F4268)))</f>
        <v/>
      </c>
    </row>
    <row r="4269">
      <c r="A4269" s="73" t="n"/>
      <c r="B4269" s="74" t="n"/>
      <c r="C4269" s="74" t="n"/>
      <c r="D4269" s="75">
        <f>IF($C4269="","",IFERROR(INDEX(CAT_TIPO,MATCH($C4269,CAT_NOME,0)),"Sem categoria"))</f>
        <v/>
      </c>
      <c r="E4269" s="75">
        <f>IF($C4269="","",IFERROR(INDEX(CAT_GRUPO,MATCH($C4269,CAT_NOME,0)),"Sem categoria"))</f>
        <v/>
      </c>
      <c r="F4269" s="76" t="n"/>
      <c r="G4269" s="74" t="n"/>
      <c r="H4269" s="74" t="n"/>
      <c r="I4269" s="74" t="n"/>
      <c r="J4269" s="77" t="n"/>
      <c r="K4269" s="77" t="n"/>
      <c r="L4269" s="74" t="n"/>
      <c r="M4269" s="74" t="n"/>
      <c r="O4269" s="78">
        <f>IF($A4269="","",YEAR($A4269)*100+MONTH($A4269))</f>
        <v/>
      </c>
      <c r="P4269" s="79">
        <f>IF(OR($F4269="",$D4269=""),"",IF($D4269="Receita",$F4269,IF($D4269="Transferência",0,-$F4269)))</f>
        <v/>
      </c>
    </row>
    <row r="4270">
      <c r="A4270" s="73" t="n"/>
      <c r="B4270" s="74" t="n"/>
      <c r="C4270" s="74" t="n"/>
      <c r="D4270" s="75">
        <f>IF($C4270="","",IFERROR(INDEX(CAT_TIPO,MATCH($C4270,CAT_NOME,0)),"Sem categoria"))</f>
        <v/>
      </c>
      <c r="E4270" s="75">
        <f>IF($C4270="","",IFERROR(INDEX(CAT_GRUPO,MATCH($C4270,CAT_NOME,0)),"Sem categoria"))</f>
        <v/>
      </c>
      <c r="F4270" s="76" t="n"/>
      <c r="G4270" s="74" t="n"/>
      <c r="H4270" s="74" t="n"/>
      <c r="I4270" s="74" t="n"/>
      <c r="J4270" s="77" t="n"/>
      <c r="K4270" s="77" t="n"/>
      <c r="L4270" s="74" t="n"/>
      <c r="M4270" s="74" t="n"/>
      <c r="O4270" s="78">
        <f>IF($A4270="","",YEAR($A4270)*100+MONTH($A4270))</f>
        <v/>
      </c>
      <c r="P4270" s="79">
        <f>IF(OR($F4270="",$D4270=""),"",IF($D4270="Receita",$F4270,IF($D4270="Transferência",0,-$F4270)))</f>
        <v/>
      </c>
    </row>
    <row r="4271">
      <c r="A4271" s="73" t="n"/>
      <c r="B4271" s="74" t="n"/>
      <c r="C4271" s="74" t="n"/>
      <c r="D4271" s="75">
        <f>IF($C4271="","",IFERROR(INDEX(CAT_TIPO,MATCH($C4271,CAT_NOME,0)),"Sem categoria"))</f>
        <v/>
      </c>
      <c r="E4271" s="75">
        <f>IF($C4271="","",IFERROR(INDEX(CAT_GRUPO,MATCH($C4271,CAT_NOME,0)),"Sem categoria"))</f>
        <v/>
      </c>
      <c r="F4271" s="76" t="n"/>
      <c r="G4271" s="74" t="n"/>
      <c r="H4271" s="74" t="n"/>
      <c r="I4271" s="74" t="n"/>
      <c r="J4271" s="77" t="n"/>
      <c r="K4271" s="77" t="n"/>
      <c r="L4271" s="74" t="n"/>
      <c r="M4271" s="74" t="n"/>
      <c r="O4271" s="78">
        <f>IF($A4271="","",YEAR($A4271)*100+MONTH($A4271))</f>
        <v/>
      </c>
      <c r="P4271" s="79">
        <f>IF(OR($F4271="",$D4271=""),"",IF($D4271="Receita",$F4271,IF($D4271="Transferência",0,-$F4271)))</f>
        <v/>
      </c>
    </row>
    <row r="4272">
      <c r="A4272" s="73" t="n"/>
      <c r="B4272" s="74" t="n"/>
      <c r="C4272" s="74" t="n"/>
      <c r="D4272" s="75">
        <f>IF($C4272="","",IFERROR(INDEX(CAT_TIPO,MATCH($C4272,CAT_NOME,0)),"Sem categoria"))</f>
        <v/>
      </c>
      <c r="E4272" s="75">
        <f>IF($C4272="","",IFERROR(INDEX(CAT_GRUPO,MATCH($C4272,CAT_NOME,0)),"Sem categoria"))</f>
        <v/>
      </c>
      <c r="F4272" s="76" t="n"/>
      <c r="G4272" s="74" t="n"/>
      <c r="H4272" s="74" t="n"/>
      <c r="I4272" s="74" t="n"/>
      <c r="J4272" s="77" t="n"/>
      <c r="K4272" s="77" t="n"/>
      <c r="L4272" s="74" t="n"/>
      <c r="M4272" s="74" t="n"/>
      <c r="O4272" s="78">
        <f>IF($A4272="","",YEAR($A4272)*100+MONTH($A4272))</f>
        <v/>
      </c>
      <c r="P4272" s="79">
        <f>IF(OR($F4272="",$D4272=""),"",IF($D4272="Receita",$F4272,IF($D4272="Transferência",0,-$F4272)))</f>
        <v/>
      </c>
    </row>
    <row r="4273">
      <c r="A4273" s="73" t="n"/>
      <c r="B4273" s="74" t="n"/>
      <c r="C4273" s="74" t="n"/>
      <c r="D4273" s="75">
        <f>IF($C4273="","",IFERROR(INDEX(CAT_TIPO,MATCH($C4273,CAT_NOME,0)),"Sem categoria"))</f>
        <v/>
      </c>
      <c r="E4273" s="75">
        <f>IF($C4273="","",IFERROR(INDEX(CAT_GRUPO,MATCH($C4273,CAT_NOME,0)),"Sem categoria"))</f>
        <v/>
      </c>
      <c r="F4273" s="76" t="n"/>
      <c r="G4273" s="74" t="n"/>
      <c r="H4273" s="74" t="n"/>
      <c r="I4273" s="74" t="n"/>
      <c r="J4273" s="77" t="n"/>
      <c r="K4273" s="77" t="n"/>
      <c r="L4273" s="74" t="n"/>
      <c r="M4273" s="74" t="n"/>
      <c r="O4273" s="78">
        <f>IF($A4273="","",YEAR($A4273)*100+MONTH($A4273))</f>
        <v/>
      </c>
      <c r="P4273" s="79">
        <f>IF(OR($F4273="",$D4273=""),"",IF($D4273="Receita",$F4273,IF($D4273="Transferência",0,-$F4273)))</f>
        <v/>
      </c>
    </row>
    <row r="4274">
      <c r="A4274" s="73" t="n"/>
      <c r="B4274" s="74" t="n"/>
      <c r="C4274" s="74" t="n"/>
      <c r="D4274" s="75">
        <f>IF($C4274="","",IFERROR(INDEX(CAT_TIPO,MATCH($C4274,CAT_NOME,0)),"Sem categoria"))</f>
        <v/>
      </c>
      <c r="E4274" s="75">
        <f>IF($C4274="","",IFERROR(INDEX(CAT_GRUPO,MATCH($C4274,CAT_NOME,0)),"Sem categoria"))</f>
        <v/>
      </c>
      <c r="F4274" s="76" t="n"/>
      <c r="G4274" s="74" t="n"/>
      <c r="H4274" s="74" t="n"/>
      <c r="I4274" s="74" t="n"/>
      <c r="J4274" s="77" t="n"/>
      <c r="K4274" s="77" t="n"/>
      <c r="L4274" s="74" t="n"/>
      <c r="M4274" s="74" t="n"/>
      <c r="O4274" s="78">
        <f>IF($A4274="","",YEAR($A4274)*100+MONTH($A4274))</f>
        <v/>
      </c>
      <c r="P4274" s="79">
        <f>IF(OR($F4274="",$D4274=""),"",IF($D4274="Receita",$F4274,IF($D4274="Transferência",0,-$F4274)))</f>
        <v/>
      </c>
    </row>
    <row r="4275">
      <c r="A4275" s="73" t="n"/>
      <c r="B4275" s="74" t="n"/>
      <c r="C4275" s="74" t="n"/>
      <c r="D4275" s="75">
        <f>IF($C4275="","",IFERROR(INDEX(CAT_TIPO,MATCH($C4275,CAT_NOME,0)),"Sem categoria"))</f>
        <v/>
      </c>
      <c r="E4275" s="75">
        <f>IF($C4275="","",IFERROR(INDEX(CAT_GRUPO,MATCH($C4275,CAT_NOME,0)),"Sem categoria"))</f>
        <v/>
      </c>
      <c r="F4275" s="76" t="n"/>
      <c r="G4275" s="74" t="n"/>
      <c r="H4275" s="74" t="n"/>
      <c r="I4275" s="74" t="n"/>
      <c r="J4275" s="77" t="n"/>
      <c r="K4275" s="77" t="n"/>
      <c r="L4275" s="74" t="n"/>
      <c r="M4275" s="74" t="n"/>
      <c r="O4275" s="78">
        <f>IF($A4275="","",YEAR($A4275)*100+MONTH($A4275))</f>
        <v/>
      </c>
      <c r="P4275" s="79">
        <f>IF(OR($F4275="",$D4275=""),"",IF($D4275="Receita",$F4275,IF($D4275="Transferência",0,-$F4275)))</f>
        <v/>
      </c>
    </row>
    <row r="4276">
      <c r="A4276" s="73" t="n"/>
      <c r="B4276" s="74" t="n"/>
      <c r="C4276" s="74" t="n"/>
      <c r="D4276" s="75">
        <f>IF($C4276="","",IFERROR(INDEX(CAT_TIPO,MATCH($C4276,CAT_NOME,0)),"Sem categoria"))</f>
        <v/>
      </c>
      <c r="E4276" s="75">
        <f>IF($C4276="","",IFERROR(INDEX(CAT_GRUPO,MATCH($C4276,CAT_NOME,0)),"Sem categoria"))</f>
        <v/>
      </c>
      <c r="F4276" s="76" t="n"/>
      <c r="G4276" s="74" t="n"/>
      <c r="H4276" s="74" t="n"/>
      <c r="I4276" s="74" t="n"/>
      <c r="J4276" s="77" t="n"/>
      <c r="K4276" s="77" t="n"/>
      <c r="L4276" s="74" t="n"/>
      <c r="M4276" s="74" t="n"/>
      <c r="O4276" s="78">
        <f>IF($A4276="","",YEAR($A4276)*100+MONTH($A4276))</f>
        <v/>
      </c>
      <c r="P4276" s="79">
        <f>IF(OR($F4276="",$D4276=""),"",IF($D4276="Receita",$F4276,IF($D4276="Transferência",0,-$F4276)))</f>
        <v/>
      </c>
    </row>
    <row r="4277">
      <c r="A4277" s="73" t="n"/>
      <c r="B4277" s="74" t="n"/>
      <c r="C4277" s="74" t="n"/>
      <c r="D4277" s="75">
        <f>IF($C4277="","",IFERROR(INDEX(CAT_TIPO,MATCH($C4277,CAT_NOME,0)),"Sem categoria"))</f>
        <v/>
      </c>
      <c r="E4277" s="75">
        <f>IF($C4277="","",IFERROR(INDEX(CAT_GRUPO,MATCH($C4277,CAT_NOME,0)),"Sem categoria"))</f>
        <v/>
      </c>
      <c r="F4277" s="76" t="n"/>
      <c r="G4277" s="74" t="n"/>
      <c r="H4277" s="74" t="n"/>
      <c r="I4277" s="74" t="n"/>
      <c r="J4277" s="77" t="n"/>
      <c r="K4277" s="77" t="n"/>
      <c r="L4277" s="74" t="n"/>
      <c r="M4277" s="74" t="n"/>
      <c r="O4277" s="78">
        <f>IF($A4277="","",YEAR($A4277)*100+MONTH($A4277))</f>
        <v/>
      </c>
      <c r="P4277" s="79">
        <f>IF(OR($F4277="",$D4277=""),"",IF($D4277="Receita",$F4277,IF($D4277="Transferência",0,-$F4277)))</f>
        <v/>
      </c>
    </row>
    <row r="4278">
      <c r="A4278" s="73" t="n"/>
      <c r="B4278" s="74" t="n"/>
      <c r="C4278" s="74" t="n"/>
      <c r="D4278" s="75">
        <f>IF($C4278="","",IFERROR(INDEX(CAT_TIPO,MATCH($C4278,CAT_NOME,0)),"Sem categoria"))</f>
        <v/>
      </c>
      <c r="E4278" s="75">
        <f>IF($C4278="","",IFERROR(INDEX(CAT_GRUPO,MATCH($C4278,CAT_NOME,0)),"Sem categoria"))</f>
        <v/>
      </c>
      <c r="F4278" s="76" t="n"/>
      <c r="G4278" s="74" t="n"/>
      <c r="H4278" s="74" t="n"/>
      <c r="I4278" s="74" t="n"/>
      <c r="J4278" s="77" t="n"/>
      <c r="K4278" s="77" t="n"/>
      <c r="L4278" s="74" t="n"/>
      <c r="M4278" s="74" t="n"/>
      <c r="O4278" s="78">
        <f>IF($A4278="","",YEAR($A4278)*100+MONTH($A4278))</f>
        <v/>
      </c>
      <c r="P4278" s="79">
        <f>IF(OR($F4278="",$D4278=""),"",IF($D4278="Receita",$F4278,IF($D4278="Transferência",0,-$F4278)))</f>
        <v/>
      </c>
    </row>
    <row r="4279">
      <c r="A4279" s="73" t="n"/>
      <c r="B4279" s="74" t="n"/>
      <c r="C4279" s="74" t="n"/>
      <c r="D4279" s="75">
        <f>IF($C4279="","",IFERROR(INDEX(CAT_TIPO,MATCH($C4279,CAT_NOME,0)),"Sem categoria"))</f>
        <v/>
      </c>
      <c r="E4279" s="75">
        <f>IF($C4279="","",IFERROR(INDEX(CAT_GRUPO,MATCH($C4279,CAT_NOME,0)),"Sem categoria"))</f>
        <v/>
      </c>
      <c r="F4279" s="76" t="n"/>
      <c r="G4279" s="74" t="n"/>
      <c r="H4279" s="74" t="n"/>
      <c r="I4279" s="74" t="n"/>
      <c r="J4279" s="77" t="n"/>
      <c r="K4279" s="77" t="n"/>
      <c r="L4279" s="74" t="n"/>
      <c r="M4279" s="74" t="n"/>
      <c r="O4279" s="78">
        <f>IF($A4279="","",YEAR($A4279)*100+MONTH($A4279))</f>
        <v/>
      </c>
      <c r="P4279" s="79">
        <f>IF(OR($F4279="",$D4279=""),"",IF($D4279="Receita",$F4279,IF($D4279="Transferência",0,-$F4279)))</f>
        <v/>
      </c>
    </row>
    <row r="4280">
      <c r="A4280" s="73" t="n"/>
      <c r="B4280" s="74" t="n"/>
      <c r="C4280" s="74" t="n"/>
      <c r="D4280" s="75">
        <f>IF($C4280="","",IFERROR(INDEX(CAT_TIPO,MATCH($C4280,CAT_NOME,0)),"Sem categoria"))</f>
        <v/>
      </c>
      <c r="E4280" s="75">
        <f>IF($C4280="","",IFERROR(INDEX(CAT_GRUPO,MATCH($C4280,CAT_NOME,0)),"Sem categoria"))</f>
        <v/>
      </c>
      <c r="F4280" s="76" t="n"/>
      <c r="G4280" s="74" t="n"/>
      <c r="H4280" s="74" t="n"/>
      <c r="I4280" s="74" t="n"/>
      <c r="J4280" s="77" t="n"/>
      <c r="K4280" s="77" t="n"/>
      <c r="L4280" s="74" t="n"/>
      <c r="M4280" s="74" t="n"/>
      <c r="O4280" s="78">
        <f>IF($A4280="","",YEAR($A4280)*100+MONTH($A4280))</f>
        <v/>
      </c>
      <c r="P4280" s="79">
        <f>IF(OR($F4280="",$D4280=""),"",IF($D4280="Receita",$F4280,IF($D4280="Transferência",0,-$F4280)))</f>
        <v/>
      </c>
    </row>
    <row r="4281">
      <c r="A4281" s="73" t="n"/>
      <c r="B4281" s="74" t="n"/>
      <c r="C4281" s="74" t="n"/>
      <c r="D4281" s="75">
        <f>IF($C4281="","",IFERROR(INDEX(CAT_TIPO,MATCH($C4281,CAT_NOME,0)),"Sem categoria"))</f>
        <v/>
      </c>
      <c r="E4281" s="75">
        <f>IF($C4281="","",IFERROR(INDEX(CAT_GRUPO,MATCH($C4281,CAT_NOME,0)),"Sem categoria"))</f>
        <v/>
      </c>
      <c r="F4281" s="76" t="n"/>
      <c r="G4281" s="74" t="n"/>
      <c r="H4281" s="74" t="n"/>
      <c r="I4281" s="74" t="n"/>
      <c r="J4281" s="77" t="n"/>
      <c r="K4281" s="77" t="n"/>
      <c r="L4281" s="74" t="n"/>
      <c r="M4281" s="74" t="n"/>
      <c r="O4281" s="78">
        <f>IF($A4281="","",YEAR($A4281)*100+MONTH($A4281))</f>
        <v/>
      </c>
      <c r="P4281" s="79">
        <f>IF(OR($F4281="",$D4281=""),"",IF($D4281="Receita",$F4281,IF($D4281="Transferência",0,-$F4281)))</f>
        <v/>
      </c>
    </row>
    <row r="4282">
      <c r="A4282" s="73" t="n"/>
      <c r="B4282" s="74" t="n"/>
      <c r="C4282" s="74" t="n"/>
      <c r="D4282" s="75">
        <f>IF($C4282="","",IFERROR(INDEX(CAT_TIPO,MATCH($C4282,CAT_NOME,0)),"Sem categoria"))</f>
        <v/>
      </c>
      <c r="E4282" s="75">
        <f>IF($C4282="","",IFERROR(INDEX(CAT_GRUPO,MATCH($C4282,CAT_NOME,0)),"Sem categoria"))</f>
        <v/>
      </c>
      <c r="F4282" s="76" t="n"/>
      <c r="G4282" s="74" t="n"/>
      <c r="H4282" s="74" t="n"/>
      <c r="I4282" s="74" t="n"/>
      <c r="J4282" s="77" t="n"/>
      <c r="K4282" s="77" t="n"/>
      <c r="L4282" s="74" t="n"/>
      <c r="M4282" s="74" t="n"/>
      <c r="O4282" s="78">
        <f>IF($A4282="","",YEAR($A4282)*100+MONTH($A4282))</f>
        <v/>
      </c>
      <c r="P4282" s="79">
        <f>IF(OR($F4282="",$D4282=""),"",IF($D4282="Receita",$F4282,IF($D4282="Transferência",0,-$F4282)))</f>
        <v/>
      </c>
    </row>
    <row r="4283">
      <c r="A4283" s="73" t="n"/>
      <c r="B4283" s="74" t="n"/>
      <c r="C4283" s="74" t="n"/>
      <c r="D4283" s="75">
        <f>IF($C4283="","",IFERROR(INDEX(CAT_TIPO,MATCH($C4283,CAT_NOME,0)),"Sem categoria"))</f>
        <v/>
      </c>
      <c r="E4283" s="75">
        <f>IF($C4283="","",IFERROR(INDEX(CAT_GRUPO,MATCH($C4283,CAT_NOME,0)),"Sem categoria"))</f>
        <v/>
      </c>
      <c r="F4283" s="76" t="n"/>
      <c r="G4283" s="74" t="n"/>
      <c r="H4283" s="74" t="n"/>
      <c r="I4283" s="74" t="n"/>
      <c r="J4283" s="77" t="n"/>
      <c r="K4283" s="77" t="n"/>
      <c r="L4283" s="74" t="n"/>
      <c r="M4283" s="74" t="n"/>
      <c r="O4283" s="78">
        <f>IF($A4283="","",YEAR($A4283)*100+MONTH($A4283))</f>
        <v/>
      </c>
      <c r="P4283" s="79">
        <f>IF(OR($F4283="",$D4283=""),"",IF($D4283="Receita",$F4283,IF($D4283="Transferência",0,-$F4283)))</f>
        <v/>
      </c>
    </row>
    <row r="4284">
      <c r="A4284" s="73" t="n"/>
      <c r="B4284" s="74" t="n"/>
      <c r="C4284" s="74" t="n"/>
      <c r="D4284" s="75">
        <f>IF($C4284="","",IFERROR(INDEX(CAT_TIPO,MATCH($C4284,CAT_NOME,0)),"Sem categoria"))</f>
        <v/>
      </c>
      <c r="E4284" s="75">
        <f>IF($C4284="","",IFERROR(INDEX(CAT_GRUPO,MATCH($C4284,CAT_NOME,0)),"Sem categoria"))</f>
        <v/>
      </c>
      <c r="F4284" s="76" t="n"/>
      <c r="G4284" s="74" t="n"/>
      <c r="H4284" s="74" t="n"/>
      <c r="I4284" s="74" t="n"/>
      <c r="J4284" s="77" t="n"/>
      <c r="K4284" s="77" t="n"/>
      <c r="L4284" s="74" t="n"/>
      <c r="M4284" s="74" t="n"/>
      <c r="O4284" s="78">
        <f>IF($A4284="","",YEAR($A4284)*100+MONTH($A4284))</f>
        <v/>
      </c>
      <c r="P4284" s="79">
        <f>IF(OR($F4284="",$D4284=""),"",IF($D4284="Receita",$F4284,IF($D4284="Transferência",0,-$F4284)))</f>
        <v/>
      </c>
    </row>
    <row r="4285">
      <c r="A4285" s="73" t="n"/>
      <c r="B4285" s="74" t="n"/>
      <c r="C4285" s="74" t="n"/>
      <c r="D4285" s="75">
        <f>IF($C4285="","",IFERROR(INDEX(CAT_TIPO,MATCH($C4285,CAT_NOME,0)),"Sem categoria"))</f>
        <v/>
      </c>
      <c r="E4285" s="75">
        <f>IF($C4285="","",IFERROR(INDEX(CAT_GRUPO,MATCH($C4285,CAT_NOME,0)),"Sem categoria"))</f>
        <v/>
      </c>
      <c r="F4285" s="76" t="n"/>
      <c r="G4285" s="74" t="n"/>
      <c r="H4285" s="74" t="n"/>
      <c r="I4285" s="74" t="n"/>
      <c r="J4285" s="77" t="n"/>
      <c r="K4285" s="77" t="n"/>
      <c r="L4285" s="74" t="n"/>
      <c r="M4285" s="74" t="n"/>
      <c r="O4285" s="78">
        <f>IF($A4285="","",YEAR($A4285)*100+MONTH($A4285))</f>
        <v/>
      </c>
      <c r="P4285" s="79">
        <f>IF(OR($F4285="",$D4285=""),"",IF($D4285="Receita",$F4285,IF($D4285="Transferência",0,-$F4285)))</f>
        <v/>
      </c>
    </row>
    <row r="4286">
      <c r="A4286" s="73" t="n"/>
      <c r="B4286" s="74" t="n"/>
      <c r="C4286" s="74" t="n"/>
      <c r="D4286" s="75">
        <f>IF($C4286="","",IFERROR(INDEX(CAT_TIPO,MATCH($C4286,CAT_NOME,0)),"Sem categoria"))</f>
        <v/>
      </c>
      <c r="E4286" s="75">
        <f>IF($C4286="","",IFERROR(INDEX(CAT_GRUPO,MATCH($C4286,CAT_NOME,0)),"Sem categoria"))</f>
        <v/>
      </c>
      <c r="F4286" s="76" t="n"/>
      <c r="G4286" s="74" t="n"/>
      <c r="H4286" s="74" t="n"/>
      <c r="I4286" s="74" t="n"/>
      <c r="J4286" s="77" t="n"/>
      <c r="K4286" s="77" t="n"/>
      <c r="L4286" s="74" t="n"/>
      <c r="M4286" s="74" t="n"/>
      <c r="O4286" s="78">
        <f>IF($A4286="","",YEAR($A4286)*100+MONTH($A4286))</f>
        <v/>
      </c>
      <c r="P4286" s="79">
        <f>IF(OR($F4286="",$D4286=""),"",IF($D4286="Receita",$F4286,IF($D4286="Transferência",0,-$F4286)))</f>
        <v/>
      </c>
    </row>
    <row r="4287">
      <c r="A4287" s="73" t="n"/>
      <c r="B4287" s="74" t="n"/>
      <c r="C4287" s="74" t="n"/>
      <c r="D4287" s="75">
        <f>IF($C4287="","",IFERROR(INDEX(CAT_TIPO,MATCH($C4287,CAT_NOME,0)),"Sem categoria"))</f>
        <v/>
      </c>
      <c r="E4287" s="75">
        <f>IF($C4287="","",IFERROR(INDEX(CAT_GRUPO,MATCH($C4287,CAT_NOME,0)),"Sem categoria"))</f>
        <v/>
      </c>
      <c r="F4287" s="76" t="n"/>
      <c r="G4287" s="74" t="n"/>
      <c r="H4287" s="74" t="n"/>
      <c r="I4287" s="74" t="n"/>
      <c r="J4287" s="77" t="n"/>
      <c r="K4287" s="77" t="n"/>
      <c r="L4287" s="74" t="n"/>
      <c r="M4287" s="74" t="n"/>
      <c r="O4287" s="78">
        <f>IF($A4287="","",YEAR($A4287)*100+MONTH($A4287))</f>
        <v/>
      </c>
      <c r="P4287" s="79">
        <f>IF(OR($F4287="",$D4287=""),"",IF($D4287="Receita",$F4287,IF($D4287="Transferência",0,-$F4287)))</f>
        <v/>
      </c>
    </row>
    <row r="4288">
      <c r="A4288" s="73" t="n"/>
      <c r="B4288" s="74" t="n"/>
      <c r="C4288" s="74" t="n"/>
      <c r="D4288" s="75">
        <f>IF($C4288="","",IFERROR(INDEX(CAT_TIPO,MATCH($C4288,CAT_NOME,0)),"Sem categoria"))</f>
        <v/>
      </c>
      <c r="E4288" s="75">
        <f>IF($C4288="","",IFERROR(INDEX(CAT_GRUPO,MATCH($C4288,CAT_NOME,0)),"Sem categoria"))</f>
        <v/>
      </c>
      <c r="F4288" s="76" t="n"/>
      <c r="G4288" s="74" t="n"/>
      <c r="H4288" s="74" t="n"/>
      <c r="I4288" s="74" t="n"/>
      <c r="J4288" s="77" t="n"/>
      <c r="K4288" s="77" t="n"/>
      <c r="L4288" s="74" t="n"/>
      <c r="M4288" s="74" t="n"/>
      <c r="O4288" s="78">
        <f>IF($A4288="","",YEAR($A4288)*100+MONTH($A4288))</f>
        <v/>
      </c>
      <c r="P4288" s="79">
        <f>IF(OR($F4288="",$D4288=""),"",IF($D4288="Receita",$F4288,IF($D4288="Transferência",0,-$F4288)))</f>
        <v/>
      </c>
    </row>
    <row r="4289">
      <c r="A4289" s="73" t="n"/>
      <c r="B4289" s="74" t="n"/>
      <c r="C4289" s="74" t="n"/>
      <c r="D4289" s="75">
        <f>IF($C4289="","",IFERROR(INDEX(CAT_TIPO,MATCH($C4289,CAT_NOME,0)),"Sem categoria"))</f>
        <v/>
      </c>
      <c r="E4289" s="75">
        <f>IF($C4289="","",IFERROR(INDEX(CAT_GRUPO,MATCH($C4289,CAT_NOME,0)),"Sem categoria"))</f>
        <v/>
      </c>
      <c r="F4289" s="76" t="n"/>
      <c r="G4289" s="74" t="n"/>
      <c r="H4289" s="74" t="n"/>
      <c r="I4289" s="74" t="n"/>
      <c r="J4289" s="77" t="n"/>
      <c r="K4289" s="77" t="n"/>
      <c r="L4289" s="74" t="n"/>
      <c r="M4289" s="74" t="n"/>
      <c r="O4289" s="78">
        <f>IF($A4289="","",YEAR($A4289)*100+MONTH($A4289))</f>
        <v/>
      </c>
      <c r="P4289" s="79">
        <f>IF(OR($F4289="",$D4289=""),"",IF($D4289="Receita",$F4289,IF($D4289="Transferência",0,-$F4289)))</f>
        <v/>
      </c>
    </row>
    <row r="4290">
      <c r="A4290" s="73" t="n"/>
      <c r="B4290" s="74" t="n"/>
      <c r="C4290" s="74" t="n"/>
      <c r="D4290" s="75">
        <f>IF($C4290="","",IFERROR(INDEX(CAT_TIPO,MATCH($C4290,CAT_NOME,0)),"Sem categoria"))</f>
        <v/>
      </c>
      <c r="E4290" s="75">
        <f>IF($C4290="","",IFERROR(INDEX(CAT_GRUPO,MATCH($C4290,CAT_NOME,0)),"Sem categoria"))</f>
        <v/>
      </c>
      <c r="F4290" s="76" t="n"/>
      <c r="G4290" s="74" t="n"/>
      <c r="H4290" s="74" t="n"/>
      <c r="I4290" s="74" t="n"/>
      <c r="J4290" s="77" t="n"/>
      <c r="K4290" s="77" t="n"/>
      <c r="L4290" s="74" t="n"/>
      <c r="M4290" s="74" t="n"/>
      <c r="O4290" s="78">
        <f>IF($A4290="","",YEAR($A4290)*100+MONTH($A4290))</f>
        <v/>
      </c>
      <c r="P4290" s="79">
        <f>IF(OR($F4290="",$D4290=""),"",IF($D4290="Receita",$F4290,IF($D4290="Transferência",0,-$F4290)))</f>
        <v/>
      </c>
    </row>
    <row r="4291">
      <c r="A4291" s="73" t="n"/>
      <c r="B4291" s="74" t="n"/>
      <c r="C4291" s="74" t="n"/>
      <c r="D4291" s="75">
        <f>IF($C4291="","",IFERROR(INDEX(CAT_TIPO,MATCH($C4291,CAT_NOME,0)),"Sem categoria"))</f>
        <v/>
      </c>
      <c r="E4291" s="75">
        <f>IF($C4291="","",IFERROR(INDEX(CAT_GRUPO,MATCH($C4291,CAT_NOME,0)),"Sem categoria"))</f>
        <v/>
      </c>
      <c r="F4291" s="76" t="n"/>
      <c r="G4291" s="74" t="n"/>
      <c r="H4291" s="74" t="n"/>
      <c r="I4291" s="74" t="n"/>
      <c r="J4291" s="77" t="n"/>
      <c r="K4291" s="77" t="n"/>
      <c r="L4291" s="74" t="n"/>
      <c r="M4291" s="74" t="n"/>
      <c r="O4291" s="78">
        <f>IF($A4291="","",YEAR($A4291)*100+MONTH($A4291))</f>
        <v/>
      </c>
      <c r="P4291" s="79">
        <f>IF(OR($F4291="",$D4291=""),"",IF($D4291="Receita",$F4291,IF($D4291="Transferência",0,-$F4291)))</f>
        <v/>
      </c>
    </row>
    <row r="4292">
      <c r="A4292" s="73" t="n"/>
      <c r="B4292" s="74" t="n"/>
      <c r="C4292" s="74" t="n"/>
      <c r="D4292" s="75">
        <f>IF($C4292="","",IFERROR(INDEX(CAT_TIPO,MATCH($C4292,CAT_NOME,0)),"Sem categoria"))</f>
        <v/>
      </c>
      <c r="E4292" s="75">
        <f>IF($C4292="","",IFERROR(INDEX(CAT_GRUPO,MATCH($C4292,CAT_NOME,0)),"Sem categoria"))</f>
        <v/>
      </c>
      <c r="F4292" s="76" t="n"/>
      <c r="G4292" s="74" t="n"/>
      <c r="H4292" s="74" t="n"/>
      <c r="I4292" s="74" t="n"/>
      <c r="J4292" s="77" t="n"/>
      <c r="K4292" s="77" t="n"/>
      <c r="L4292" s="74" t="n"/>
      <c r="M4292" s="74" t="n"/>
      <c r="O4292" s="78">
        <f>IF($A4292="","",YEAR($A4292)*100+MONTH($A4292))</f>
        <v/>
      </c>
      <c r="P4292" s="79">
        <f>IF(OR($F4292="",$D4292=""),"",IF($D4292="Receita",$F4292,IF($D4292="Transferência",0,-$F4292)))</f>
        <v/>
      </c>
    </row>
    <row r="4293">
      <c r="A4293" s="73" t="n"/>
      <c r="B4293" s="74" t="n"/>
      <c r="C4293" s="74" t="n"/>
      <c r="D4293" s="75">
        <f>IF($C4293="","",IFERROR(INDEX(CAT_TIPO,MATCH($C4293,CAT_NOME,0)),"Sem categoria"))</f>
        <v/>
      </c>
      <c r="E4293" s="75">
        <f>IF($C4293="","",IFERROR(INDEX(CAT_GRUPO,MATCH($C4293,CAT_NOME,0)),"Sem categoria"))</f>
        <v/>
      </c>
      <c r="F4293" s="76" t="n"/>
      <c r="G4293" s="74" t="n"/>
      <c r="H4293" s="74" t="n"/>
      <c r="I4293" s="74" t="n"/>
      <c r="J4293" s="77" t="n"/>
      <c r="K4293" s="77" t="n"/>
      <c r="L4293" s="74" t="n"/>
      <c r="M4293" s="74" t="n"/>
      <c r="O4293" s="78">
        <f>IF($A4293="","",YEAR($A4293)*100+MONTH($A4293))</f>
        <v/>
      </c>
      <c r="P4293" s="79">
        <f>IF(OR($F4293="",$D4293=""),"",IF($D4293="Receita",$F4293,IF($D4293="Transferência",0,-$F4293)))</f>
        <v/>
      </c>
    </row>
    <row r="4294">
      <c r="A4294" s="73" t="n"/>
      <c r="B4294" s="74" t="n"/>
      <c r="C4294" s="74" t="n"/>
      <c r="D4294" s="75">
        <f>IF($C4294="","",IFERROR(INDEX(CAT_TIPO,MATCH($C4294,CAT_NOME,0)),"Sem categoria"))</f>
        <v/>
      </c>
      <c r="E4294" s="75">
        <f>IF($C4294="","",IFERROR(INDEX(CAT_GRUPO,MATCH($C4294,CAT_NOME,0)),"Sem categoria"))</f>
        <v/>
      </c>
      <c r="F4294" s="76" t="n"/>
      <c r="G4294" s="74" t="n"/>
      <c r="H4294" s="74" t="n"/>
      <c r="I4294" s="74" t="n"/>
      <c r="J4294" s="77" t="n"/>
      <c r="K4294" s="77" t="n"/>
      <c r="L4294" s="74" t="n"/>
      <c r="M4294" s="74" t="n"/>
      <c r="O4294" s="78">
        <f>IF($A4294="","",YEAR($A4294)*100+MONTH($A4294))</f>
        <v/>
      </c>
      <c r="P4294" s="79">
        <f>IF(OR($F4294="",$D4294=""),"",IF($D4294="Receita",$F4294,IF($D4294="Transferência",0,-$F4294)))</f>
        <v/>
      </c>
    </row>
    <row r="4295">
      <c r="A4295" s="73" t="n"/>
      <c r="B4295" s="74" t="n"/>
      <c r="C4295" s="74" t="n"/>
      <c r="D4295" s="75">
        <f>IF($C4295="","",IFERROR(INDEX(CAT_TIPO,MATCH($C4295,CAT_NOME,0)),"Sem categoria"))</f>
        <v/>
      </c>
      <c r="E4295" s="75">
        <f>IF($C4295="","",IFERROR(INDEX(CAT_GRUPO,MATCH($C4295,CAT_NOME,0)),"Sem categoria"))</f>
        <v/>
      </c>
      <c r="F4295" s="76" t="n"/>
      <c r="G4295" s="74" t="n"/>
      <c r="H4295" s="74" t="n"/>
      <c r="I4295" s="74" t="n"/>
      <c r="J4295" s="77" t="n"/>
      <c r="K4295" s="77" t="n"/>
      <c r="L4295" s="74" t="n"/>
      <c r="M4295" s="74" t="n"/>
      <c r="O4295" s="78">
        <f>IF($A4295="","",YEAR($A4295)*100+MONTH($A4295))</f>
        <v/>
      </c>
      <c r="P4295" s="79">
        <f>IF(OR($F4295="",$D4295=""),"",IF($D4295="Receita",$F4295,IF($D4295="Transferência",0,-$F4295)))</f>
        <v/>
      </c>
    </row>
    <row r="4296">
      <c r="A4296" s="73" t="n"/>
      <c r="B4296" s="74" t="n"/>
      <c r="C4296" s="74" t="n"/>
      <c r="D4296" s="75">
        <f>IF($C4296="","",IFERROR(INDEX(CAT_TIPO,MATCH($C4296,CAT_NOME,0)),"Sem categoria"))</f>
        <v/>
      </c>
      <c r="E4296" s="75">
        <f>IF($C4296="","",IFERROR(INDEX(CAT_GRUPO,MATCH($C4296,CAT_NOME,0)),"Sem categoria"))</f>
        <v/>
      </c>
      <c r="F4296" s="76" t="n"/>
      <c r="G4296" s="74" t="n"/>
      <c r="H4296" s="74" t="n"/>
      <c r="I4296" s="74" t="n"/>
      <c r="J4296" s="77" t="n"/>
      <c r="K4296" s="77" t="n"/>
      <c r="L4296" s="74" t="n"/>
      <c r="M4296" s="74" t="n"/>
      <c r="O4296" s="78">
        <f>IF($A4296="","",YEAR($A4296)*100+MONTH($A4296))</f>
        <v/>
      </c>
      <c r="P4296" s="79">
        <f>IF(OR($F4296="",$D4296=""),"",IF($D4296="Receita",$F4296,IF($D4296="Transferência",0,-$F4296)))</f>
        <v/>
      </c>
    </row>
    <row r="4297">
      <c r="A4297" s="73" t="n"/>
      <c r="B4297" s="74" t="n"/>
      <c r="C4297" s="74" t="n"/>
      <c r="D4297" s="75">
        <f>IF($C4297="","",IFERROR(INDEX(CAT_TIPO,MATCH($C4297,CAT_NOME,0)),"Sem categoria"))</f>
        <v/>
      </c>
      <c r="E4297" s="75">
        <f>IF($C4297="","",IFERROR(INDEX(CAT_GRUPO,MATCH($C4297,CAT_NOME,0)),"Sem categoria"))</f>
        <v/>
      </c>
      <c r="F4297" s="76" t="n"/>
      <c r="G4297" s="74" t="n"/>
      <c r="H4297" s="74" t="n"/>
      <c r="I4297" s="74" t="n"/>
      <c r="J4297" s="77" t="n"/>
      <c r="K4297" s="77" t="n"/>
      <c r="L4297" s="74" t="n"/>
      <c r="M4297" s="74" t="n"/>
      <c r="O4297" s="78">
        <f>IF($A4297="","",YEAR($A4297)*100+MONTH($A4297))</f>
        <v/>
      </c>
      <c r="P4297" s="79">
        <f>IF(OR($F4297="",$D4297=""),"",IF($D4297="Receita",$F4297,IF($D4297="Transferência",0,-$F4297)))</f>
        <v/>
      </c>
    </row>
    <row r="4298">
      <c r="A4298" s="73" t="n"/>
      <c r="B4298" s="74" t="n"/>
      <c r="C4298" s="74" t="n"/>
      <c r="D4298" s="75">
        <f>IF($C4298="","",IFERROR(INDEX(CAT_TIPO,MATCH($C4298,CAT_NOME,0)),"Sem categoria"))</f>
        <v/>
      </c>
      <c r="E4298" s="75">
        <f>IF($C4298="","",IFERROR(INDEX(CAT_GRUPO,MATCH($C4298,CAT_NOME,0)),"Sem categoria"))</f>
        <v/>
      </c>
      <c r="F4298" s="76" t="n"/>
      <c r="G4298" s="74" t="n"/>
      <c r="H4298" s="74" t="n"/>
      <c r="I4298" s="74" t="n"/>
      <c r="J4298" s="77" t="n"/>
      <c r="K4298" s="77" t="n"/>
      <c r="L4298" s="74" t="n"/>
      <c r="M4298" s="74" t="n"/>
      <c r="O4298" s="78">
        <f>IF($A4298="","",YEAR($A4298)*100+MONTH($A4298))</f>
        <v/>
      </c>
      <c r="P4298" s="79">
        <f>IF(OR($F4298="",$D4298=""),"",IF($D4298="Receita",$F4298,IF($D4298="Transferência",0,-$F4298)))</f>
        <v/>
      </c>
    </row>
    <row r="4299">
      <c r="A4299" s="73" t="n"/>
      <c r="B4299" s="74" t="n"/>
      <c r="C4299" s="74" t="n"/>
      <c r="D4299" s="75">
        <f>IF($C4299="","",IFERROR(INDEX(CAT_TIPO,MATCH($C4299,CAT_NOME,0)),"Sem categoria"))</f>
        <v/>
      </c>
      <c r="E4299" s="75">
        <f>IF($C4299="","",IFERROR(INDEX(CAT_GRUPO,MATCH($C4299,CAT_NOME,0)),"Sem categoria"))</f>
        <v/>
      </c>
      <c r="F4299" s="76" t="n"/>
      <c r="G4299" s="74" t="n"/>
      <c r="H4299" s="74" t="n"/>
      <c r="I4299" s="74" t="n"/>
      <c r="J4299" s="77" t="n"/>
      <c r="K4299" s="77" t="n"/>
      <c r="L4299" s="74" t="n"/>
      <c r="M4299" s="74" t="n"/>
      <c r="O4299" s="78">
        <f>IF($A4299="","",YEAR($A4299)*100+MONTH($A4299))</f>
        <v/>
      </c>
      <c r="P4299" s="79">
        <f>IF(OR($F4299="",$D4299=""),"",IF($D4299="Receita",$F4299,IF($D4299="Transferência",0,-$F4299)))</f>
        <v/>
      </c>
    </row>
    <row r="4300">
      <c r="A4300" s="73" t="n"/>
      <c r="B4300" s="74" t="n"/>
      <c r="C4300" s="74" t="n"/>
      <c r="D4300" s="75">
        <f>IF($C4300="","",IFERROR(INDEX(CAT_TIPO,MATCH($C4300,CAT_NOME,0)),"Sem categoria"))</f>
        <v/>
      </c>
      <c r="E4300" s="75">
        <f>IF($C4300="","",IFERROR(INDEX(CAT_GRUPO,MATCH($C4300,CAT_NOME,0)),"Sem categoria"))</f>
        <v/>
      </c>
      <c r="F4300" s="76" t="n"/>
      <c r="G4300" s="74" t="n"/>
      <c r="H4300" s="74" t="n"/>
      <c r="I4300" s="74" t="n"/>
      <c r="J4300" s="77" t="n"/>
      <c r="K4300" s="77" t="n"/>
      <c r="L4300" s="74" t="n"/>
      <c r="M4300" s="74" t="n"/>
      <c r="O4300" s="78">
        <f>IF($A4300="","",YEAR($A4300)*100+MONTH($A4300))</f>
        <v/>
      </c>
      <c r="P4300" s="79">
        <f>IF(OR($F4300="",$D4300=""),"",IF($D4300="Receita",$F4300,IF($D4300="Transferência",0,-$F4300)))</f>
        <v/>
      </c>
    </row>
    <row r="4301">
      <c r="A4301" s="73" t="n"/>
      <c r="B4301" s="74" t="n"/>
      <c r="C4301" s="74" t="n"/>
      <c r="D4301" s="75">
        <f>IF($C4301="","",IFERROR(INDEX(CAT_TIPO,MATCH($C4301,CAT_NOME,0)),"Sem categoria"))</f>
        <v/>
      </c>
      <c r="E4301" s="75">
        <f>IF($C4301="","",IFERROR(INDEX(CAT_GRUPO,MATCH($C4301,CAT_NOME,0)),"Sem categoria"))</f>
        <v/>
      </c>
      <c r="F4301" s="76" t="n"/>
      <c r="G4301" s="74" t="n"/>
      <c r="H4301" s="74" t="n"/>
      <c r="I4301" s="74" t="n"/>
      <c r="J4301" s="77" t="n"/>
      <c r="K4301" s="77" t="n"/>
      <c r="L4301" s="74" t="n"/>
      <c r="M4301" s="74" t="n"/>
      <c r="O4301" s="78">
        <f>IF($A4301="","",YEAR($A4301)*100+MONTH($A4301))</f>
        <v/>
      </c>
      <c r="P4301" s="79">
        <f>IF(OR($F4301="",$D4301=""),"",IF($D4301="Receita",$F4301,IF($D4301="Transferência",0,-$F4301)))</f>
        <v/>
      </c>
    </row>
    <row r="4302">
      <c r="A4302" s="73" t="n"/>
      <c r="B4302" s="74" t="n"/>
      <c r="C4302" s="74" t="n"/>
      <c r="D4302" s="75">
        <f>IF($C4302="","",IFERROR(INDEX(CAT_TIPO,MATCH($C4302,CAT_NOME,0)),"Sem categoria"))</f>
        <v/>
      </c>
      <c r="E4302" s="75">
        <f>IF($C4302="","",IFERROR(INDEX(CAT_GRUPO,MATCH($C4302,CAT_NOME,0)),"Sem categoria"))</f>
        <v/>
      </c>
      <c r="F4302" s="76" t="n"/>
      <c r="G4302" s="74" t="n"/>
      <c r="H4302" s="74" t="n"/>
      <c r="I4302" s="74" t="n"/>
      <c r="J4302" s="77" t="n"/>
      <c r="K4302" s="77" t="n"/>
      <c r="L4302" s="74" t="n"/>
      <c r="M4302" s="74" t="n"/>
      <c r="O4302" s="78">
        <f>IF($A4302="","",YEAR($A4302)*100+MONTH($A4302))</f>
        <v/>
      </c>
      <c r="P4302" s="79">
        <f>IF(OR($F4302="",$D4302=""),"",IF($D4302="Receita",$F4302,IF($D4302="Transferência",0,-$F4302)))</f>
        <v/>
      </c>
    </row>
    <row r="4303">
      <c r="A4303" s="73" t="n"/>
      <c r="B4303" s="74" t="n"/>
      <c r="C4303" s="74" t="n"/>
      <c r="D4303" s="75">
        <f>IF($C4303="","",IFERROR(INDEX(CAT_TIPO,MATCH($C4303,CAT_NOME,0)),"Sem categoria"))</f>
        <v/>
      </c>
      <c r="E4303" s="75">
        <f>IF($C4303="","",IFERROR(INDEX(CAT_GRUPO,MATCH($C4303,CAT_NOME,0)),"Sem categoria"))</f>
        <v/>
      </c>
      <c r="F4303" s="76" t="n"/>
      <c r="G4303" s="74" t="n"/>
      <c r="H4303" s="74" t="n"/>
      <c r="I4303" s="74" t="n"/>
      <c r="J4303" s="77" t="n"/>
      <c r="K4303" s="77" t="n"/>
      <c r="L4303" s="74" t="n"/>
      <c r="M4303" s="74" t="n"/>
      <c r="O4303" s="78">
        <f>IF($A4303="","",YEAR($A4303)*100+MONTH($A4303))</f>
        <v/>
      </c>
      <c r="P4303" s="79">
        <f>IF(OR($F4303="",$D4303=""),"",IF($D4303="Receita",$F4303,IF($D4303="Transferência",0,-$F4303)))</f>
        <v/>
      </c>
    </row>
    <row r="4304">
      <c r="A4304" s="73" t="n"/>
      <c r="B4304" s="74" t="n"/>
      <c r="C4304" s="74" t="n"/>
      <c r="D4304" s="75">
        <f>IF($C4304="","",IFERROR(INDEX(CAT_TIPO,MATCH($C4304,CAT_NOME,0)),"Sem categoria"))</f>
        <v/>
      </c>
      <c r="E4304" s="75">
        <f>IF($C4304="","",IFERROR(INDEX(CAT_GRUPO,MATCH($C4304,CAT_NOME,0)),"Sem categoria"))</f>
        <v/>
      </c>
      <c r="F4304" s="76" t="n"/>
      <c r="G4304" s="74" t="n"/>
      <c r="H4304" s="74" t="n"/>
      <c r="I4304" s="74" t="n"/>
      <c r="J4304" s="77" t="n"/>
      <c r="K4304" s="77" t="n"/>
      <c r="L4304" s="74" t="n"/>
      <c r="M4304" s="74" t="n"/>
      <c r="O4304" s="78">
        <f>IF($A4304="","",YEAR($A4304)*100+MONTH($A4304))</f>
        <v/>
      </c>
      <c r="P4304" s="79">
        <f>IF(OR($F4304="",$D4304=""),"",IF($D4304="Receita",$F4304,IF($D4304="Transferência",0,-$F4304)))</f>
        <v/>
      </c>
    </row>
    <row r="4305">
      <c r="A4305" s="73" t="n"/>
      <c r="B4305" s="74" t="n"/>
      <c r="C4305" s="74" t="n"/>
      <c r="D4305" s="75">
        <f>IF($C4305="","",IFERROR(INDEX(CAT_TIPO,MATCH($C4305,CAT_NOME,0)),"Sem categoria"))</f>
        <v/>
      </c>
      <c r="E4305" s="75">
        <f>IF($C4305="","",IFERROR(INDEX(CAT_GRUPO,MATCH($C4305,CAT_NOME,0)),"Sem categoria"))</f>
        <v/>
      </c>
      <c r="F4305" s="76" t="n"/>
      <c r="G4305" s="74" t="n"/>
      <c r="H4305" s="74" t="n"/>
      <c r="I4305" s="74" t="n"/>
      <c r="J4305" s="77" t="n"/>
      <c r="K4305" s="77" t="n"/>
      <c r="L4305" s="74" t="n"/>
      <c r="M4305" s="74" t="n"/>
      <c r="O4305" s="78">
        <f>IF($A4305="","",YEAR($A4305)*100+MONTH($A4305))</f>
        <v/>
      </c>
      <c r="P4305" s="79">
        <f>IF(OR($F4305="",$D4305=""),"",IF($D4305="Receita",$F4305,IF($D4305="Transferência",0,-$F4305)))</f>
        <v/>
      </c>
    </row>
    <row r="4306">
      <c r="A4306" s="73" t="n"/>
      <c r="B4306" s="74" t="n"/>
      <c r="C4306" s="74" t="n"/>
      <c r="D4306" s="75">
        <f>IF($C4306="","",IFERROR(INDEX(CAT_TIPO,MATCH($C4306,CAT_NOME,0)),"Sem categoria"))</f>
        <v/>
      </c>
      <c r="E4306" s="75">
        <f>IF($C4306="","",IFERROR(INDEX(CAT_GRUPO,MATCH($C4306,CAT_NOME,0)),"Sem categoria"))</f>
        <v/>
      </c>
      <c r="F4306" s="76" t="n"/>
      <c r="G4306" s="74" t="n"/>
      <c r="H4306" s="74" t="n"/>
      <c r="I4306" s="74" t="n"/>
      <c r="J4306" s="77" t="n"/>
      <c r="K4306" s="77" t="n"/>
      <c r="L4306" s="74" t="n"/>
      <c r="M4306" s="74" t="n"/>
      <c r="O4306" s="78">
        <f>IF($A4306="","",YEAR($A4306)*100+MONTH($A4306))</f>
        <v/>
      </c>
      <c r="P4306" s="79">
        <f>IF(OR($F4306="",$D4306=""),"",IF($D4306="Receita",$F4306,IF($D4306="Transferência",0,-$F4306)))</f>
        <v/>
      </c>
    </row>
    <row r="4307">
      <c r="A4307" s="73" t="n"/>
      <c r="B4307" s="74" t="n"/>
      <c r="C4307" s="74" t="n"/>
      <c r="D4307" s="75">
        <f>IF($C4307="","",IFERROR(INDEX(CAT_TIPO,MATCH($C4307,CAT_NOME,0)),"Sem categoria"))</f>
        <v/>
      </c>
      <c r="E4307" s="75">
        <f>IF($C4307="","",IFERROR(INDEX(CAT_GRUPO,MATCH($C4307,CAT_NOME,0)),"Sem categoria"))</f>
        <v/>
      </c>
      <c r="F4307" s="76" t="n"/>
      <c r="G4307" s="74" t="n"/>
      <c r="H4307" s="74" t="n"/>
      <c r="I4307" s="74" t="n"/>
      <c r="J4307" s="77" t="n"/>
      <c r="K4307" s="77" t="n"/>
      <c r="L4307" s="74" t="n"/>
      <c r="M4307" s="74" t="n"/>
      <c r="O4307" s="78">
        <f>IF($A4307="","",YEAR($A4307)*100+MONTH($A4307))</f>
        <v/>
      </c>
      <c r="P4307" s="79">
        <f>IF(OR($F4307="",$D4307=""),"",IF($D4307="Receita",$F4307,IF($D4307="Transferência",0,-$F4307)))</f>
        <v/>
      </c>
    </row>
    <row r="4308">
      <c r="A4308" s="73" t="n"/>
      <c r="B4308" s="74" t="n"/>
      <c r="C4308" s="74" t="n"/>
      <c r="D4308" s="75">
        <f>IF($C4308="","",IFERROR(INDEX(CAT_TIPO,MATCH($C4308,CAT_NOME,0)),"Sem categoria"))</f>
        <v/>
      </c>
      <c r="E4308" s="75">
        <f>IF($C4308="","",IFERROR(INDEX(CAT_GRUPO,MATCH($C4308,CAT_NOME,0)),"Sem categoria"))</f>
        <v/>
      </c>
      <c r="F4308" s="76" t="n"/>
      <c r="G4308" s="74" t="n"/>
      <c r="H4308" s="74" t="n"/>
      <c r="I4308" s="74" t="n"/>
      <c r="J4308" s="77" t="n"/>
      <c r="K4308" s="77" t="n"/>
      <c r="L4308" s="74" t="n"/>
      <c r="M4308" s="74" t="n"/>
      <c r="O4308" s="78">
        <f>IF($A4308="","",YEAR($A4308)*100+MONTH($A4308))</f>
        <v/>
      </c>
      <c r="P4308" s="79">
        <f>IF(OR($F4308="",$D4308=""),"",IF($D4308="Receita",$F4308,IF($D4308="Transferência",0,-$F4308)))</f>
        <v/>
      </c>
    </row>
    <row r="4309">
      <c r="A4309" s="73" t="n"/>
      <c r="B4309" s="74" t="n"/>
      <c r="C4309" s="74" t="n"/>
      <c r="D4309" s="75">
        <f>IF($C4309="","",IFERROR(INDEX(CAT_TIPO,MATCH($C4309,CAT_NOME,0)),"Sem categoria"))</f>
        <v/>
      </c>
      <c r="E4309" s="75">
        <f>IF($C4309="","",IFERROR(INDEX(CAT_GRUPO,MATCH($C4309,CAT_NOME,0)),"Sem categoria"))</f>
        <v/>
      </c>
      <c r="F4309" s="76" t="n"/>
      <c r="G4309" s="74" t="n"/>
      <c r="H4309" s="74" t="n"/>
      <c r="I4309" s="74" t="n"/>
      <c r="J4309" s="77" t="n"/>
      <c r="K4309" s="77" t="n"/>
      <c r="L4309" s="74" t="n"/>
      <c r="M4309" s="74" t="n"/>
      <c r="O4309" s="78">
        <f>IF($A4309="","",YEAR($A4309)*100+MONTH($A4309))</f>
        <v/>
      </c>
      <c r="P4309" s="79">
        <f>IF(OR($F4309="",$D4309=""),"",IF($D4309="Receita",$F4309,IF($D4309="Transferência",0,-$F4309)))</f>
        <v/>
      </c>
    </row>
    <row r="4310">
      <c r="A4310" s="73" t="n"/>
      <c r="B4310" s="74" t="n"/>
      <c r="C4310" s="74" t="n"/>
      <c r="D4310" s="75">
        <f>IF($C4310="","",IFERROR(INDEX(CAT_TIPO,MATCH($C4310,CAT_NOME,0)),"Sem categoria"))</f>
        <v/>
      </c>
      <c r="E4310" s="75">
        <f>IF($C4310="","",IFERROR(INDEX(CAT_GRUPO,MATCH($C4310,CAT_NOME,0)),"Sem categoria"))</f>
        <v/>
      </c>
      <c r="F4310" s="76" t="n"/>
      <c r="G4310" s="74" t="n"/>
      <c r="H4310" s="74" t="n"/>
      <c r="I4310" s="74" t="n"/>
      <c r="J4310" s="77" t="n"/>
      <c r="K4310" s="77" t="n"/>
      <c r="L4310" s="74" t="n"/>
      <c r="M4310" s="74" t="n"/>
      <c r="O4310" s="78">
        <f>IF($A4310="","",YEAR($A4310)*100+MONTH($A4310))</f>
        <v/>
      </c>
      <c r="P4310" s="79">
        <f>IF(OR($F4310="",$D4310=""),"",IF($D4310="Receita",$F4310,IF($D4310="Transferência",0,-$F4310)))</f>
        <v/>
      </c>
    </row>
    <row r="4311">
      <c r="A4311" s="73" t="n"/>
      <c r="B4311" s="74" t="n"/>
      <c r="C4311" s="74" t="n"/>
      <c r="D4311" s="75">
        <f>IF($C4311="","",IFERROR(INDEX(CAT_TIPO,MATCH($C4311,CAT_NOME,0)),"Sem categoria"))</f>
        <v/>
      </c>
      <c r="E4311" s="75">
        <f>IF($C4311="","",IFERROR(INDEX(CAT_GRUPO,MATCH($C4311,CAT_NOME,0)),"Sem categoria"))</f>
        <v/>
      </c>
      <c r="F4311" s="76" t="n"/>
      <c r="G4311" s="74" t="n"/>
      <c r="H4311" s="74" t="n"/>
      <c r="I4311" s="74" t="n"/>
      <c r="J4311" s="77" t="n"/>
      <c r="K4311" s="77" t="n"/>
      <c r="L4311" s="74" t="n"/>
      <c r="M4311" s="74" t="n"/>
      <c r="O4311" s="78">
        <f>IF($A4311="","",YEAR($A4311)*100+MONTH($A4311))</f>
        <v/>
      </c>
      <c r="P4311" s="79">
        <f>IF(OR($F4311="",$D4311=""),"",IF($D4311="Receita",$F4311,IF($D4311="Transferência",0,-$F4311)))</f>
        <v/>
      </c>
    </row>
    <row r="4312">
      <c r="A4312" s="73" t="n"/>
      <c r="B4312" s="74" t="n"/>
      <c r="C4312" s="74" t="n"/>
      <c r="D4312" s="75">
        <f>IF($C4312="","",IFERROR(INDEX(CAT_TIPO,MATCH($C4312,CAT_NOME,0)),"Sem categoria"))</f>
        <v/>
      </c>
      <c r="E4312" s="75">
        <f>IF($C4312="","",IFERROR(INDEX(CAT_GRUPO,MATCH($C4312,CAT_NOME,0)),"Sem categoria"))</f>
        <v/>
      </c>
      <c r="F4312" s="76" t="n"/>
      <c r="G4312" s="74" t="n"/>
      <c r="H4312" s="74" t="n"/>
      <c r="I4312" s="74" t="n"/>
      <c r="J4312" s="77" t="n"/>
      <c r="K4312" s="77" t="n"/>
      <c r="L4312" s="74" t="n"/>
      <c r="M4312" s="74" t="n"/>
      <c r="O4312" s="78">
        <f>IF($A4312="","",YEAR($A4312)*100+MONTH($A4312))</f>
        <v/>
      </c>
      <c r="P4312" s="79">
        <f>IF(OR($F4312="",$D4312=""),"",IF($D4312="Receita",$F4312,IF($D4312="Transferência",0,-$F4312)))</f>
        <v/>
      </c>
    </row>
    <row r="4313">
      <c r="A4313" s="73" t="n"/>
      <c r="B4313" s="74" t="n"/>
      <c r="C4313" s="74" t="n"/>
      <c r="D4313" s="75">
        <f>IF($C4313="","",IFERROR(INDEX(CAT_TIPO,MATCH($C4313,CAT_NOME,0)),"Sem categoria"))</f>
        <v/>
      </c>
      <c r="E4313" s="75">
        <f>IF($C4313="","",IFERROR(INDEX(CAT_GRUPO,MATCH($C4313,CAT_NOME,0)),"Sem categoria"))</f>
        <v/>
      </c>
      <c r="F4313" s="76" t="n"/>
      <c r="G4313" s="74" t="n"/>
      <c r="H4313" s="74" t="n"/>
      <c r="I4313" s="74" t="n"/>
      <c r="J4313" s="77" t="n"/>
      <c r="K4313" s="77" t="n"/>
      <c r="L4313" s="74" t="n"/>
      <c r="M4313" s="74" t="n"/>
      <c r="O4313" s="78">
        <f>IF($A4313="","",YEAR($A4313)*100+MONTH($A4313))</f>
        <v/>
      </c>
      <c r="P4313" s="79">
        <f>IF(OR($F4313="",$D4313=""),"",IF($D4313="Receita",$F4313,IF($D4313="Transferência",0,-$F4313)))</f>
        <v/>
      </c>
    </row>
    <row r="4314">
      <c r="A4314" s="73" t="n"/>
      <c r="B4314" s="74" t="n"/>
      <c r="C4314" s="74" t="n"/>
      <c r="D4314" s="75">
        <f>IF($C4314="","",IFERROR(INDEX(CAT_TIPO,MATCH($C4314,CAT_NOME,0)),"Sem categoria"))</f>
        <v/>
      </c>
      <c r="E4314" s="75">
        <f>IF($C4314="","",IFERROR(INDEX(CAT_GRUPO,MATCH($C4314,CAT_NOME,0)),"Sem categoria"))</f>
        <v/>
      </c>
      <c r="F4314" s="76" t="n"/>
      <c r="G4314" s="74" t="n"/>
      <c r="H4314" s="74" t="n"/>
      <c r="I4314" s="74" t="n"/>
      <c r="J4314" s="77" t="n"/>
      <c r="K4314" s="77" t="n"/>
      <c r="L4314" s="74" t="n"/>
      <c r="M4314" s="74" t="n"/>
      <c r="O4314" s="78">
        <f>IF($A4314="","",YEAR($A4314)*100+MONTH($A4314))</f>
        <v/>
      </c>
      <c r="P4314" s="79">
        <f>IF(OR($F4314="",$D4314=""),"",IF($D4314="Receita",$F4314,IF($D4314="Transferência",0,-$F4314)))</f>
        <v/>
      </c>
    </row>
    <row r="4315">
      <c r="A4315" s="73" t="n"/>
      <c r="B4315" s="74" t="n"/>
      <c r="C4315" s="74" t="n"/>
      <c r="D4315" s="75">
        <f>IF($C4315="","",IFERROR(INDEX(CAT_TIPO,MATCH($C4315,CAT_NOME,0)),"Sem categoria"))</f>
        <v/>
      </c>
      <c r="E4315" s="75">
        <f>IF($C4315="","",IFERROR(INDEX(CAT_GRUPO,MATCH($C4315,CAT_NOME,0)),"Sem categoria"))</f>
        <v/>
      </c>
      <c r="F4315" s="76" t="n"/>
      <c r="G4315" s="74" t="n"/>
      <c r="H4315" s="74" t="n"/>
      <c r="I4315" s="74" t="n"/>
      <c r="J4315" s="77" t="n"/>
      <c r="K4315" s="77" t="n"/>
      <c r="L4315" s="74" t="n"/>
      <c r="M4315" s="74" t="n"/>
      <c r="O4315" s="78">
        <f>IF($A4315="","",YEAR($A4315)*100+MONTH($A4315))</f>
        <v/>
      </c>
      <c r="P4315" s="79">
        <f>IF(OR($F4315="",$D4315=""),"",IF($D4315="Receita",$F4315,IF($D4315="Transferência",0,-$F4315)))</f>
        <v/>
      </c>
    </row>
    <row r="4316">
      <c r="A4316" s="73" t="n"/>
      <c r="B4316" s="74" t="n"/>
      <c r="C4316" s="74" t="n"/>
      <c r="D4316" s="75">
        <f>IF($C4316="","",IFERROR(INDEX(CAT_TIPO,MATCH($C4316,CAT_NOME,0)),"Sem categoria"))</f>
        <v/>
      </c>
      <c r="E4316" s="75">
        <f>IF($C4316="","",IFERROR(INDEX(CAT_GRUPO,MATCH($C4316,CAT_NOME,0)),"Sem categoria"))</f>
        <v/>
      </c>
      <c r="F4316" s="76" t="n"/>
      <c r="G4316" s="74" t="n"/>
      <c r="H4316" s="74" t="n"/>
      <c r="I4316" s="74" t="n"/>
      <c r="J4316" s="77" t="n"/>
      <c r="K4316" s="77" t="n"/>
      <c r="L4316" s="74" t="n"/>
      <c r="M4316" s="74" t="n"/>
      <c r="O4316" s="78">
        <f>IF($A4316="","",YEAR($A4316)*100+MONTH($A4316))</f>
        <v/>
      </c>
      <c r="P4316" s="79">
        <f>IF(OR($F4316="",$D4316=""),"",IF($D4316="Receita",$F4316,IF($D4316="Transferência",0,-$F4316)))</f>
        <v/>
      </c>
    </row>
    <row r="4317">
      <c r="A4317" s="73" t="n"/>
      <c r="B4317" s="74" t="n"/>
      <c r="C4317" s="74" t="n"/>
      <c r="D4317" s="75">
        <f>IF($C4317="","",IFERROR(INDEX(CAT_TIPO,MATCH($C4317,CAT_NOME,0)),"Sem categoria"))</f>
        <v/>
      </c>
      <c r="E4317" s="75">
        <f>IF($C4317="","",IFERROR(INDEX(CAT_GRUPO,MATCH($C4317,CAT_NOME,0)),"Sem categoria"))</f>
        <v/>
      </c>
      <c r="F4317" s="76" t="n"/>
      <c r="G4317" s="74" t="n"/>
      <c r="H4317" s="74" t="n"/>
      <c r="I4317" s="74" t="n"/>
      <c r="J4317" s="77" t="n"/>
      <c r="K4317" s="77" t="n"/>
      <c r="L4317" s="74" t="n"/>
      <c r="M4317" s="74" t="n"/>
      <c r="O4317" s="78">
        <f>IF($A4317="","",YEAR($A4317)*100+MONTH($A4317))</f>
        <v/>
      </c>
      <c r="P4317" s="79">
        <f>IF(OR($F4317="",$D4317=""),"",IF($D4317="Receita",$F4317,IF($D4317="Transferência",0,-$F4317)))</f>
        <v/>
      </c>
    </row>
    <row r="4318">
      <c r="A4318" s="73" t="n"/>
      <c r="B4318" s="74" t="n"/>
      <c r="C4318" s="74" t="n"/>
      <c r="D4318" s="75">
        <f>IF($C4318="","",IFERROR(INDEX(CAT_TIPO,MATCH($C4318,CAT_NOME,0)),"Sem categoria"))</f>
        <v/>
      </c>
      <c r="E4318" s="75">
        <f>IF($C4318="","",IFERROR(INDEX(CAT_GRUPO,MATCH($C4318,CAT_NOME,0)),"Sem categoria"))</f>
        <v/>
      </c>
      <c r="F4318" s="76" t="n"/>
      <c r="G4318" s="74" t="n"/>
      <c r="H4318" s="74" t="n"/>
      <c r="I4318" s="74" t="n"/>
      <c r="J4318" s="77" t="n"/>
      <c r="K4318" s="77" t="n"/>
      <c r="L4318" s="74" t="n"/>
      <c r="M4318" s="74" t="n"/>
      <c r="O4318" s="78">
        <f>IF($A4318="","",YEAR($A4318)*100+MONTH($A4318))</f>
        <v/>
      </c>
      <c r="P4318" s="79">
        <f>IF(OR($F4318="",$D4318=""),"",IF($D4318="Receita",$F4318,IF($D4318="Transferência",0,-$F4318)))</f>
        <v/>
      </c>
    </row>
    <row r="4319">
      <c r="A4319" s="73" t="n"/>
      <c r="B4319" s="74" t="n"/>
      <c r="C4319" s="74" t="n"/>
      <c r="D4319" s="75">
        <f>IF($C4319="","",IFERROR(INDEX(CAT_TIPO,MATCH($C4319,CAT_NOME,0)),"Sem categoria"))</f>
        <v/>
      </c>
      <c r="E4319" s="75">
        <f>IF($C4319="","",IFERROR(INDEX(CAT_GRUPO,MATCH($C4319,CAT_NOME,0)),"Sem categoria"))</f>
        <v/>
      </c>
      <c r="F4319" s="76" t="n"/>
      <c r="G4319" s="74" t="n"/>
      <c r="H4319" s="74" t="n"/>
      <c r="I4319" s="74" t="n"/>
      <c r="J4319" s="77" t="n"/>
      <c r="K4319" s="77" t="n"/>
      <c r="L4319" s="74" t="n"/>
      <c r="M4319" s="74" t="n"/>
      <c r="O4319" s="78">
        <f>IF($A4319="","",YEAR($A4319)*100+MONTH($A4319))</f>
        <v/>
      </c>
      <c r="P4319" s="79">
        <f>IF(OR($F4319="",$D4319=""),"",IF($D4319="Receita",$F4319,IF($D4319="Transferência",0,-$F4319)))</f>
        <v/>
      </c>
    </row>
    <row r="4320">
      <c r="A4320" s="73" t="n"/>
      <c r="B4320" s="74" t="n"/>
      <c r="C4320" s="74" t="n"/>
      <c r="D4320" s="75">
        <f>IF($C4320="","",IFERROR(INDEX(CAT_TIPO,MATCH($C4320,CAT_NOME,0)),"Sem categoria"))</f>
        <v/>
      </c>
      <c r="E4320" s="75">
        <f>IF($C4320="","",IFERROR(INDEX(CAT_GRUPO,MATCH($C4320,CAT_NOME,0)),"Sem categoria"))</f>
        <v/>
      </c>
      <c r="F4320" s="76" t="n"/>
      <c r="G4320" s="74" t="n"/>
      <c r="H4320" s="74" t="n"/>
      <c r="I4320" s="74" t="n"/>
      <c r="J4320" s="77" t="n"/>
      <c r="K4320" s="77" t="n"/>
      <c r="L4320" s="74" t="n"/>
      <c r="M4320" s="74" t="n"/>
      <c r="O4320" s="78">
        <f>IF($A4320="","",YEAR($A4320)*100+MONTH($A4320))</f>
        <v/>
      </c>
      <c r="P4320" s="79">
        <f>IF(OR($F4320="",$D4320=""),"",IF($D4320="Receita",$F4320,IF($D4320="Transferência",0,-$F4320)))</f>
        <v/>
      </c>
    </row>
    <row r="4321">
      <c r="A4321" s="73" t="n"/>
      <c r="B4321" s="74" t="n"/>
      <c r="C4321" s="74" t="n"/>
      <c r="D4321" s="75">
        <f>IF($C4321="","",IFERROR(INDEX(CAT_TIPO,MATCH($C4321,CAT_NOME,0)),"Sem categoria"))</f>
        <v/>
      </c>
      <c r="E4321" s="75">
        <f>IF($C4321="","",IFERROR(INDEX(CAT_GRUPO,MATCH($C4321,CAT_NOME,0)),"Sem categoria"))</f>
        <v/>
      </c>
      <c r="F4321" s="76" t="n"/>
      <c r="G4321" s="74" t="n"/>
      <c r="H4321" s="74" t="n"/>
      <c r="I4321" s="74" t="n"/>
      <c r="J4321" s="77" t="n"/>
      <c r="K4321" s="77" t="n"/>
      <c r="L4321" s="74" t="n"/>
      <c r="M4321" s="74" t="n"/>
      <c r="O4321" s="78">
        <f>IF($A4321="","",YEAR($A4321)*100+MONTH($A4321))</f>
        <v/>
      </c>
      <c r="P4321" s="79">
        <f>IF(OR($F4321="",$D4321=""),"",IF($D4321="Receita",$F4321,IF($D4321="Transferência",0,-$F4321)))</f>
        <v/>
      </c>
    </row>
    <row r="4322">
      <c r="A4322" s="73" t="n"/>
      <c r="B4322" s="74" t="n"/>
      <c r="C4322" s="74" t="n"/>
      <c r="D4322" s="75">
        <f>IF($C4322="","",IFERROR(INDEX(CAT_TIPO,MATCH($C4322,CAT_NOME,0)),"Sem categoria"))</f>
        <v/>
      </c>
      <c r="E4322" s="75">
        <f>IF($C4322="","",IFERROR(INDEX(CAT_GRUPO,MATCH($C4322,CAT_NOME,0)),"Sem categoria"))</f>
        <v/>
      </c>
      <c r="F4322" s="76" t="n"/>
      <c r="G4322" s="74" t="n"/>
      <c r="H4322" s="74" t="n"/>
      <c r="I4322" s="74" t="n"/>
      <c r="J4322" s="77" t="n"/>
      <c r="K4322" s="77" t="n"/>
      <c r="L4322" s="74" t="n"/>
      <c r="M4322" s="74" t="n"/>
      <c r="O4322" s="78">
        <f>IF($A4322="","",YEAR($A4322)*100+MONTH($A4322))</f>
        <v/>
      </c>
      <c r="P4322" s="79">
        <f>IF(OR($F4322="",$D4322=""),"",IF($D4322="Receita",$F4322,IF($D4322="Transferência",0,-$F4322)))</f>
        <v/>
      </c>
    </row>
    <row r="4323">
      <c r="A4323" s="73" t="n"/>
      <c r="B4323" s="74" t="n"/>
      <c r="C4323" s="74" t="n"/>
      <c r="D4323" s="75">
        <f>IF($C4323="","",IFERROR(INDEX(CAT_TIPO,MATCH($C4323,CAT_NOME,0)),"Sem categoria"))</f>
        <v/>
      </c>
      <c r="E4323" s="75">
        <f>IF($C4323="","",IFERROR(INDEX(CAT_GRUPO,MATCH($C4323,CAT_NOME,0)),"Sem categoria"))</f>
        <v/>
      </c>
      <c r="F4323" s="76" t="n"/>
      <c r="G4323" s="74" t="n"/>
      <c r="H4323" s="74" t="n"/>
      <c r="I4323" s="74" t="n"/>
      <c r="J4323" s="77" t="n"/>
      <c r="K4323" s="77" t="n"/>
      <c r="L4323" s="74" t="n"/>
      <c r="M4323" s="74" t="n"/>
      <c r="O4323" s="78">
        <f>IF($A4323="","",YEAR($A4323)*100+MONTH($A4323))</f>
        <v/>
      </c>
      <c r="P4323" s="79">
        <f>IF(OR($F4323="",$D4323=""),"",IF($D4323="Receita",$F4323,IF($D4323="Transferência",0,-$F4323)))</f>
        <v/>
      </c>
    </row>
    <row r="4324">
      <c r="A4324" s="73" t="n"/>
      <c r="B4324" s="74" t="n"/>
      <c r="C4324" s="74" t="n"/>
      <c r="D4324" s="75">
        <f>IF($C4324="","",IFERROR(INDEX(CAT_TIPO,MATCH($C4324,CAT_NOME,0)),"Sem categoria"))</f>
        <v/>
      </c>
      <c r="E4324" s="75">
        <f>IF($C4324="","",IFERROR(INDEX(CAT_GRUPO,MATCH($C4324,CAT_NOME,0)),"Sem categoria"))</f>
        <v/>
      </c>
      <c r="F4324" s="76" t="n"/>
      <c r="G4324" s="74" t="n"/>
      <c r="H4324" s="74" t="n"/>
      <c r="I4324" s="74" t="n"/>
      <c r="J4324" s="77" t="n"/>
      <c r="K4324" s="77" t="n"/>
      <c r="L4324" s="74" t="n"/>
      <c r="M4324" s="74" t="n"/>
      <c r="O4324" s="78">
        <f>IF($A4324="","",YEAR($A4324)*100+MONTH($A4324))</f>
        <v/>
      </c>
      <c r="P4324" s="79">
        <f>IF(OR($F4324="",$D4324=""),"",IF($D4324="Receita",$F4324,IF($D4324="Transferência",0,-$F4324)))</f>
        <v/>
      </c>
    </row>
    <row r="4325">
      <c r="A4325" s="73" t="n"/>
      <c r="B4325" s="74" t="n"/>
      <c r="C4325" s="74" t="n"/>
      <c r="D4325" s="75">
        <f>IF($C4325="","",IFERROR(INDEX(CAT_TIPO,MATCH($C4325,CAT_NOME,0)),"Sem categoria"))</f>
        <v/>
      </c>
      <c r="E4325" s="75">
        <f>IF($C4325="","",IFERROR(INDEX(CAT_GRUPO,MATCH($C4325,CAT_NOME,0)),"Sem categoria"))</f>
        <v/>
      </c>
      <c r="F4325" s="76" t="n"/>
      <c r="G4325" s="74" t="n"/>
      <c r="H4325" s="74" t="n"/>
      <c r="I4325" s="74" t="n"/>
      <c r="J4325" s="77" t="n"/>
      <c r="K4325" s="77" t="n"/>
      <c r="L4325" s="74" t="n"/>
      <c r="M4325" s="74" t="n"/>
      <c r="O4325" s="78">
        <f>IF($A4325="","",YEAR($A4325)*100+MONTH($A4325))</f>
        <v/>
      </c>
      <c r="P4325" s="79">
        <f>IF(OR($F4325="",$D4325=""),"",IF($D4325="Receita",$F4325,IF($D4325="Transferência",0,-$F4325)))</f>
        <v/>
      </c>
    </row>
    <row r="4326">
      <c r="A4326" s="73" t="n"/>
      <c r="B4326" s="74" t="n"/>
      <c r="C4326" s="74" t="n"/>
      <c r="D4326" s="75">
        <f>IF($C4326="","",IFERROR(INDEX(CAT_TIPO,MATCH($C4326,CAT_NOME,0)),"Sem categoria"))</f>
        <v/>
      </c>
      <c r="E4326" s="75">
        <f>IF($C4326="","",IFERROR(INDEX(CAT_GRUPO,MATCH($C4326,CAT_NOME,0)),"Sem categoria"))</f>
        <v/>
      </c>
      <c r="F4326" s="76" t="n"/>
      <c r="G4326" s="74" t="n"/>
      <c r="H4326" s="74" t="n"/>
      <c r="I4326" s="74" t="n"/>
      <c r="J4326" s="77" t="n"/>
      <c r="K4326" s="77" t="n"/>
      <c r="L4326" s="74" t="n"/>
      <c r="M4326" s="74" t="n"/>
      <c r="O4326" s="78">
        <f>IF($A4326="","",YEAR($A4326)*100+MONTH($A4326))</f>
        <v/>
      </c>
      <c r="P4326" s="79">
        <f>IF(OR($F4326="",$D4326=""),"",IF($D4326="Receita",$F4326,IF($D4326="Transferência",0,-$F4326)))</f>
        <v/>
      </c>
    </row>
    <row r="4327">
      <c r="A4327" s="73" t="n"/>
      <c r="B4327" s="74" t="n"/>
      <c r="C4327" s="74" t="n"/>
      <c r="D4327" s="75">
        <f>IF($C4327="","",IFERROR(INDEX(CAT_TIPO,MATCH($C4327,CAT_NOME,0)),"Sem categoria"))</f>
        <v/>
      </c>
      <c r="E4327" s="75">
        <f>IF($C4327="","",IFERROR(INDEX(CAT_GRUPO,MATCH($C4327,CAT_NOME,0)),"Sem categoria"))</f>
        <v/>
      </c>
      <c r="F4327" s="76" t="n"/>
      <c r="G4327" s="74" t="n"/>
      <c r="H4327" s="74" t="n"/>
      <c r="I4327" s="74" t="n"/>
      <c r="J4327" s="77" t="n"/>
      <c r="K4327" s="77" t="n"/>
      <c r="L4327" s="74" t="n"/>
      <c r="M4327" s="74" t="n"/>
      <c r="O4327" s="78">
        <f>IF($A4327="","",YEAR($A4327)*100+MONTH($A4327))</f>
        <v/>
      </c>
      <c r="P4327" s="79">
        <f>IF(OR($F4327="",$D4327=""),"",IF($D4327="Receita",$F4327,IF($D4327="Transferência",0,-$F4327)))</f>
        <v/>
      </c>
    </row>
    <row r="4328">
      <c r="A4328" s="73" t="n"/>
      <c r="B4328" s="74" t="n"/>
      <c r="C4328" s="74" t="n"/>
      <c r="D4328" s="75">
        <f>IF($C4328="","",IFERROR(INDEX(CAT_TIPO,MATCH($C4328,CAT_NOME,0)),"Sem categoria"))</f>
        <v/>
      </c>
      <c r="E4328" s="75">
        <f>IF($C4328="","",IFERROR(INDEX(CAT_GRUPO,MATCH($C4328,CAT_NOME,0)),"Sem categoria"))</f>
        <v/>
      </c>
      <c r="F4328" s="76" t="n"/>
      <c r="G4328" s="74" t="n"/>
      <c r="H4328" s="74" t="n"/>
      <c r="I4328" s="74" t="n"/>
      <c r="J4328" s="77" t="n"/>
      <c r="K4328" s="77" t="n"/>
      <c r="L4328" s="74" t="n"/>
      <c r="M4328" s="74" t="n"/>
      <c r="O4328" s="78">
        <f>IF($A4328="","",YEAR($A4328)*100+MONTH($A4328))</f>
        <v/>
      </c>
      <c r="P4328" s="79">
        <f>IF(OR($F4328="",$D4328=""),"",IF($D4328="Receita",$F4328,IF($D4328="Transferência",0,-$F4328)))</f>
        <v/>
      </c>
    </row>
    <row r="4329">
      <c r="A4329" s="73" t="n"/>
      <c r="B4329" s="74" t="n"/>
      <c r="C4329" s="74" t="n"/>
      <c r="D4329" s="75">
        <f>IF($C4329="","",IFERROR(INDEX(CAT_TIPO,MATCH($C4329,CAT_NOME,0)),"Sem categoria"))</f>
        <v/>
      </c>
      <c r="E4329" s="75">
        <f>IF($C4329="","",IFERROR(INDEX(CAT_GRUPO,MATCH($C4329,CAT_NOME,0)),"Sem categoria"))</f>
        <v/>
      </c>
      <c r="F4329" s="76" t="n"/>
      <c r="G4329" s="74" t="n"/>
      <c r="H4329" s="74" t="n"/>
      <c r="I4329" s="74" t="n"/>
      <c r="J4329" s="77" t="n"/>
      <c r="K4329" s="77" t="n"/>
      <c r="L4329" s="74" t="n"/>
      <c r="M4329" s="74" t="n"/>
      <c r="O4329" s="78">
        <f>IF($A4329="","",YEAR($A4329)*100+MONTH($A4329))</f>
        <v/>
      </c>
      <c r="P4329" s="79">
        <f>IF(OR($F4329="",$D4329=""),"",IF($D4329="Receita",$F4329,IF($D4329="Transferência",0,-$F4329)))</f>
        <v/>
      </c>
    </row>
    <row r="4330">
      <c r="A4330" s="73" t="n"/>
      <c r="B4330" s="74" t="n"/>
      <c r="C4330" s="74" t="n"/>
      <c r="D4330" s="75">
        <f>IF($C4330="","",IFERROR(INDEX(CAT_TIPO,MATCH($C4330,CAT_NOME,0)),"Sem categoria"))</f>
        <v/>
      </c>
      <c r="E4330" s="75">
        <f>IF($C4330="","",IFERROR(INDEX(CAT_GRUPO,MATCH($C4330,CAT_NOME,0)),"Sem categoria"))</f>
        <v/>
      </c>
      <c r="F4330" s="76" t="n"/>
      <c r="G4330" s="74" t="n"/>
      <c r="H4330" s="74" t="n"/>
      <c r="I4330" s="74" t="n"/>
      <c r="J4330" s="77" t="n"/>
      <c r="K4330" s="77" t="n"/>
      <c r="L4330" s="74" t="n"/>
      <c r="M4330" s="74" t="n"/>
      <c r="O4330" s="78">
        <f>IF($A4330="","",YEAR($A4330)*100+MONTH($A4330))</f>
        <v/>
      </c>
      <c r="P4330" s="79">
        <f>IF(OR($F4330="",$D4330=""),"",IF($D4330="Receita",$F4330,IF($D4330="Transferência",0,-$F4330)))</f>
        <v/>
      </c>
    </row>
    <row r="4331">
      <c r="A4331" s="73" t="n"/>
      <c r="B4331" s="74" t="n"/>
      <c r="C4331" s="74" t="n"/>
      <c r="D4331" s="75">
        <f>IF($C4331="","",IFERROR(INDEX(CAT_TIPO,MATCH($C4331,CAT_NOME,0)),"Sem categoria"))</f>
        <v/>
      </c>
      <c r="E4331" s="75">
        <f>IF($C4331="","",IFERROR(INDEX(CAT_GRUPO,MATCH($C4331,CAT_NOME,0)),"Sem categoria"))</f>
        <v/>
      </c>
      <c r="F4331" s="76" t="n"/>
      <c r="G4331" s="74" t="n"/>
      <c r="H4331" s="74" t="n"/>
      <c r="I4331" s="74" t="n"/>
      <c r="J4331" s="77" t="n"/>
      <c r="K4331" s="77" t="n"/>
      <c r="L4331" s="74" t="n"/>
      <c r="M4331" s="74" t="n"/>
      <c r="O4331" s="78">
        <f>IF($A4331="","",YEAR($A4331)*100+MONTH($A4331))</f>
        <v/>
      </c>
      <c r="P4331" s="79">
        <f>IF(OR($F4331="",$D4331=""),"",IF($D4331="Receita",$F4331,IF($D4331="Transferência",0,-$F4331)))</f>
        <v/>
      </c>
    </row>
    <row r="4332">
      <c r="A4332" s="73" t="n"/>
      <c r="B4332" s="74" t="n"/>
      <c r="C4332" s="74" t="n"/>
      <c r="D4332" s="75">
        <f>IF($C4332="","",IFERROR(INDEX(CAT_TIPO,MATCH($C4332,CAT_NOME,0)),"Sem categoria"))</f>
        <v/>
      </c>
      <c r="E4332" s="75">
        <f>IF($C4332="","",IFERROR(INDEX(CAT_GRUPO,MATCH($C4332,CAT_NOME,0)),"Sem categoria"))</f>
        <v/>
      </c>
      <c r="F4332" s="76" t="n"/>
      <c r="G4332" s="74" t="n"/>
      <c r="H4332" s="74" t="n"/>
      <c r="I4332" s="74" t="n"/>
      <c r="J4332" s="77" t="n"/>
      <c r="K4332" s="77" t="n"/>
      <c r="L4332" s="74" t="n"/>
      <c r="M4332" s="74" t="n"/>
      <c r="O4332" s="78">
        <f>IF($A4332="","",YEAR($A4332)*100+MONTH($A4332))</f>
        <v/>
      </c>
      <c r="P4332" s="79">
        <f>IF(OR($F4332="",$D4332=""),"",IF($D4332="Receita",$F4332,IF($D4332="Transferência",0,-$F4332)))</f>
        <v/>
      </c>
    </row>
    <row r="4333">
      <c r="A4333" s="73" t="n"/>
      <c r="B4333" s="74" t="n"/>
      <c r="C4333" s="74" t="n"/>
      <c r="D4333" s="75">
        <f>IF($C4333="","",IFERROR(INDEX(CAT_TIPO,MATCH($C4333,CAT_NOME,0)),"Sem categoria"))</f>
        <v/>
      </c>
      <c r="E4333" s="75">
        <f>IF($C4333="","",IFERROR(INDEX(CAT_GRUPO,MATCH($C4333,CAT_NOME,0)),"Sem categoria"))</f>
        <v/>
      </c>
      <c r="F4333" s="76" t="n"/>
      <c r="G4333" s="74" t="n"/>
      <c r="H4333" s="74" t="n"/>
      <c r="I4333" s="74" t="n"/>
      <c r="J4333" s="77" t="n"/>
      <c r="K4333" s="77" t="n"/>
      <c r="L4333" s="74" t="n"/>
      <c r="M4333" s="74" t="n"/>
      <c r="O4333" s="78">
        <f>IF($A4333="","",YEAR($A4333)*100+MONTH($A4333))</f>
        <v/>
      </c>
      <c r="P4333" s="79">
        <f>IF(OR($F4333="",$D4333=""),"",IF($D4333="Receita",$F4333,IF($D4333="Transferência",0,-$F4333)))</f>
        <v/>
      </c>
    </row>
    <row r="4334">
      <c r="A4334" s="73" t="n"/>
      <c r="B4334" s="74" t="n"/>
      <c r="C4334" s="74" t="n"/>
      <c r="D4334" s="75">
        <f>IF($C4334="","",IFERROR(INDEX(CAT_TIPO,MATCH($C4334,CAT_NOME,0)),"Sem categoria"))</f>
        <v/>
      </c>
      <c r="E4334" s="75">
        <f>IF($C4334="","",IFERROR(INDEX(CAT_GRUPO,MATCH($C4334,CAT_NOME,0)),"Sem categoria"))</f>
        <v/>
      </c>
      <c r="F4334" s="76" t="n"/>
      <c r="G4334" s="74" t="n"/>
      <c r="H4334" s="74" t="n"/>
      <c r="I4334" s="74" t="n"/>
      <c r="J4334" s="77" t="n"/>
      <c r="K4334" s="77" t="n"/>
      <c r="L4334" s="74" t="n"/>
      <c r="M4334" s="74" t="n"/>
      <c r="O4334" s="78">
        <f>IF($A4334="","",YEAR($A4334)*100+MONTH($A4334))</f>
        <v/>
      </c>
      <c r="P4334" s="79">
        <f>IF(OR($F4334="",$D4334=""),"",IF($D4334="Receita",$F4334,IF($D4334="Transferência",0,-$F4334)))</f>
        <v/>
      </c>
    </row>
    <row r="4335">
      <c r="A4335" s="73" t="n"/>
      <c r="B4335" s="74" t="n"/>
      <c r="C4335" s="74" t="n"/>
      <c r="D4335" s="75">
        <f>IF($C4335="","",IFERROR(INDEX(CAT_TIPO,MATCH($C4335,CAT_NOME,0)),"Sem categoria"))</f>
        <v/>
      </c>
      <c r="E4335" s="75">
        <f>IF($C4335="","",IFERROR(INDEX(CAT_GRUPO,MATCH($C4335,CAT_NOME,0)),"Sem categoria"))</f>
        <v/>
      </c>
      <c r="F4335" s="76" t="n"/>
      <c r="G4335" s="74" t="n"/>
      <c r="H4335" s="74" t="n"/>
      <c r="I4335" s="74" t="n"/>
      <c r="J4335" s="77" t="n"/>
      <c r="K4335" s="77" t="n"/>
      <c r="L4335" s="74" t="n"/>
      <c r="M4335" s="74" t="n"/>
      <c r="O4335" s="78">
        <f>IF($A4335="","",YEAR($A4335)*100+MONTH($A4335))</f>
        <v/>
      </c>
      <c r="P4335" s="79">
        <f>IF(OR($F4335="",$D4335=""),"",IF($D4335="Receita",$F4335,IF($D4335="Transferência",0,-$F4335)))</f>
        <v/>
      </c>
    </row>
    <row r="4336">
      <c r="A4336" s="73" t="n"/>
      <c r="B4336" s="74" t="n"/>
      <c r="C4336" s="74" t="n"/>
      <c r="D4336" s="75">
        <f>IF($C4336="","",IFERROR(INDEX(CAT_TIPO,MATCH($C4336,CAT_NOME,0)),"Sem categoria"))</f>
        <v/>
      </c>
      <c r="E4336" s="75">
        <f>IF($C4336="","",IFERROR(INDEX(CAT_GRUPO,MATCH($C4336,CAT_NOME,0)),"Sem categoria"))</f>
        <v/>
      </c>
      <c r="F4336" s="76" t="n"/>
      <c r="G4336" s="74" t="n"/>
      <c r="H4336" s="74" t="n"/>
      <c r="I4336" s="74" t="n"/>
      <c r="J4336" s="77" t="n"/>
      <c r="K4336" s="77" t="n"/>
      <c r="L4336" s="74" t="n"/>
      <c r="M4336" s="74" t="n"/>
      <c r="O4336" s="78">
        <f>IF($A4336="","",YEAR($A4336)*100+MONTH($A4336))</f>
        <v/>
      </c>
      <c r="P4336" s="79">
        <f>IF(OR($F4336="",$D4336=""),"",IF($D4336="Receita",$F4336,IF($D4336="Transferência",0,-$F4336)))</f>
        <v/>
      </c>
    </row>
    <row r="4337">
      <c r="A4337" s="73" t="n"/>
      <c r="B4337" s="74" t="n"/>
      <c r="C4337" s="74" t="n"/>
      <c r="D4337" s="75">
        <f>IF($C4337="","",IFERROR(INDEX(CAT_TIPO,MATCH($C4337,CAT_NOME,0)),"Sem categoria"))</f>
        <v/>
      </c>
      <c r="E4337" s="75">
        <f>IF($C4337="","",IFERROR(INDEX(CAT_GRUPO,MATCH($C4337,CAT_NOME,0)),"Sem categoria"))</f>
        <v/>
      </c>
      <c r="F4337" s="76" t="n"/>
      <c r="G4337" s="74" t="n"/>
      <c r="H4337" s="74" t="n"/>
      <c r="I4337" s="74" t="n"/>
      <c r="J4337" s="77" t="n"/>
      <c r="K4337" s="77" t="n"/>
      <c r="L4337" s="74" t="n"/>
      <c r="M4337" s="74" t="n"/>
      <c r="O4337" s="78">
        <f>IF($A4337="","",YEAR($A4337)*100+MONTH($A4337))</f>
        <v/>
      </c>
      <c r="P4337" s="79">
        <f>IF(OR($F4337="",$D4337=""),"",IF($D4337="Receita",$F4337,IF($D4337="Transferência",0,-$F4337)))</f>
        <v/>
      </c>
    </row>
    <row r="4338">
      <c r="A4338" s="73" t="n"/>
      <c r="B4338" s="74" t="n"/>
      <c r="C4338" s="74" t="n"/>
      <c r="D4338" s="75">
        <f>IF($C4338="","",IFERROR(INDEX(CAT_TIPO,MATCH($C4338,CAT_NOME,0)),"Sem categoria"))</f>
        <v/>
      </c>
      <c r="E4338" s="75">
        <f>IF($C4338="","",IFERROR(INDEX(CAT_GRUPO,MATCH($C4338,CAT_NOME,0)),"Sem categoria"))</f>
        <v/>
      </c>
      <c r="F4338" s="76" t="n"/>
      <c r="G4338" s="74" t="n"/>
      <c r="H4338" s="74" t="n"/>
      <c r="I4338" s="74" t="n"/>
      <c r="J4338" s="77" t="n"/>
      <c r="K4338" s="77" t="n"/>
      <c r="L4338" s="74" t="n"/>
      <c r="M4338" s="74" t="n"/>
      <c r="O4338" s="78">
        <f>IF($A4338="","",YEAR($A4338)*100+MONTH($A4338))</f>
        <v/>
      </c>
      <c r="P4338" s="79">
        <f>IF(OR($F4338="",$D4338=""),"",IF($D4338="Receita",$F4338,IF($D4338="Transferência",0,-$F4338)))</f>
        <v/>
      </c>
    </row>
    <row r="4339">
      <c r="A4339" s="73" t="n"/>
      <c r="B4339" s="74" t="n"/>
      <c r="C4339" s="74" t="n"/>
      <c r="D4339" s="75">
        <f>IF($C4339="","",IFERROR(INDEX(CAT_TIPO,MATCH($C4339,CAT_NOME,0)),"Sem categoria"))</f>
        <v/>
      </c>
      <c r="E4339" s="75">
        <f>IF($C4339="","",IFERROR(INDEX(CAT_GRUPO,MATCH($C4339,CAT_NOME,0)),"Sem categoria"))</f>
        <v/>
      </c>
      <c r="F4339" s="76" t="n"/>
      <c r="G4339" s="74" t="n"/>
      <c r="H4339" s="74" t="n"/>
      <c r="I4339" s="74" t="n"/>
      <c r="J4339" s="77" t="n"/>
      <c r="K4339" s="77" t="n"/>
      <c r="L4339" s="74" t="n"/>
      <c r="M4339" s="74" t="n"/>
      <c r="O4339" s="78">
        <f>IF($A4339="","",YEAR($A4339)*100+MONTH($A4339))</f>
        <v/>
      </c>
      <c r="P4339" s="79">
        <f>IF(OR($F4339="",$D4339=""),"",IF($D4339="Receita",$F4339,IF($D4339="Transferência",0,-$F4339)))</f>
        <v/>
      </c>
    </row>
    <row r="4340">
      <c r="A4340" s="73" t="n"/>
      <c r="B4340" s="74" t="n"/>
      <c r="C4340" s="74" t="n"/>
      <c r="D4340" s="75">
        <f>IF($C4340="","",IFERROR(INDEX(CAT_TIPO,MATCH($C4340,CAT_NOME,0)),"Sem categoria"))</f>
        <v/>
      </c>
      <c r="E4340" s="75">
        <f>IF($C4340="","",IFERROR(INDEX(CAT_GRUPO,MATCH($C4340,CAT_NOME,0)),"Sem categoria"))</f>
        <v/>
      </c>
      <c r="F4340" s="76" t="n"/>
      <c r="G4340" s="74" t="n"/>
      <c r="H4340" s="74" t="n"/>
      <c r="I4340" s="74" t="n"/>
      <c r="J4340" s="77" t="n"/>
      <c r="K4340" s="77" t="n"/>
      <c r="L4340" s="74" t="n"/>
      <c r="M4340" s="74" t="n"/>
      <c r="O4340" s="78">
        <f>IF($A4340="","",YEAR($A4340)*100+MONTH($A4340))</f>
        <v/>
      </c>
      <c r="P4340" s="79">
        <f>IF(OR($F4340="",$D4340=""),"",IF($D4340="Receita",$F4340,IF($D4340="Transferência",0,-$F4340)))</f>
        <v/>
      </c>
    </row>
    <row r="4341">
      <c r="A4341" s="73" t="n"/>
      <c r="B4341" s="74" t="n"/>
      <c r="C4341" s="74" t="n"/>
      <c r="D4341" s="75">
        <f>IF($C4341="","",IFERROR(INDEX(CAT_TIPO,MATCH($C4341,CAT_NOME,0)),"Sem categoria"))</f>
        <v/>
      </c>
      <c r="E4341" s="75">
        <f>IF($C4341="","",IFERROR(INDEX(CAT_GRUPO,MATCH($C4341,CAT_NOME,0)),"Sem categoria"))</f>
        <v/>
      </c>
      <c r="F4341" s="76" t="n"/>
      <c r="G4341" s="74" t="n"/>
      <c r="H4341" s="74" t="n"/>
      <c r="I4341" s="74" t="n"/>
      <c r="J4341" s="77" t="n"/>
      <c r="K4341" s="77" t="n"/>
      <c r="L4341" s="74" t="n"/>
      <c r="M4341" s="74" t="n"/>
      <c r="O4341" s="78">
        <f>IF($A4341="","",YEAR($A4341)*100+MONTH($A4341))</f>
        <v/>
      </c>
      <c r="P4341" s="79">
        <f>IF(OR($F4341="",$D4341=""),"",IF($D4341="Receita",$F4341,IF($D4341="Transferência",0,-$F4341)))</f>
        <v/>
      </c>
    </row>
    <row r="4342">
      <c r="A4342" s="73" t="n"/>
      <c r="B4342" s="74" t="n"/>
      <c r="C4342" s="74" t="n"/>
      <c r="D4342" s="75">
        <f>IF($C4342="","",IFERROR(INDEX(CAT_TIPO,MATCH($C4342,CAT_NOME,0)),"Sem categoria"))</f>
        <v/>
      </c>
      <c r="E4342" s="75">
        <f>IF($C4342="","",IFERROR(INDEX(CAT_GRUPO,MATCH($C4342,CAT_NOME,0)),"Sem categoria"))</f>
        <v/>
      </c>
      <c r="F4342" s="76" t="n"/>
      <c r="G4342" s="74" t="n"/>
      <c r="H4342" s="74" t="n"/>
      <c r="I4342" s="74" t="n"/>
      <c r="J4342" s="77" t="n"/>
      <c r="K4342" s="77" t="n"/>
      <c r="L4342" s="74" t="n"/>
      <c r="M4342" s="74" t="n"/>
      <c r="O4342" s="78">
        <f>IF($A4342="","",YEAR($A4342)*100+MONTH($A4342))</f>
        <v/>
      </c>
      <c r="P4342" s="79">
        <f>IF(OR($F4342="",$D4342=""),"",IF($D4342="Receita",$F4342,IF($D4342="Transferência",0,-$F4342)))</f>
        <v/>
      </c>
    </row>
    <row r="4343">
      <c r="A4343" s="73" t="n"/>
      <c r="B4343" s="74" t="n"/>
      <c r="C4343" s="74" t="n"/>
      <c r="D4343" s="75">
        <f>IF($C4343="","",IFERROR(INDEX(CAT_TIPO,MATCH($C4343,CAT_NOME,0)),"Sem categoria"))</f>
        <v/>
      </c>
      <c r="E4343" s="75">
        <f>IF($C4343="","",IFERROR(INDEX(CAT_GRUPO,MATCH($C4343,CAT_NOME,0)),"Sem categoria"))</f>
        <v/>
      </c>
      <c r="F4343" s="76" t="n"/>
      <c r="G4343" s="74" t="n"/>
      <c r="H4343" s="74" t="n"/>
      <c r="I4343" s="74" t="n"/>
      <c r="J4343" s="77" t="n"/>
      <c r="K4343" s="77" t="n"/>
      <c r="L4343" s="74" t="n"/>
      <c r="M4343" s="74" t="n"/>
      <c r="O4343" s="78">
        <f>IF($A4343="","",YEAR($A4343)*100+MONTH($A4343))</f>
        <v/>
      </c>
      <c r="P4343" s="79">
        <f>IF(OR($F4343="",$D4343=""),"",IF($D4343="Receita",$F4343,IF($D4343="Transferência",0,-$F4343)))</f>
        <v/>
      </c>
    </row>
    <row r="4344">
      <c r="A4344" s="73" t="n"/>
      <c r="B4344" s="74" t="n"/>
      <c r="C4344" s="74" t="n"/>
      <c r="D4344" s="75">
        <f>IF($C4344="","",IFERROR(INDEX(CAT_TIPO,MATCH($C4344,CAT_NOME,0)),"Sem categoria"))</f>
        <v/>
      </c>
      <c r="E4344" s="75">
        <f>IF($C4344="","",IFERROR(INDEX(CAT_GRUPO,MATCH($C4344,CAT_NOME,0)),"Sem categoria"))</f>
        <v/>
      </c>
      <c r="F4344" s="76" t="n"/>
      <c r="G4344" s="74" t="n"/>
      <c r="H4344" s="74" t="n"/>
      <c r="I4344" s="74" t="n"/>
      <c r="J4344" s="77" t="n"/>
      <c r="K4344" s="77" t="n"/>
      <c r="L4344" s="74" t="n"/>
      <c r="M4344" s="74" t="n"/>
      <c r="O4344" s="78">
        <f>IF($A4344="","",YEAR($A4344)*100+MONTH($A4344))</f>
        <v/>
      </c>
      <c r="P4344" s="79">
        <f>IF(OR($F4344="",$D4344=""),"",IF($D4344="Receita",$F4344,IF($D4344="Transferência",0,-$F4344)))</f>
        <v/>
      </c>
    </row>
    <row r="4345">
      <c r="A4345" s="73" t="n"/>
      <c r="B4345" s="74" t="n"/>
      <c r="C4345" s="74" t="n"/>
      <c r="D4345" s="75">
        <f>IF($C4345="","",IFERROR(INDEX(CAT_TIPO,MATCH($C4345,CAT_NOME,0)),"Sem categoria"))</f>
        <v/>
      </c>
      <c r="E4345" s="75">
        <f>IF($C4345="","",IFERROR(INDEX(CAT_GRUPO,MATCH($C4345,CAT_NOME,0)),"Sem categoria"))</f>
        <v/>
      </c>
      <c r="F4345" s="76" t="n"/>
      <c r="G4345" s="74" t="n"/>
      <c r="H4345" s="74" t="n"/>
      <c r="I4345" s="74" t="n"/>
      <c r="J4345" s="77" t="n"/>
      <c r="K4345" s="77" t="n"/>
      <c r="L4345" s="74" t="n"/>
      <c r="M4345" s="74" t="n"/>
      <c r="O4345" s="78">
        <f>IF($A4345="","",YEAR($A4345)*100+MONTH($A4345))</f>
        <v/>
      </c>
      <c r="P4345" s="79">
        <f>IF(OR($F4345="",$D4345=""),"",IF($D4345="Receita",$F4345,IF($D4345="Transferência",0,-$F4345)))</f>
        <v/>
      </c>
    </row>
    <row r="4346">
      <c r="A4346" s="73" t="n"/>
      <c r="B4346" s="74" t="n"/>
      <c r="C4346" s="74" t="n"/>
      <c r="D4346" s="75">
        <f>IF($C4346="","",IFERROR(INDEX(CAT_TIPO,MATCH($C4346,CAT_NOME,0)),"Sem categoria"))</f>
        <v/>
      </c>
      <c r="E4346" s="75">
        <f>IF($C4346="","",IFERROR(INDEX(CAT_GRUPO,MATCH($C4346,CAT_NOME,0)),"Sem categoria"))</f>
        <v/>
      </c>
      <c r="F4346" s="76" t="n"/>
      <c r="G4346" s="74" t="n"/>
      <c r="H4346" s="74" t="n"/>
      <c r="I4346" s="74" t="n"/>
      <c r="J4346" s="77" t="n"/>
      <c r="K4346" s="77" t="n"/>
      <c r="L4346" s="74" t="n"/>
      <c r="M4346" s="74" t="n"/>
      <c r="O4346" s="78">
        <f>IF($A4346="","",YEAR($A4346)*100+MONTH($A4346))</f>
        <v/>
      </c>
      <c r="P4346" s="79">
        <f>IF(OR($F4346="",$D4346=""),"",IF($D4346="Receita",$F4346,IF($D4346="Transferência",0,-$F4346)))</f>
        <v/>
      </c>
    </row>
    <row r="4347">
      <c r="A4347" s="73" t="n"/>
      <c r="B4347" s="74" t="n"/>
      <c r="C4347" s="74" t="n"/>
      <c r="D4347" s="75">
        <f>IF($C4347="","",IFERROR(INDEX(CAT_TIPO,MATCH($C4347,CAT_NOME,0)),"Sem categoria"))</f>
        <v/>
      </c>
      <c r="E4347" s="75">
        <f>IF($C4347="","",IFERROR(INDEX(CAT_GRUPO,MATCH($C4347,CAT_NOME,0)),"Sem categoria"))</f>
        <v/>
      </c>
      <c r="F4347" s="76" t="n"/>
      <c r="G4347" s="74" t="n"/>
      <c r="H4347" s="74" t="n"/>
      <c r="I4347" s="74" t="n"/>
      <c r="J4347" s="77" t="n"/>
      <c r="K4347" s="77" t="n"/>
      <c r="L4347" s="74" t="n"/>
      <c r="M4347" s="74" t="n"/>
      <c r="O4347" s="78">
        <f>IF($A4347="","",YEAR($A4347)*100+MONTH($A4347))</f>
        <v/>
      </c>
      <c r="P4347" s="79">
        <f>IF(OR($F4347="",$D4347=""),"",IF($D4347="Receita",$F4347,IF($D4347="Transferência",0,-$F4347)))</f>
        <v/>
      </c>
    </row>
    <row r="4348">
      <c r="A4348" s="73" t="n"/>
      <c r="B4348" s="74" t="n"/>
      <c r="C4348" s="74" t="n"/>
      <c r="D4348" s="75">
        <f>IF($C4348="","",IFERROR(INDEX(CAT_TIPO,MATCH($C4348,CAT_NOME,0)),"Sem categoria"))</f>
        <v/>
      </c>
      <c r="E4348" s="75">
        <f>IF($C4348="","",IFERROR(INDEX(CAT_GRUPO,MATCH($C4348,CAT_NOME,0)),"Sem categoria"))</f>
        <v/>
      </c>
      <c r="F4348" s="76" t="n"/>
      <c r="G4348" s="74" t="n"/>
      <c r="H4348" s="74" t="n"/>
      <c r="I4348" s="74" t="n"/>
      <c r="J4348" s="77" t="n"/>
      <c r="K4348" s="77" t="n"/>
      <c r="L4348" s="74" t="n"/>
      <c r="M4348" s="74" t="n"/>
      <c r="O4348" s="78">
        <f>IF($A4348="","",YEAR($A4348)*100+MONTH($A4348))</f>
        <v/>
      </c>
      <c r="P4348" s="79">
        <f>IF(OR($F4348="",$D4348=""),"",IF($D4348="Receita",$F4348,IF($D4348="Transferência",0,-$F4348)))</f>
        <v/>
      </c>
    </row>
    <row r="4349">
      <c r="A4349" s="73" t="n"/>
      <c r="B4349" s="74" t="n"/>
      <c r="C4349" s="74" t="n"/>
      <c r="D4349" s="75">
        <f>IF($C4349="","",IFERROR(INDEX(CAT_TIPO,MATCH($C4349,CAT_NOME,0)),"Sem categoria"))</f>
        <v/>
      </c>
      <c r="E4349" s="75">
        <f>IF($C4349="","",IFERROR(INDEX(CAT_GRUPO,MATCH($C4349,CAT_NOME,0)),"Sem categoria"))</f>
        <v/>
      </c>
      <c r="F4349" s="76" t="n"/>
      <c r="G4349" s="74" t="n"/>
      <c r="H4349" s="74" t="n"/>
      <c r="I4349" s="74" t="n"/>
      <c r="J4349" s="77" t="n"/>
      <c r="K4349" s="77" t="n"/>
      <c r="L4349" s="74" t="n"/>
      <c r="M4349" s="74" t="n"/>
      <c r="O4349" s="78">
        <f>IF($A4349="","",YEAR($A4349)*100+MONTH($A4349))</f>
        <v/>
      </c>
      <c r="P4349" s="79">
        <f>IF(OR($F4349="",$D4349=""),"",IF($D4349="Receita",$F4349,IF($D4349="Transferência",0,-$F4349)))</f>
        <v/>
      </c>
    </row>
    <row r="4350">
      <c r="A4350" s="73" t="n"/>
      <c r="B4350" s="74" t="n"/>
      <c r="C4350" s="74" t="n"/>
      <c r="D4350" s="75">
        <f>IF($C4350="","",IFERROR(INDEX(CAT_TIPO,MATCH($C4350,CAT_NOME,0)),"Sem categoria"))</f>
        <v/>
      </c>
      <c r="E4350" s="75">
        <f>IF($C4350="","",IFERROR(INDEX(CAT_GRUPO,MATCH($C4350,CAT_NOME,0)),"Sem categoria"))</f>
        <v/>
      </c>
      <c r="F4350" s="76" t="n"/>
      <c r="G4350" s="74" t="n"/>
      <c r="H4350" s="74" t="n"/>
      <c r="I4350" s="74" t="n"/>
      <c r="J4350" s="77" t="n"/>
      <c r="K4350" s="77" t="n"/>
      <c r="L4350" s="74" t="n"/>
      <c r="M4350" s="74" t="n"/>
      <c r="O4350" s="78">
        <f>IF($A4350="","",YEAR($A4350)*100+MONTH($A4350))</f>
        <v/>
      </c>
      <c r="P4350" s="79">
        <f>IF(OR($F4350="",$D4350=""),"",IF($D4350="Receita",$F4350,IF($D4350="Transferência",0,-$F4350)))</f>
        <v/>
      </c>
    </row>
    <row r="4351">
      <c r="A4351" s="73" t="n"/>
      <c r="B4351" s="74" t="n"/>
      <c r="C4351" s="74" t="n"/>
      <c r="D4351" s="75">
        <f>IF($C4351="","",IFERROR(INDEX(CAT_TIPO,MATCH($C4351,CAT_NOME,0)),"Sem categoria"))</f>
        <v/>
      </c>
      <c r="E4351" s="75">
        <f>IF($C4351="","",IFERROR(INDEX(CAT_GRUPO,MATCH($C4351,CAT_NOME,0)),"Sem categoria"))</f>
        <v/>
      </c>
      <c r="F4351" s="76" t="n"/>
      <c r="G4351" s="74" t="n"/>
      <c r="H4351" s="74" t="n"/>
      <c r="I4351" s="74" t="n"/>
      <c r="J4351" s="77" t="n"/>
      <c r="K4351" s="77" t="n"/>
      <c r="L4351" s="74" t="n"/>
      <c r="M4351" s="74" t="n"/>
      <c r="O4351" s="78">
        <f>IF($A4351="","",YEAR($A4351)*100+MONTH($A4351))</f>
        <v/>
      </c>
      <c r="P4351" s="79">
        <f>IF(OR($F4351="",$D4351=""),"",IF($D4351="Receita",$F4351,IF($D4351="Transferência",0,-$F4351)))</f>
        <v/>
      </c>
    </row>
    <row r="4352">
      <c r="A4352" s="73" t="n"/>
      <c r="B4352" s="74" t="n"/>
      <c r="C4352" s="74" t="n"/>
      <c r="D4352" s="75">
        <f>IF($C4352="","",IFERROR(INDEX(CAT_TIPO,MATCH($C4352,CAT_NOME,0)),"Sem categoria"))</f>
        <v/>
      </c>
      <c r="E4352" s="75">
        <f>IF($C4352="","",IFERROR(INDEX(CAT_GRUPO,MATCH($C4352,CAT_NOME,0)),"Sem categoria"))</f>
        <v/>
      </c>
      <c r="F4352" s="76" t="n"/>
      <c r="G4352" s="74" t="n"/>
      <c r="H4352" s="74" t="n"/>
      <c r="I4352" s="74" t="n"/>
      <c r="J4352" s="77" t="n"/>
      <c r="K4352" s="77" t="n"/>
      <c r="L4352" s="74" t="n"/>
      <c r="M4352" s="74" t="n"/>
      <c r="O4352" s="78">
        <f>IF($A4352="","",YEAR($A4352)*100+MONTH($A4352))</f>
        <v/>
      </c>
      <c r="P4352" s="79">
        <f>IF(OR($F4352="",$D4352=""),"",IF($D4352="Receita",$F4352,IF($D4352="Transferência",0,-$F4352)))</f>
        <v/>
      </c>
    </row>
    <row r="4353">
      <c r="A4353" s="73" t="n"/>
      <c r="B4353" s="74" t="n"/>
      <c r="C4353" s="74" t="n"/>
      <c r="D4353" s="75">
        <f>IF($C4353="","",IFERROR(INDEX(CAT_TIPO,MATCH($C4353,CAT_NOME,0)),"Sem categoria"))</f>
        <v/>
      </c>
      <c r="E4353" s="75">
        <f>IF($C4353="","",IFERROR(INDEX(CAT_GRUPO,MATCH($C4353,CAT_NOME,0)),"Sem categoria"))</f>
        <v/>
      </c>
      <c r="F4353" s="76" t="n"/>
      <c r="G4353" s="74" t="n"/>
      <c r="H4353" s="74" t="n"/>
      <c r="I4353" s="74" t="n"/>
      <c r="J4353" s="77" t="n"/>
      <c r="K4353" s="77" t="n"/>
      <c r="L4353" s="74" t="n"/>
      <c r="M4353" s="74" t="n"/>
      <c r="O4353" s="78">
        <f>IF($A4353="","",YEAR($A4353)*100+MONTH($A4353))</f>
        <v/>
      </c>
      <c r="P4353" s="79">
        <f>IF(OR($F4353="",$D4353=""),"",IF($D4353="Receita",$F4353,IF($D4353="Transferência",0,-$F4353)))</f>
        <v/>
      </c>
    </row>
    <row r="4354">
      <c r="A4354" s="73" t="n"/>
      <c r="B4354" s="74" t="n"/>
      <c r="C4354" s="74" t="n"/>
      <c r="D4354" s="75">
        <f>IF($C4354="","",IFERROR(INDEX(CAT_TIPO,MATCH($C4354,CAT_NOME,0)),"Sem categoria"))</f>
        <v/>
      </c>
      <c r="E4354" s="75">
        <f>IF($C4354="","",IFERROR(INDEX(CAT_GRUPO,MATCH($C4354,CAT_NOME,0)),"Sem categoria"))</f>
        <v/>
      </c>
      <c r="F4354" s="76" t="n"/>
      <c r="G4354" s="74" t="n"/>
      <c r="H4354" s="74" t="n"/>
      <c r="I4354" s="74" t="n"/>
      <c r="J4354" s="77" t="n"/>
      <c r="K4354" s="77" t="n"/>
      <c r="L4354" s="74" t="n"/>
      <c r="M4354" s="74" t="n"/>
      <c r="O4354" s="78">
        <f>IF($A4354="","",YEAR($A4354)*100+MONTH($A4354))</f>
        <v/>
      </c>
      <c r="P4354" s="79">
        <f>IF(OR($F4354="",$D4354=""),"",IF($D4354="Receita",$F4354,IF($D4354="Transferência",0,-$F4354)))</f>
        <v/>
      </c>
    </row>
    <row r="4355">
      <c r="A4355" s="73" t="n"/>
      <c r="B4355" s="74" t="n"/>
      <c r="C4355" s="74" t="n"/>
      <c r="D4355" s="75">
        <f>IF($C4355="","",IFERROR(INDEX(CAT_TIPO,MATCH($C4355,CAT_NOME,0)),"Sem categoria"))</f>
        <v/>
      </c>
      <c r="E4355" s="75">
        <f>IF($C4355="","",IFERROR(INDEX(CAT_GRUPO,MATCH($C4355,CAT_NOME,0)),"Sem categoria"))</f>
        <v/>
      </c>
      <c r="F4355" s="76" t="n"/>
      <c r="G4355" s="74" t="n"/>
      <c r="H4355" s="74" t="n"/>
      <c r="I4355" s="74" t="n"/>
      <c r="J4355" s="77" t="n"/>
      <c r="K4355" s="77" t="n"/>
      <c r="L4355" s="74" t="n"/>
      <c r="M4355" s="74" t="n"/>
      <c r="O4355" s="78">
        <f>IF($A4355="","",YEAR($A4355)*100+MONTH($A4355))</f>
        <v/>
      </c>
      <c r="P4355" s="79">
        <f>IF(OR($F4355="",$D4355=""),"",IF($D4355="Receita",$F4355,IF($D4355="Transferência",0,-$F4355)))</f>
        <v/>
      </c>
    </row>
    <row r="4356">
      <c r="A4356" s="73" t="n"/>
      <c r="B4356" s="74" t="n"/>
      <c r="C4356" s="74" t="n"/>
      <c r="D4356" s="75">
        <f>IF($C4356="","",IFERROR(INDEX(CAT_TIPO,MATCH($C4356,CAT_NOME,0)),"Sem categoria"))</f>
        <v/>
      </c>
      <c r="E4356" s="75">
        <f>IF($C4356="","",IFERROR(INDEX(CAT_GRUPO,MATCH($C4356,CAT_NOME,0)),"Sem categoria"))</f>
        <v/>
      </c>
      <c r="F4356" s="76" t="n"/>
      <c r="G4356" s="74" t="n"/>
      <c r="H4356" s="74" t="n"/>
      <c r="I4356" s="74" t="n"/>
      <c r="J4356" s="77" t="n"/>
      <c r="K4356" s="77" t="n"/>
      <c r="L4356" s="74" t="n"/>
      <c r="M4356" s="74" t="n"/>
      <c r="O4356" s="78">
        <f>IF($A4356="","",YEAR($A4356)*100+MONTH($A4356))</f>
        <v/>
      </c>
      <c r="P4356" s="79">
        <f>IF(OR($F4356="",$D4356=""),"",IF($D4356="Receita",$F4356,IF($D4356="Transferência",0,-$F4356)))</f>
        <v/>
      </c>
    </row>
    <row r="4357">
      <c r="A4357" s="73" t="n"/>
      <c r="B4357" s="74" t="n"/>
      <c r="C4357" s="74" t="n"/>
      <c r="D4357" s="75">
        <f>IF($C4357="","",IFERROR(INDEX(CAT_TIPO,MATCH($C4357,CAT_NOME,0)),"Sem categoria"))</f>
        <v/>
      </c>
      <c r="E4357" s="75">
        <f>IF($C4357="","",IFERROR(INDEX(CAT_GRUPO,MATCH($C4357,CAT_NOME,0)),"Sem categoria"))</f>
        <v/>
      </c>
      <c r="F4357" s="76" t="n"/>
      <c r="G4357" s="74" t="n"/>
      <c r="H4357" s="74" t="n"/>
      <c r="I4357" s="74" t="n"/>
      <c r="J4357" s="77" t="n"/>
      <c r="K4357" s="77" t="n"/>
      <c r="L4357" s="74" t="n"/>
      <c r="M4357" s="74" t="n"/>
      <c r="O4357" s="78">
        <f>IF($A4357="","",YEAR($A4357)*100+MONTH($A4357))</f>
        <v/>
      </c>
      <c r="P4357" s="79">
        <f>IF(OR($F4357="",$D4357=""),"",IF($D4357="Receita",$F4357,IF($D4357="Transferência",0,-$F4357)))</f>
        <v/>
      </c>
    </row>
    <row r="4358">
      <c r="A4358" s="73" t="n"/>
      <c r="B4358" s="74" t="n"/>
      <c r="C4358" s="74" t="n"/>
      <c r="D4358" s="75">
        <f>IF($C4358="","",IFERROR(INDEX(CAT_TIPO,MATCH($C4358,CAT_NOME,0)),"Sem categoria"))</f>
        <v/>
      </c>
      <c r="E4358" s="75">
        <f>IF($C4358="","",IFERROR(INDEX(CAT_GRUPO,MATCH($C4358,CAT_NOME,0)),"Sem categoria"))</f>
        <v/>
      </c>
      <c r="F4358" s="76" t="n"/>
      <c r="G4358" s="74" t="n"/>
      <c r="H4358" s="74" t="n"/>
      <c r="I4358" s="74" t="n"/>
      <c r="J4358" s="77" t="n"/>
      <c r="K4358" s="77" t="n"/>
      <c r="L4358" s="74" t="n"/>
      <c r="M4358" s="74" t="n"/>
      <c r="O4358" s="78">
        <f>IF($A4358="","",YEAR($A4358)*100+MONTH($A4358))</f>
        <v/>
      </c>
      <c r="P4358" s="79">
        <f>IF(OR($F4358="",$D4358=""),"",IF($D4358="Receita",$F4358,IF($D4358="Transferência",0,-$F4358)))</f>
        <v/>
      </c>
    </row>
    <row r="4359">
      <c r="A4359" s="73" t="n"/>
      <c r="B4359" s="74" t="n"/>
      <c r="C4359" s="74" t="n"/>
      <c r="D4359" s="75">
        <f>IF($C4359="","",IFERROR(INDEX(CAT_TIPO,MATCH($C4359,CAT_NOME,0)),"Sem categoria"))</f>
        <v/>
      </c>
      <c r="E4359" s="75">
        <f>IF($C4359="","",IFERROR(INDEX(CAT_GRUPO,MATCH($C4359,CAT_NOME,0)),"Sem categoria"))</f>
        <v/>
      </c>
      <c r="F4359" s="76" t="n"/>
      <c r="G4359" s="74" t="n"/>
      <c r="H4359" s="74" t="n"/>
      <c r="I4359" s="74" t="n"/>
      <c r="J4359" s="77" t="n"/>
      <c r="K4359" s="77" t="n"/>
      <c r="L4359" s="74" t="n"/>
      <c r="M4359" s="74" t="n"/>
      <c r="O4359" s="78">
        <f>IF($A4359="","",YEAR($A4359)*100+MONTH($A4359))</f>
        <v/>
      </c>
      <c r="P4359" s="79">
        <f>IF(OR($F4359="",$D4359=""),"",IF($D4359="Receita",$F4359,IF($D4359="Transferência",0,-$F4359)))</f>
        <v/>
      </c>
    </row>
    <row r="4360">
      <c r="A4360" s="73" t="n"/>
      <c r="B4360" s="74" t="n"/>
      <c r="C4360" s="74" t="n"/>
      <c r="D4360" s="75">
        <f>IF($C4360="","",IFERROR(INDEX(CAT_TIPO,MATCH($C4360,CAT_NOME,0)),"Sem categoria"))</f>
        <v/>
      </c>
      <c r="E4360" s="75">
        <f>IF($C4360="","",IFERROR(INDEX(CAT_GRUPO,MATCH($C4360,CAT_NOME,0)),"Sem categoria"))</f>
        <v/>
      </c>
      <c r="F4360" s="76" t="n"/>
      <c r="G4360" s="74" t="n"/>
      <c r="H4360" s="74" t="n"/>
      <c r="I4360" s="74" t="n"/>
      <c r="J4360" s="77" t="n"/>
      <c r="K4360" s="77" t="n"/>
      <c r="L4360" s="74" t="n"/>
      <c r="M4360" s="74" t="n"/>
      <c r="O4360" s="78">
        <f>IF($A4360="","",YEAR($A4360)*100+MONTH($A4360))</f>
        <v/>
      </c>
      <c r="P4360" s="79">
        <f>IF(OR($F4360="",$D4360=""),"",IF($D4360="Receita",$F4360,IF($D4360="Transferência",0,-$F4360)))</f>
        <v/>
      </c>
    </row>
    <row r="4361">
      <c r="A4361" s="73" t="n"/>
      <c r="B4361" s="74" t="n"/>
      <c r="C4361" s="74" t="n"/>
      <c r="D4361" s="75">
        <f>IF($C4361="","",IFERROR(INDEX(CAT_TIPO,MATCH($C4361,CAT_NOME,0)),"Sem categoria"))</f>
        <v/>
      </c>
      <c r="E4361" s="75">
        <f>IF($C4361="","",IFERROR(INDEX(CAT_GRUPO,MATCH($C4361,CAT_NOME,0)),"Sem categoria"))</f>
        <v/>
      </c>
      <c r="F4361" s="76" t="n"/>
      <c r="G4361" s="74" t="n"/>
      <c r="H4361" s="74" t="n"/>
      <c r="I4361" s="74" t="n"/>
      <c r="J4361" s="77" t="n"/>
      <c r="K4361" s="77" t="n"/>
      <c r="L4361" s="74" t="n"/>
      <c r="M4361" s="74" t="n"/>
      <c r="O4361" s="78">
        <f>IF($A4361="","",YEAR($A4361)*100+MONTH($A4361))</f>
        <v/>
      </c>
      <c r="P4361" s="79">
        <f>IF(OR($F4361="",$D4361=""),"",IF($D4361="Receita",$F4361,IF($D4361="Transferência",0,-$F4361)))</f>
        <v/>
      </c>
    </row>
    <row r="4362">
      <c r="A4362" s="73" t="n"/>
      <c r="B4362" s="74" t="n"/>
      <c r="C4362" s="74" t="n"/>
      <c r="D4362" s="75">
        <f>IF($C4362="","",IFERROR(INDEX(CAT_TIPO,MATCH($C4362,CAT_NOME,0)),"Sem categoria"))</f>
        <v/>
      </c>
      <c r="E4362" s="75">
        <f>IF($C4362="","",IFERROR(INDEX(CAT_GRUPO,MATCH($C4362,CAT_NOME,0)),"Sem categoria"))</f>
        <v/>
      </c>
      <c r="F4362" s="76" t="n"/>
      <c r="G4362" s="74" t="n"/>
      <c r="H4362" s="74" t="n"/>
      <c r="I4362" s="74" t="n"/>
      <c r="J4362" s="77" t="n"/>
      <c r="K4362" s="77" t="n"/>
      <c r="L4362" s="74" t="n"/>
      <c r="M4362" s="74" t="n"/>
      <c r="O4362" s="78">
        <f>IF($A4362="","",YEAR($A4362)*100+MONTH($A4362))</f>
        <v/>
      </c>
      <c r="P4362" s="79">
        <f>IF(OR($F4362="",$D4362=""),"",IF($D4362="Receita",$F4362,IF($D4362="Transferência",0,-$F4362)))</f>
        <v/>
      </c>
    </row>
    <row r="4363">
      <c r="A4363" s="73" t="n"/>
      <c r="B4363" s="74" t="n"/>
      <c r="C4363" s="74" t="n"/>
      <c r="D4363" s="75">
        <f>IF($C4363="","",IFERROR(INDEX(CAT_TIPO,MATCH($C4363,CAT_NOME,0)),"Sem categoria"))</f>
        <v/>
      </c>
      <c r="E4363" s="75">
        <f>IF($C4363="","",IFERROR(INDEX(CAT_GRUPO,MATCH($C4363,CAT_NOME,0)),"Sem categoria"))</f>
        <v/>
      </c>
      <c r="F4363" s="76" t="n"/>
      <c r="G4363" s="74" t="n"/>
      <c r="H4363" s="74" t="n"/>
      <c r="I4363" s="74" t="n"/>
      <c r="J4363" s="77" t="n"/>
      <c r="K4363" s="77" t="n"/>
      <c r="L4363" s="74" t="n"/>
      <c r="M4363" s="74" t="n"/>
      <c r="O4363" s="78">
        <f>IF($A4363="","",YEAR($A4363)*100+MONTH($A4363))</f>
        <v/>
      </c>
      <c r="P4363" s="79">
        <f>IF(OR($F4363="",$D4363=""),"",IF($D4363="Receita",$F4363,IF($D4363="Transferência",0,-$F4363)))</f>
        <v/>
      </c>
    </row>
    <row r="4364">
      <c r="A4364" s="73" t="n"/>
      <c r="B4364" s="74" t="n"/>
      <c r="C4364" s="74" t="n"/>
      <c r="D4364" s="75">
        <f>IF($C4364="","",IFERROR(INDEX(CAT_TIPO,MATCH($C4364,CAT_NOME,0)),"Sem categoria"))</f>
        <v/>
      </c>
      <c r="E4364" s="75">
        <f>IF($C4364="","",IFERROR(INDEX(CAT_GRUPO,MATCH($C4364,CAT_NOME,0)),"Sem categoria"))</f>
        <v/>
      </c>
      <c r="F4364" s="76" t="n"/>
      <c r="G4364" s="74" t="n"/>
      <c r="H4364" s="74" t="n"/>
      <c r="I4364" s="74" t="n"/>
      <c r="J4364" s="77" t="n"/>
      <c r="K4364" s="77" t="n"/>
      <c r="L4364" s="74" t="n"/>
      <c r="M4364" s="74" t="n"/>
      <c r="O4364" s="78">
        <f>IF($A4364="","",YEAR($A4364)*100+MONTH($A4364))</f>
        <v/>
      </c>
      <c r="P4364" s="79">
        <f>IF(OR($F4364="",$D4364=""),"",IF($D4364="Receita",$F4364,IF($D4364="Transferência",0,-$F4364)))</f>
        <v/>
      </c>
    </row>
    <row r="4365">
      <c r="A4365" s="73" t="n"/>
      <c r="B4365" s="74" t="n"/>
      <c r="C4365" s="74" t="n"/>
      <c r="D4365" s="75">
        <f>IF($C4365="","",IFERROR(INDEX(CAT_TIPO,MATCH($C4365,CAT_NOME,0)),"Sem categoria"))</f>
        <v/>
      </c>
      <c r="E4365" s="75">
        <f>IF($C4365="","",IFERROR(INDEX(CAT_GRUPO,MATCH($C4365,CAT_NOME,0)),"Sem categoria"))</f>
        <v/>
      </c>
      <c r="F4365" s="76" t="n"/>
      <c r="G4365" s="74" t="n"/>
      <c r="H4365" s="74" t="n"/>
      <c r="I4365" s="74" t="n"/>
      <c r="J4365" s="77" t="n"/>
      <c r="K4365" s="77" t="n"/>
      <c r="L4365" s="74" t="n"/>
      <c r="M4365" s="74" t="n"/>
      <c r="O4365" s="78">
        <f>IF($A4365="","",YEAR($A4365)*100+MONTH($A4365))</f>
        <v/>
      </c>
      <c r="P4365" s="79">
        <f>IF(OR($F4365="",$D4365=""),"",IF($D4365="Receita",$F4365,IF($D4365="Transferência",0,-$F4365)))</f>
        <v/>
      </c>
    </row>
    <row r="4366">
      <c r="A4366" s="73" t="n"/>
      <c r="B4366" s="74" t="n"/>
      <c r="C4366" s="74" t="n"/>
      <c r="D4366" s="75">
        <f>IF($C4366="","",IFERROR(INDEX(CAT_TIPO,MATCH($C4366,CAT_NOME,0)),"Sem categoria"))</f>
        <v/>
      </c>
      <c r="E4366" s="75">
        <f>IF($C4366="","",IFERROR(INDEX(CAT_GRUPO,MATCH($C4366,CAT_NOME,0)),"Sem categoria"))</f>
        <v/>
      </c>
      <c r="F4366" s="76" t="n"/>
      <c r="G4366" s="74" t="n"/>
      <c r="H4366" s="74" t="n"/>
      <c r="I4366" s="74" t="n"/>
      <c r="J4366" s="77" t="n"/>
      <c r="K4366" s="77" t="n"/>
      <c r="L4366" s="74" t="n"/>
      <c r="M4366" s="74" t="n"/>
      <c r="O4366" s="78">
        <f>IF($A4366="","",YEAR($A4366)*100+MONTH($A4366))</f>
        <v/>
      </c>
      <c r="P4366" s="79">
        <f>IF(OR($F4366="",$D4366=""),"",IF($D4366="Receita",$F4366,IF($D4366="Transferência",0,-$F4366)))</f>
        <v/>
      </c>
    </row>
    <row r="4367">
      <c r="A4367" s="73" t="n"/>
      <c r="B4367" s="74" t="n"/>
      <c r="C4367" s="74" t="n"/>
      <c r="D4367" s="75">
        <f>IF($C4367="","",IFERROR(INDEX(CAT_TIPO,MATCH($C4367,CAT_NOME,0)),"Sem categoria"))</f>
        <v/>
      </c>
      <c r="E4367" s="75">
        <f>IF($C4367="","",IFERROR(INDEX(CAT_GRUPO,MATCH($C4367,CAT_NOME,0)),"Sem categoria"))</f>
        <v/>
      </c>
      <c r="F4367" s="76" t="n"/>
      <c r="G4367" s="74" t="n"/>
      <c r="H4367" s="74" t="n"/>
      <c r="I4367" s="74" t="n"/>
      <c r="J4367" s="77" t="n"/>
      <c r="K4367" s="77" t="n"/>
      <c r="L4367" s="74" t="n"/>
      <c r="M4367" s="74" t="n"/>
      <c r="O4367" s="78">
        <f>IF($A4367="","",YEAR($A4367)*100+MONTH($A4367))</f>
        <v/>
      </c>
      <c r="P4367" s="79">
        <f>IF(OR($F4367="",$D4367=""),"",IF($D4367="Receita",$F4367,IF($D4367="Transferência",0,-$F4367)))</f>
        <v/>
      </c>
    </row>
    <row r="4368">
      <c r="A4368" s="73" t="n"/>
      <c r="B4368" s="74" t="n"/>
      <c r="C4368" s="74" t="n"/>
      <c r="D4368" s="75">
        <f>IF($C4368="","",IFERROR(INDEX(CAT_TIPO,MATCH($C4368,CAT_NOME,0)),"Sem categoria"))</f>
        <v/>
      </c>
      <c r="E4368" s="75">
        <f>IF($C4368="","",IFERROR(INDEX(CAT_GRUPO,MATCH($C4368,CAT_NOME,0)),"Sem categoria"))</f>
        <v/>
      </c>
      <c r="F4368" s="76" t="n"/>
      <c r="G4368" s="74" t="n"/>
      <c r="H4368" s="74" t="n"/>
      <c r="I4368" s="74" t="n"/>
      <c r="J4368" s="77" t="n"/>
      <c r="K4368" s="77" t="n"/>
      <c r="L4368" s="74" t="n"/>
      <c r="M4368" s="74" t="n"/>
      <c r="O4368" s="78">
        <f>IF($A4368="","",YEAR($A4368)*100+MONTH($A4368))</f>
        <v/>
      </c>
      <c r="P4368" s="79">
        <f>IF(OR($F4368="",$D4368=""),"",IF($D4368="Receita",$F4368,IF($D4368="Transferência",0,-$F4368)))</f>
        <v/>
      </c>
    </row>
    <row r="4369">
      <c r="A4369" s="73" t="n"/>
      <c r="B4369" s="74" t="n"/>
      <c r="C4369" s="74" t="n"/>
      <c r="D4369" s="75">
        <f>IF($C4369="","",IFERROR(INDEX(CAT_TIPO,MATCH($C4369,CAT_NOME,0)),"Sem categoria"))</f>
        <v/>
      </c>
      <c r="E4369" s="75">
        <f>IF($C4369="","",IFERROR(INDEX(CAT_GRUPO,MATCH($C4369,CAT_NOME,0)),"Sem categoria"))</f>
        <v/>
      </c>
      <c r="F4369" s="76" t="n"/>
      <c r="G4369" s="74" t="n"/>
      <c r="H4369" s="74" t="n"/>
      <c r="I4369" s="74" t="n"/>
      <c r="J4369" s="77" t="n"/>
      <c r="K4369" s="77" t="n"/>
      <c r="L4369" s="74" t="n"/>
      <c r="M4369" s="74" t="n"/>
      <c r="O4369" s="78">
        <f>IF($A4369="","",YEAR($A4369)*100+MONTH($A4369))</f>
        <v/>
      </c>
      <c r="P4369" s="79">
        <f>IF(OR($F4369="",$D4369=""),"",IF($D4369="Receita",$F4369,IF($D4369="Transferência",0,-$F4369)))</f>
        <v/>
      </c>
    </row>
    <row r="4370">
      <c r="A4370" s="73" t="n"/>
      <c r="B4370" s="74" t="n"/>
      <c r="C4370" s="74" t="n"/>
      <c r="D4370" s="75">
        <f>IF($C4370="","",IFERROR(INDEX(CAT_TIPO,MATCH($C4370,CAT_NOME,0)),"Sem categoria"))</f>
        <v/>
      </c>
      <c r="E4370" s="75">
        <f>IF($C4370="","",IFERROR(INDEX(CAT_GRUPO,MATCH($C4370,CAT_NOME,0)),"Sem categoria"))</f>
        <v/>
      </c>
      <c r="F4370" s="76" t="n"/>
      <c r="G4370" s="74" t="n"/>
      <c r="H4370" s="74" t="n"/>
      <c r="I4370" s="74" t="n"/>
      <c r="J4370" s="77" t="n"/>
      <c r="K4370" s="77" t="n"/>
      <c r="L4370" s="74" t="n"/>
      <c r="M4370" s="74" t="n"/>
      <c r="O4370" s="78">
        <f>IF($A4370="","",YEAR($A4370)*100+MONTH($A4370))</f>
        <v/>
      </c>
      <c r="P4370" s="79">
        <f>IF(OR($F4370="",$D4370=""),"",IF($D4370="Receita",$F4370,IF($D4370="Transferência",0,-$F4370)))</f>
        <v/>
      </c>
    </row>
    <row r="4371">
      <c r="A4371" s="73" t="n"/>
      <c r="B4371" s="74" t="n"/>
      <c r="C4371" s="74" t="n"/>
      <c r="D4371" s="75">
        <f>IF($C4371="","",IFERROR(INDEX(CAT_TIPO,MATCH($C4371,CAT_NOME,0)),"Sem categoria"))</f>
        <v/>
      </c>
      <c r="E4371" s="75">
        <f>IF($C4371="","",IFERROR(INDEX(CAT_GRUPO,MATCH($C4371,CAT_NOME,0)),"Sem categoria"))</f>
        <v/>
      </c>
      <c r="F4371" s="76" t="n"/>
      <c r="G4371" s="74" t="n"/>
      <c r="H4371" s="74" t="n"/>
      <c r="I4371" s="74" t="n"/>
      <c r="J4371" s="77" t="n"/>
      <c r="K4371" s="77" t="n"/>
      <c r="L4371" s="74" t="n"/>
      <c r="M4371" s="74" t="n"/>
      <c r="O4371" s="78">
        <f>IF($A4371="","",YEAR($A4371)*100+MONTH($A4371))</f>
        <v/>
      </c>
      <c r="P4371" s="79">
        <f>IF(OR($F4371="",$D4371=""),"",IF($D4371="Receita",$F4371,IF($D4371="Transferência",0,-$F4371)))</f>
        <v/>
      </c>
    </row>
    <row r="4372">
      <c r="A4372" s="73" t="n"/>
      <c r="B4372" s="74" t="n"/>
      <c r="C4372" s="74" t="n"/>
      <c r="D4372" s="75">
        <f>IF($C4372="","",IFERROR(INDEX(CAT_TIPO,MATCH($C4372,CAT_NOME,0)),"Sem categoria"))</f>
        <v/>
      </c>
      <c r="E4372" s="75">
        <f>IF($C4372="","",IFERROR(INDEX(CAT_GRUPO,MATCH($C4372,CAT_NOME,0)),"Sem categoria"))</f>
        <v/>
      </c>
      <c r="F4372" s="76" t="n"/>
      <c r="G4372" s="74" t="n"/>
      <c r="H4372" s="74" t="n"/>
      <c r="I4372" s="74" t="n"/>
      <c r="J4372" s="77" t="n"/>
      <c r="K4372" s="77" t="n"/>
      <c r="L4372" s="74" t="n"/>
      <c r="M4372" s="74" t="n"/>
      <c r="O4372" s="78">
        <f>IF($A4372="","",YEAR($A4372)*100+MONTH($A4372))</f>
        <v/>
      </c>
      <c r="P4372" s="79">
        <f>IF(OR($F4372="",$D4372=""),"",IF($D4372="Receita",$F4372,IF($D4372="Transferência",0,-$F4372)))</f>
        <v/>
      </c>
    </row>
    <row r="4373">
      <c r="A4373" s="73" t="n"/>
      <c r="B4373" s="74" t="n"/>
      <c r="C4373" s="74" t="n"/>
      <c r="D4373" s="75">
        <f>IF($C4373="","",IFERROR(INDEX(CAT_TIPO,MATCH($C4373,CAT_NOME,0)),"Sem categoria"))</f>
        <v/>
      </c>
      <c r="E4373" s="75">
        <f>IF($C4373="","",IFERROR(INDEX(CAT_GRUPO,MATCH($C4373,CAT_NOME,0)),"Sem categoria"))</f>
        <v/>
      </c>
      <c r="F4373" s="76" t="n"/>
      <c r="G4373" s="74" t="n"/>
      <c r="H4373" s="74" t="n"/>
      <c r="I4373" s="74" t="n"/>
      <c r="J4373" s="77" t="n"/>
      <c r="K4373" s="77" t="n"/>
      <c r="L4373" s="74" t="n"/>
      <c r="M4373" s="74" t="n"/>
      <c r="O4373" s="78">
        <f>IF($A4373="","",YEAR($A4373)*100+MONTH($A4373))</f>
        <v/>
      </c>
      <c r="P4373" s="79">
        <f>IF(OR($F4373="",$D4373=""),"",IF($D4373="Receita",$F4373,IF($D4373="Transferência",0,-$F4373)))</f>
        <v/>
      </c>
    </row>
    <row r="4374">
      <c r="A4374" s="73" t="n"/>
      <c r="B4374" s="74" t="n"/>
      <c r="C4374" s="74" t="n"/>
      <c r="D4374" s="75">
        <f>IF($C4374="","",IFERROR(INDEX(CAT_TIPO,MATCH($C4374,CAT_NOME,0)),"Sem categoria"))</f>
        <v/>
      </c>
      <c r="E4374" s="75">
        <f>IF($C4374="","",IFERROR(INDEX(CAT_GRUPO,MATCH($C4374,CAT_NOME,0)),"Sem categoria"))</f>
        <v/>
      </c>
      <c r="F4374" s="76" t="n"/>
      <c r="G4374" s="74" t="n"/>
      <c r="H4374" s="74" t="n"/>
      <c r="I4374" s="74" t="n"/>
      <c r="J4374" s="77" t="n"/>
      <c r="K4374" s="77" t="n"/>
      <c r="L4374" s="74" t="n"/>
      <c r="M4374" s="74" t="n"/>
      <c r="O4374" s="78">
        <f>IF($A4374="","",YEAR($A4374)*100+MONTH($A4374))</f>
        <v/>
      </c>
      <c r="P4374" s="79">
        <f>IF(OR($F4374="",$D4374=""),"",IF($D4374="Receita",$F4374,IF($D4374="Transferência",0,-$F4374)))</f>
        <v/>
      </c>
    </row>
    <row r="4375">
      <c r="A4375" s="73" t="n"/>
      <c r="B4375" s="74" t="n"/>
      <c r="C4375" s="74" t="n"/>
      <c r="D4375" s="75">
        <f>IF($C4375="","",IFERROR(INDEX(CAT_TIPO,MATCH($C4375,CAT_NOME,0)),"Sem categoria"))</f>
        <v/>
      </c>
      <c r="E4375" s="75">
        <f>IF($C4375="","",IFERROR(INDEX(CAT_GRUPO,MATCH($C4375,CAT_NOME,0)),"Sem categoria"))</f>
        <v/>
      </c>
      <c r="F4375" s="76" t="n"/>
      <c r="G4375" s="74" t="n"/>
      <c r="H4375" s="74" t="n"/>
      <c r="I4375" s="74" t="n"/>
      <c r="J4375" s="77" t="n"/>
      <c r="K4375" s="77" t="n"/>
      <c r="L4375" s="74" t="n"/>
      <c r="M4375" s="74" t="n"/>
      <c r="O4375" s="78">
        <f>IF($A4375="","",YEAR($A4375)*100+MONTH($A4375))</f>
        <v/>
      </c>
      <c r="P4375" s="79">
        <f>IF(OR($F4375="",$D4375=""),"",IF($D4375="Receita",$F4375,IF($D4375="Transferência",0,-$F4375)))</f>
        <v/>
      </c>
    </row>
    <row r="4376">
      <c r="A4376" s="73" t="n"/>
      <c r="B4376" s="74" t="n"/>
      <c r="C4376" s="74" t="n"/>
      <c r="D4376" s="75">
        <f>IF($C4376="","",IFERROR(INDEX(CAT_TIPO,MATCH($C4376,CAT_NOME,0)),"Sem categoria"))</f>
        <v/>
      </c>
      <c r="E4376" s="75">
        <f>IF($C4376="","",IFERROR(INDEX(CAT_GRUPO,MATCH($C4376,CAT_NOME,0)),"Sem categoria"))</f>
        <v/>
      </c>
      <c r="F4376" s="76" t="n"/>
      <c r="G4376" s="74" t="n"/>
      <c r="H4376" s="74" t="n"/>
      <c r="I4376" s="74" t="n"/>
      <c r="J4376" s="77" t="n"/>
      <c r="K4376" s="77" t="n"/>
      <c r="L4376" s="74" t="n"/>
      <c r="M4376" s="74" t="n"/>
      <c r="O4376" s="78">
        <f>IF($A4376="","",YEAR($A4376)*100+MONTH($A4376))</f>
        <v/>
      </c>
      <c r="P4376" s="79">
        <f>IF(OR($F4376="",$D4376=""),"",IF($D4376="Receita",$F4376,IF($D4376="Transferência",0,-$F4376)))</f>
        <v/>
      </c>
    </row>
    <row r="4377">
      <c r="A4377" s="73" t="n"/>
      <c r="B4377" s="74" t="n"/>
      <c r="C4377" s="74" t="n"/>
      <c r="D4377" s="75">
        <f>IF($C4377="","",IFERROR(INDEX(CAT_TIPO,MATCH($C4377,CAT_NOME,0)),"Sem categoria"))</f>
        <v/>
      </c>
      <c r="E4377" s="75">
        <f>IF($C4377="","",IFERROR(INDEX(CAT_GRUPO,MATCH($C4377,CAT_NOME,0)),"Sem categoria"))</f>
        <v/>
      </c>
      <c r="F4377" s="76" t="n"/>
      <c r="G4377" s="74" t="n"/>
      <c r="H4377" s="74" t="n"/>
      <c r="I4377" s="74" t="n"/>
      <c r="J4377" s="77" t="n"/>
      <c r="K4377" s="77" t="n"/>
      <c r="L4377" s="74" t="n"/>
      <c r="M4377" s="74" t="n"/>
      <c r="O4377" s="78">
        <f>IF($A4377="","",YEAR($A4377)*100+MONTH($A4377))</f>
        <v/>
      </c>
      <c r="P4377" s="79">
        <f>IF(OR($F4377="",$D4377=""),"",IF($D4377="Receita",$F4377,IF($D4377="Transferência",0,-$F4377)))</f>
        <v/>
      </c>
    </row>
    <row r="4378">
      <c r="A4378" s="73" t="n"/>
      <c r="B4378" s="74" t="n"/>
      <c r="C4378" s="74" t="n"/>
      <c r="D4378" s="75">
        <f>IF($C4378="","",IFERROR(INDEX(CAT_TIPO,MATCH($C4378,CAT_NOME,0)),"Sem categoria"))</f>
        <v/>
      </c>
      <c r="E4378" s="75">
        <f>IF($C4378="","",IFERROR(INDEX(CAT_GRUPO,MATCH($C4378,CAT_NOME,0)),"Sem categoria"))</f>
        <v/>
      </c>
      <c r="F4378" s="76" t="n"/>
      <c r="G4378" s="74" t="n"/>
      <c r="H4378" s="74" t="n"/>
      <c r="I4378" s="74" t="n"/>
      <c r="J4378" s="77" t="n"/>
      <c r="K4378" s="77" t="n"/>
      <c r="L4378" s="74" t="n"/>
      <c r="M4378" s="74" t="n"/>
      <c r="O4378" s="78">
        <f>IF($A4378="","",YEAR($A4378)*100+MONTH($A4378))</f>
        <v/>
      </c>
      <c r="P4378" s="79">
        <f>IF(OR($F4378="",$D4378=""),"",IF($D4378="Receita",$F4378,IF($D4378="Transferência",0,-$F4378)))</f>
        <v/>
      </c>
    </row>
    <row r="4379">
      <c r="A4379" s="73" t="n"/>
      <c r="B4379" s="74" t="n"/>
      <c r="C4379" s="74" t="n"/>
      <c r="D4379" s="75">
        <f>IF($C4379="","",IFERROR(INDEX(CAT_TIPO,MATCH($C4379,CAT_NOME,0)),"Sem categoria"))</f>
        <v/>
      </c>
      <c r="E4379" s="75">
        <f>IF($C4379="","",IFERROR(INDEX(CAT_GRUPO,MATCH($C4379,CAT_NOME,0)),"Sem categoria"))</f>
        <v/>
      </c>
      <c r="F4379" s="76" t="n"/>
      <c r="G4379" s="74" t="n"/>
      <c r="H4379" s="74" t="n"/>
      <c r="I4379" s="74" t="n"/>
      <c r="J4379" s="77" t="n"/>
      <c r="K4379" s="77" t="n"/>
      <c r="L4379" s="74" t="n"/>
      <c r="M4379" s="74" t="n"/>
      <c r="O4379" s="78">
        <f>IF($A4379="","",YEAR($A4379)*100+MONTH($A4379))</f>
        <v/>
      </c>
      <c r="P4379" s="79">
        <f>IF(OR($F4379="",$D4379=""),"",IF($D4379="Receita",$F4379,IF($D4379="Transferência",0,-$F4379)))</f>
        <v/>
      </c>
    </row>
    <row r="4380">
      <c r="A4380" s="73" t="n"/>
      <c r="B4380" s="74" t="n"/>
      <c r="C4380" s="74" t="n"/>
      <c r="D4380" s="75">
        <f>IF($C4380="","",IFERROR(INDEX(CAT_TIPO,MATCH($C4380,CAT_NOME,0)),"Sem categoria"))</f>
        <v/>
      </c>
      <c r="E4380" s="75">
        <f>IF($C4380="","",IFERROR(INDEX(CAT_GRUPO,MATCH($C4380,CAT_NOME,0)),"Sem categoria"))</f>
        <v/>
      </c>
      <c r="F4380" s="76" t="n"/>
      <c r="G4380" s="74" t="n"/>
      <c r="H4380" s="74" t="n"/>
      <c r="I4380" s="74" t="n"/>
      <c r="J4380" s="77" t="n"/>
      <c r="K4380" s="77" t="n"/>
      <c r="L4380" s="74" t="n"/>
      <c r="M4380" s="74" t="n"/>
      <c r="O4380" s="78">
        <f>IF($A4380="","",YEAR($A4380)*100+MONTH($A4380))</f>
        <v/>
      </c>
      <c r="P4380" s="79">
        <f>IF(OR($F4380="",$D4380=""),"",IF($D4380="Receita",$F4380,IF($D4380="Transferência",0,-$F4380)))</f>
        <v/>
      </c>
    </row>
    <row r="4381">
      <c r="A4381" s="73" t="n"/>
      <c r="B4381" s="74" t="n"/>
      <c r="C4381" s="74" t="n"/>
      <c r="D4381" s="75">
        <f>IF($C4381="","",IFERROR(INDEX(CAT_TIPO,MATCH($C4381,CAT_NOME,0)),"Sem categoria"))</f>
        <v/>
      </c>
      <c r="E4381" s="75">
        <f>IF($C4381="","",IFERROR(INDEX(CAT_GRUPO,MATCH($C4381,CAT_NOME,0)),"Sem categoria"))</f>
        <v/>
      </c>
      <c r="F4381" s="76" t="n"/>
      <c r="G4381" s="74" t="n"/>
      <c r="H4381" s="74" t="n"/>
      <c r="I4381" s="74" t="n"/>
      <c r="J4381" s="77" t="n"/>
      <c r="K4381" s="77" t="n"/>
      <c r="L4381" s="74" t="n"/>
      <c r="M4381" s="74" t="n"/>
      <c r="O4381" s="78">
        <f>IF($A4381="","",YEAR($A4381)*100+MONTH($A4381))</f>
        <v/>
      </c>
      <c r="P4381" s="79">
        <f>IF(OR($F4381="",$D4381=""),"",IF($D4381="Receita",$F4381,IF($D4381="Transferência",0,-$F4381)))</f>
        <v/>
      </c>
    </row>
    <row r="4382">
      <c r="A4382" s="73" t="n"/>
      <c r="B4382" s="74" t="n"/>
      <c r="C4382" s="74" t="n"/>
      <c r="D4382" s="75">
        <f>IF($C4382="","",IFERROR(INDEX(CAT_TIPO,MATCH($C4382,CAT_NOME,0)),"Sem categoria"))</f>
        <v/>
      </c>
      <c r="E4382" s="75">
        <f>IF($C4382="","",IFERROR(INDEX(CAT_GRUPO,MATCH($C4382,CAT_NOME,0)),"Sem categoria"))</f>
        <v/>
      </c>
      <c r="F4382" s="76" t="n"/>
      <c r="G4382" s="74" t="n"/>
      <c r="H4382" s="74" t="n"/>
      <c r="I4382" s="74" t="n"/>
      <c r="J4382" s="77" t="n"/>
      <c r="K4382" s="77" t="n"/>
      <c r="L4382" s="74" t="n"/>
      <c r="M4382" s="74" t="n"/>
      <c r="O4382" s="78">
        <f>IF($A4382="","",YEAR($A4382)*100+MONTH($A4382))</f>
        <v/>
      </c>
      <c r="P4382" s="79">
        <f>IF(OR($F4382="",$D4382=""),"",IF($D4382="Receita",$F4382,IF($D4382="Transferência",0,-$F4382)))</f>
        <v/>
      </c>
    </row>
    <row r="4383">
      <c r="A4383" s="73" t="n"/>
      <c r="B4383" s="74" t="n"/>
      <c r="C4383" s="74" t="n"/>
      <c r="D4383" s="75">
        <f>IF($C4383="","",IFERROR(INDEX(CAT_TIPO,MATCH($C4383,CAT_NOME,0)),"Sem categoria"))</f>
        <v/>
      </c>
      <c r="E4383" s="75">
        <f>IF($C4383="","",IFERROR(INDEX(CAT_GRUPO,MATCH($C4383,CAT_NOME,0)),"Sem categoria"))</f>
        <v/>
      </c>
      <c r="F4383" s="76" t="n"/>
      <c r="G4383" s="74" t="n"/>
      <c r="H4383" s="74" t="n"/>
      <c r="I4383" s="74" t="n"/>
      <c r="J4383" s="77" t="n"/>
      <c r="K4383" s="77" t="n"/>
      <c r="L4383" s="74" t="n"/>
      <c r="M4383" s="74" t="n"/>
      <c r="O4383" s="78">
        <f>IF($A4383="","",YEAR($A4383)*100+MONTH($A4383))</f>
        <v/>
      </c>
      <c r="P4383" s="79">
        <f>IF(OR($F4383="",$D4383=""),"",IF($D4383="Receita",$F4383,IF($D4383="Transferência",0,-$F4383)))</f>
        <v/>
      </c>
    </row>
    <row r="4384">
      <c r="A4384" s="73" t="n"/>
      <c r="B4384" s="74" t="n"/>
      <c r="C4384" s="74" t="n"/>
      <c r="D4384" s="75">
        <f>IF($C4384="","",IFERROR(INDEX(CAT_TIPO,MATCH($C4384,CAT_NOME,0)),"Sem categoria"))</f>
        <v/>
      </c>
      <c r="E4384" s="75">
        <f>IF($C4384="","",IFERROR(INDEX(CAT_GRUPO,MATCH($C4384,CAT_NOME,0)),"Sem categoria"))</f>
        <v/>
      </c>
      <c r="F4384" s="76" t="n"/>
      <c r="G4384" s="74" t="n"/>
      <c r="H4384" s="74" t="n"/>
      <c r="I4384" s="74" t="n"/>
      <c r="J4384" s="77" t="n"/>
      <c r="K4384" s="77" t="n"/>
      <c r="L4384" s="74" t="n"/>
      <c r="M4384" s="74" t="n"/>
      <c r="O4384" s="78">
        <f>IF($A4384="","",YEAR($A4384)*100+MONTH($A4384))</f>
        <v/>
      </c>
      <c r="P4384" s="79">
        <f>IF(OR($F4384="",$D4384=""),"",IF($D4384="Receita",$F4384,IF($D4384="Transferência",0,-$F4384)))</f>
        <v/>
      </c>
    </row>
    <row r="4385">
      <c r="A4385" s="73" t="n"/>
      <c r="B4385" s="74" t="n"/>
      <c r="C4385" s="74" t="n"/>
      <c r="D4385" s="75">
        <f>IF($C4385="","",IFERROR(INDEX(CAT_TIPO,MATCH($C4385,CAT_NOME,0)),"Sem categoria"))</f>
        <v/>
      </c>
      <c r="E4385" s="75">
        <f>IF($C4385="","",IFERROR(INDEX(CAT_GRUPO,MATCH($C4385,CAT_NOME,0)),"Sem categoria"))</f>
        <v/>
      </c>
      <c r="F4385" s="76" t="n"/>
      <c r="G4385" s="74" t="n"/>
      <c r="H4385" s="74" t="n"/>
      <c r="I4385" s="74" t="n"/>
      <c r="J4385" s="77" t="n"/>
      <c r="K4385" s="77" t="n"/>
      <c r="L4385" s="74" t="n"/>
      <c r="M4385" s="74" t="n"/>
      <c r="O4385" s="78">
        <f>IF($A4385="","",YEAR($A4385)*100+MONTH($A4385))</f>
        <v/>
      </c>
      <c r="P4385" s="79">
        <f>IF(OR($F4385="",$D4385=""),"",IF($D4385="Receita",$F4385,IF($D4385="Transferência",0,-$F4385)))</f>
        <v/>
      </c>
    </row>
    <row r="4386">
      <c r="A4386" s="73" t="n"/>
      <c r="B4386" s="74" t="n"/>
      <c r="C4386" s="74" t="n"/>
      <c r="D4386" s="75">
        <f>IF($C4386="","",IFERROR(INDEX(CAT_TIPO,MATCH($C4386,CAT_NOME,0)),"Sem categoria"))</f>
        <v/>
      </c>
      <c r="E4386" s="75">
        <f>IF($C4386="","",IFERROR(INDEX(CAT_GRUPO,MATCH($C4386,CAT_NOME,0)),"Sem categoria"))</f>
        <v/>
      </c>
      <c r="F4386" s="76" t="n"/>
      <c r="G4386" s="74" t="n"/>
      <c r="H4386" s="74" t="n"/>
      <c r="I4386" s="74" t="n"/>
      <c r="J4386" s="77" t="n"/>
      <c r="K4386" s="77" t="n"/>
      <c r="L4386" s="74" t="n"/>
      <c r="M4386" s="74" t="n"/>
      <c r="O4386" s="78">
        <f>IF($A4386="","",YEAR($A4386)*100+MONTH($A4386))</f>
        <v/>
      </c>
      <c r="P4386" s="79">
        <f>IF(OR($F4386="",$D4386=""),"",IF($D4386="Receita",$F4386,IF($D4386="Transferência",0,-$F4386)))</f>
        <v/>
      </c>
    </row>
    <row r="4387">
      <c r="A4387" s="73" t="n"/>
      <c r="B4387" s="74" t="n"/>
      <c r="C4387" s="74" t="n"/>
      <c r="D4387" s="75">
        <f>IF($C4387="","",IFERROR(INDEX(CAT_TIPO,MATCH($C4387,CAT_NOME,0)),"Sem categoria"))</f>
        <v/>
      </c>
      <c r="E4387" s="75">
        <f>IF($C4387="","",IFERROR(INDEX(CAT_GRUPO,MATCH($C4387,CAT_NOME,0)),"Sem categoria"))</f>
        <v/>
      </c>
      <c r="F4387" s="76" t="n"/>
      <c r="G4387" s="74" t="n"/>
      <c r="H4387" s="74" t="n"/>
      <c r="I4387" s="74" t="n"/>
      <c r="J4387" s="77" t="n"/>
      <c r="K4387" s="77" t="n"/>
      <c r="L4387" s="74" t="n"/>
      <c r="M4387" s="74" t="n"/>
      <c r="O4387" s="78">
        <f>IF($A4387="","",YEAR($A4387)*100+MONTH($A4387))</f>
        <v/>
      </c>
      <c r="P4387" s="79">
        <f>IF(OR($F4387="",$D4387=""),"",IF($D4387="Receita",$F4387,IF($D4387="Transferência",0,-$F4387)))</f>
        <v/>
      </c>
    </row>
    <row r="4388">
      <c r="A4388" s="73" t="n"/>
      <c r="B4388" s="74" t="n"/>
      <c r="C4388" s="74" t="n"/>
      <c r="D4388" s="75">
        <f>IF($C4388="","",IFERROR(INDEX(CAT_TIPO,MATCH($C4388,CAT_NOME,0)),"Sem categoria"))</f>
        <v/>
      </c>
      <c r="E4388" s="75">
        <f>IF($C4388="","",IFERROR(INDEX(CAT_GRUPO,MATCH($C4388,CAT_NOME,0)),"Sem categoria"))</f>
        <v/>
      </c>
      <c r="F4388" s="76" t="n"/>
      <c r="G4388" s="74" t="n"/>
      <c r="H4388" s="74" t="n"/>
      <c r="I4388" s="74" t="n"/>
      <c r="J4388" s="77" t="n"/>
      <c r="K4388" s="77" t="n"/>
      <c r="L4388" s="74" t="n"/>
      <c r="M4388" s="74" t="n"/>
      <c r="O4388" s="78">
        <f>IF($A4388="","",YEAR($A4388)*100+MONTH($A4388))</f>
        <v/>
      </c>
      <c r="P4388" s="79">
        <f>IF(OR($F4388="",$D4388=""),"",IF($D4388="Receita",$F4388,IF($D4388="Transferência",0,-$F4388)))</f>
        <v/>
      </c>
    </row>
    <row r="4389">
      <c r="A4389" s="73" t="n"/>
      <c r="B4389" s="74" t="n"/>
      <c r="C4389" s="74" t="n"/>
      <c r="D4389" s="75">
        <f>IF($C4389="","",IFERROR(INDEX(CAT_TIPO,MATCH($C4389,CAT_NOME,0)),"Sem categoria"))</f>
        <v/>
      </c>
      <c r="E4389" s="75">
        <f>IF($C4389="","",IFERROR(INDEX(CAT_GRUPO,MATCH($C4389,CAT_NOME,0)),"Sem categoria"))</f>
        <v/>
      </c>
      <c r="F4389" s="76" t="n"/>
      <c r="G4389" s="74" t="n"/>
      <c r="H4389" s="74" t="n"/>
      <c r="I4389" s="74" t="n"/>
      <c r="J4389" s="77" t="n"/>
      <c r="K4389" s="77" t="n"/>
      <c r="L4389" s="74" t="n"/>
      <c r="M4389" s="74" t="n"/>
      <c r="O4389" s="78">
        <f>IF($A4389="","",YEAR($A4389)*100+MONTH($A4389))</f>
        <v/>
      </c>
      <c r="P4389" s="79">
        <f>IF(OR($F4389="",$D4389=""),"",IF($D4389="Receita",$F4389,IF($D4389="Transferência",0,-$F4389)))</f>
        <v/>
      </c>
    </row>
    <row r="4390">
      <c r="A4390" s="73" t="n"/>
      <c r="B4390" s="74" t="n"/>
      <c r="C4390" s="74" t="n"/>
      <c r="D4390" s="75">
        <f>IF($C4390="","",IFERROR(INDEX(CAT_TIPO,MATCH($C4390,CAT_NOME,0)),"Sem categoria"))</f>
        <v/>
      </c>
      <c r="E4390" s="75">
        <f>IF($C4390="","",IFERROR(INDEX(CAT_GRUPO,MATCH($C4390,CAT_NOME,0)),"Sem categoria"))</f>
        <v/>
      </c>
      <c r="F4390" s="76" t="n"/>
      <c r="G4390" s="74" t="n"/>
      <c r="H4390" s="74" t="n"/>
      <c r="I4390" s="74" t="n"/>
      <c r="J4390" s="77" t="n"/>
      <c r="K4390" s="77" t="n"/>
      <c r="L4390" s="74" t="n"/>
      <c r="M4390" s="74" t="n"/>
      <c r="O4390" s="78">
        <f>IF($A4390="","",YEAR($A4390)*100+MONTH($A4390))</f>
        <v/>
      </c>
      <c r="P4390" s="79">
        <f>IF(OR($F4390="",$D4390=""),"",IF($D4390="Receita",$F4390,IF($D4390="Transferência",0,-$F4390)))</f>
        <v/>
      </c>
    </row>
    <row r="4391">
      <c r="A4391" s="73" t="n"/>
      <c r="B4391" s="74" t="n"/>
      <c r="C4391" s="74" t="n"/>
      <c r="D4391" s="75">
        <f>IF($C4391="","",IFERROR(INDEX(CAT_TIPO,MATCH($C4391,CAT_NOME,0)),"Sem categoria"))</f>
        <v/>
      </c>
      <c r="E4391" s="75">
        <f>IF($C4391="","",IFERROR(INDEX(CAT_GRUPO,MATCH($C4391,CAT_NOME,0)),"Sem categoria"))</f>
        <v/>
      </c>
      <c r="F4391" s="76" t="n"/>
      <c r="G4391" s="74" t="n"/>
      <c r="H4391" s="74" t="n"/>
      <c r="I4391" s="74" t="n"/>
      <c r="J4391" s="77" t="n"/>
      <c r="K4391" s="77" t="n"/>
      <c r="L4391" s="74" t="n"/>
      <c r="M4391" s="74" t="n"/>
      <c r="O4391" s="78">
        <f>IF($A4391="","",YEAR($A4391)*100+MONTH($A4391))</f>
        <v/>
      </c>
      <c r="P4391" s="79">
        <f>IF(OR($F4391="",$D4391=""),"",IF($D4391="Receita",$F4391,IF($D4391="Transferência",0,-$F4391)))</f>
        <v/>
      </c>
    </row>
    <row r="4392">
      <c r="A4392" s="73" t="n"/>
      <c r="B4392" s="74" t="n"/>
      <c r="C4392" s="74" t="n"/>
      <c r="D4392" s="75">
        <f>IF($C4392="","",IFERROR(INDEX(CAT_TIPO,MATCH($C4392,CAT_NOME,0)),"Sem categoria"))</f>
        <v/>
      </c>
      <c r="E4392" s="75">
        <f>IF($C4392="","",IFERROR(INDEX(CAT_GRUPO,MATCH($C4392,CAT_NOME,0)),"Sem categoria"))</f>
        <v/>
      </c>
      <c r="F4392" s="76" t="n"/>
      <c r="G4392" s="74" t="n"/>
      <c r="H4392" s="74" t="n"/>
      <c r="I4392" s="74" t="n"/>
      <c r="J4392" s="77" t="n"/>
      <c r="K4392" s="77" t="n"/>
      <c r="L4392" s="74" t="n"/>
      <c r="M4392" s="74" t="n"/>
      <c r="O4392" s="78">
        <f>IF($A4392="","",YEAR($A4392)*100+MONTH($A4392))</f>
        <v/>
      </c>
      <c r="P4392" s="79">
        <f>IF(OR($F4392="",$D4392=""),"",IF($D4392="Receita",$F4392,IF($D4392="Transferência",0,-$F4392)))</f>
        <v/>
      </c>
    </row>
    <row r="4393">
      <c r="A4393" s="73" t="n"/>
      <c r="B4393" s="74" t="n"/>
      <c r="C4393" s="74" t="n"/>
      <c r="D4393" s="75">
        <f>IF($C4393="","",IFERROR(INDEX(CAT_TIPO,MATCH($C4393,CAT_NOME,0)),"Sem categoria"))</f>
        <v/>
      </c>
      <c r="E4393" s="75">
        <f>IF($C4393="","",IFERROR(INDEX(CAT_GRUPO,MATCH($C4393,CAT_NOME,0)),"Sem categoria"))</f>
        <v/>
      </c>
      <c r="F4393" s="76" t="n"/>
      <c r="G4393" s="74" t="n"/>
      <c r="H4393" s="74" t="n"/>
      <c r="I4393" s="74" t="n"/>
      <c r="J4393" s="77" t="n"/>
      <c r="K4393" s="77" t="n"/>
      <c r="L4393" s="74" t="n"/>
      <c r="M4393" s="74" t="n"/>
      <c r="O4393" s="78">
        <f>IF($A4393="","",YEAR($A4393)*100+MONTH($A4393))</f>
        <v/>
      </c>
      <c r="P4393" s="79">
        <f>IF(OR($F4393="",$D4393=""),"",IF($D4393="Receita",$F4393,IF($D4393="Transferência",0,-$F4393)))</f>
        <v/>
      </c>
    </row>
    <row r="4394">
      <c r="A4394" s="73" t="n"/>
      <c r="B4394" s="74" t="n"/>
      <c r="C4394" s="74" t="n"/>
      <c r="D4394" s="75">
        <f>IF($C4394="","",IFERROR(INDEX(CAT_TIPO,MATCH($C4394,CAT_NOME,0)),"Sem categoria"))</f>
        <v/>
      </c>
      <c r="E4394" s="75">
        <f>IF($C4394="","",IFERROR(INDEX(CAT_GRUPO,MATCH($C4394,CAT_NOME,0)),"Sem categoria"))</f>
        <v/>
      </c>
      <c r="F4394" s="76" t="n"/>
      <c r="G4394" s="74" t="n"/>
      <c r="H4394" s="74" t="n"/>
      <c r="I4394" s="74" t="n"/>
      <c r="J4394" s="77" t="n"/>
      <c r="K4394" s="77" t="n"/>
      <c r="L4394" s="74" t="n"/>
      <c r="M4394" s="74" t="n"/>
      <c r="O4394" s="78">
        <f>IF($A4394="","",YEAR($A4394)*100+MONTH($A4394))</f>
        <v/>
      </c>
      <c r="P4394" s="79">
        <f>IF(OR($F4394="",$D4394=""),"",IF($D4394="Receita",$F4394,IF($D4394="Transferência",0,-$F4394)))</f>
        <v/>
      </c>
    </row>
    <row r="4395">
      <c r="A4395" s="73" t="n"/>
      <c r="B4395" s="74" t="n"/>
      <c r="C4395" s="74" t="n"/>
      <c r="D4395" s="75">
        <f>IF($C4395="","",IFERROR(INDEX(CAT_TIPO,MATCH($C4395,CAT_NOME,0)),"Sem categoria"))</f>
        <v/>
      </c>
      <c r="E4395" s="75">
        <f>IF($C4395="","",IFERROR(INDEX(CAT_GRUPO,MATCH($C4395,CAT_NOME,0)),"Sem categoria"))</f>
        <v/>
      </c>
      <c r="F4395" s="76" t="n"/>
      <c r="G4395" s="74" t="n"/>
      <c r="H4395" s="74" t="n"/>
      <c r="I4395" s="74" t="n"/>
      <c r="J4395" s="77" t="n"/>
      <c r="K4395" s="77" t="n"/>
      <c r="L4395" s="74" t="n"/>
      <c r="M4395" s="74" t="n"/>
      <c r="O4395" s="78">
        <f>IF($A4395="","",YEAR($A4395)*100+MONTH($A4395))</f>
        <v/>
      </c>
      <c r="P4395" s="79">
        <f>IF(OR($F4395="",$D4395=""),"",IF($D4395="Receita",$F4395,IF($D4395="Transferência",0,-$F4395)))</f>
        <v/>
      </c>
    </row>
    <row r="4396">
      <c r="A4396" s="73" t="n"/>
      <c r="B4396" s="74" t="n"/>
      <c r="C4396" s="74" t="n"/>
      <c r="D4396" s="75">
        <f>IF($C4396="","",IFERROR(INDEX(CAT_TIPO,MATCH($C4396,CAT_NOME,0)),"Sem categoria"))</f>
        <v/>
      </c>
      <c r="E4396" s="75">
        <f>IF($C4396="","",IFERROR(INDEX(CAT_GRUPO,MATCH($C4396,CAT_NOME,0)),"Sem categoria"))</f>
        <v/>
      </c>
      <c r="F4396" s="76" t="n"/>
      <c r="G4396" s="74" t="n"/>
      <c r="H4396" s="74" t="n"/>
      <c r="I4396" s="74" t="n"/>
      <c r="J4396" s="77" t="n"/>
      <c r="K4396" s="77" t="n"/>
      <c r="L4396" s="74" t="n"/>
      <c r="M4396" s="74" t="n"/>
      <c r="O4396" s="78">
        <f>IF($A4396="","",YEAR($A4396)*100+MONTH($A4396))</f>
        <v/>
      </c>
      <c r="P4396" s="79">
        <f>IF(OR($F4396="",$D4396=""),"",IF($D4396="Receita",$F4396,IF($D4396="Transferência",0,-$F4396)))</f>
        <v/>
      </c>
    </row>
    <row r="4397">
      <c r="A4397" s="73" t="n"/>
      <c r="B4397" s="74" t="n"/>
      <c r="C4397" s="74" t="n"/>
      <c r="D4397" s="75">
        <f>IF($C4397="","",IFERROR(INDEX(CAT_TIPO,MATCH($C4397,CAT_NOME,0)),"Sem categoria"))</f>
        <v/>
      </c>
      <c r="E4397" s="75">
        <f>IF($C4397="","",IFERROR(INDEX(CAT_GRUPO,MATCH($C4397,CAT_NOME,0)),"Sem categoria"))</f>
        <v/>
      </c>
      <c r="F4397" s="76" t="n"/>
      <c r="G4397" s="74" t="n"/>
      <c r="H4397" s="74" t="n"/>
      <c r="I4397" s="74" t="n"/>
      <c r="J4397" s="77" t="n"/>
      <c r="K4397" s="77" t="n"/>
      <c r="L4397" s="74" t="n"/>
      <c r="M4397" s="74" t="n"/>
      <c r="O4397" s="78">
        <f>IF($A4397="","",YEAR($A4397)*100+MONTH($A4397))</f>
        <v/>
      </c>
      <c r="P4397" s="79">
        <f>IF(OR($F4397="",$D4397=""),"",IF($D4397="Receita",$F4397,IF($D4397="Transferência",0,-$F4397)))</f>
        <v/>
      </c>
    </row>
    <row r="4398">
      <c r="A4398" s="73" t="n"/>
      <c r="B4398" s="74" t="n"/>
      <c r="C4398" s="74" t="n"/>
      <c r="D4398" s="75">
        <f>IF($C4398="","",IFERROR(INDEX(CAT_TIPO,MATCH($C4398,CAT_NOME,0)),"Sem categoria"))</f>
        <v/>
      </c>
      <c r="E4398" s="75">
        <f>IF($C4398="","",IFERROR(INDEX(CAT_GRUPO,MATCH($C4398,CAT_NOME,0)),"Sem categoria"))</f>
        <v/>
      </c>
      <c r="F4398" s="76" t="n"/>
      <c r="G4398" s="74" t="n"/>
      <c r="H4398" s="74" t="n"/>
      <c r="I4398" s="74" t="n"/>
      <c r="J4398" s="77" t="n"/>
      <c r="K4398" s="77" t="n"/>
      <c r="L4398" s="74" t="n"/>
      <c r="M4398" s="74" t="n"/>
      <c r="O4398" s="78">
        <f>IF($A4398="","",YEAR($A4398)*100+MONTH($A4398))</f>
        <v/>
      </c>
      <c r="P4398" s="79">
        <f>IF(OR($F4398="",$D4398=""),"",IF($D4398="Receita",$F4398,IF($D4398="Transferência",0,-$F4398)))</f>
        <v/>
      </c>
    </row>
    <row r="4399">
      <c r="A4399" s="73" t="n"/>
      <c r="B4399" s="74" t="n"/>
      <c r="C4399" s="74" t="n"/>
      <c r="D4399" s="75">
        <f>IF($C4399="","",IFERROR(INDEX(CAT_TIPO,MATCH($C4399,CAT_NOME,0)),"Sem categoria"))</f>
        <v/>
      </c>
      <c r="E4399" s="75">
        <f>IF($C4399="","",IFERROR(INDEX(CAT_GRUPO,MATCH($C4399,CAT_NOME,0)),"Sem categoria"))</f>
        <v/>
      </c>
      <c r="F4399" s="76" t="n"/>
      <c r="G4399" s="74" t="n"/>
      <c r="H4399" s="74" t="n"/>
      <c r="I4399" s="74" t="n"/>
      <c r="J4399" s="77" t="n"/>
      <c r="K4399" s="77" t="n"/>
      <c r="L4399" s="74" t="n"/>
      <c r="M4399" s="74" t="n"/>
      <c r="O4399" s="78">
        <f>IF($A4399="","",YEAR($A4399)*100+MONTH($A4399))</f>
        <v/>
      </c>
      <c r="P4399" s="79">
        <f>IF(OR($F4399="",$D4399=""),"",IF($D4399="Receita",$F4399,IF($D4399="Transferência",0,-$F4399)))</f>
        <v/>
      </c>
    </row>
    <row r="4400">
      <c r="A4400" s="73" t="n"/>
      <c r="B4400" s="74" t="n"/>
      <c r="C4400" s="74" t="n"/>
      <c r="D4400" s="75">
        <f>IF($C4400="","",IFERROR(INDEX(CAT_TIPO,MATCH($C4400,CAT_NOME,0)),"Sem categoria"))</f>
        <v/>
      </c>
      <c r="E4400" s="75">
        <f>IF($C4400="","",IFERROR(INDEX(CAT_GRUPO,MATCH($C4400,CAT_NOME,0)),"Sem categoria"))</f>
        <v/>
      </c>
      <c r="F4400" s="76" t="n"/>
      <c r="G4400" s="74" t="n"/>
      <c r="H4400" s="74" t="n"/>
      <c r="I4400" s="74" t="n"/>
      <c r="J4400" s="77" t="n"/>
      <c r="K4400" s="77" t="n"/>
      <c r="L4400" s="74" t="n"/>
      <c r="M4400" s="74" t="n"/>
      <c r="O4400" s="78">
        <f>IF($A4400="","",YEAR($A4400)*100+MONTH($A4400))</f>
        <v/>
      </c>
      <c r="P4400" s="79">
        <f>IF(OR($F4400="",$D4400=""),"",IF($D4400="Receita",$F4400,IF($D4400="Transferência",0,-$F4400)))</f>
        <v/>
      </c>
    </row>
    <row r="4401">
      <c r="A4401" s="73" t="n"/>
      <c r="B4401" s="74" t="n"/>
      <c r="C4401" s="74" t="n"/>
      <c r="D4401" s="75">
        <f>IF($C4401="","",IFERROR(INDEX(CAT_TIPO,MATCH($C4401,CAT_NOME,0)),"Sem categoria"))</f>
        <v/>
      </c>
      <c r="E4401" s="75">
        <f>IF($C4401="","",IFERROR(INDEX(CAT_GRUPO,MATCH($C4401,CAT_NOME,0)),"Sem categoria"))</f>
        <v/>
      </c>
      <c r="F4401" s="76" t="n"/>
      <c r="G4401" s="74" t="n"/>
      <c r="H4401" s="74" t="n"/>
      <c r="I4401" s="74" t="n"/>
      <c r="J4401" s="77" t="n"/>
      <c r="K4401" s="77" t="n"/>
      <c r="L4401" s="74" t="n"/>
      <c r="M4401" s="74" t="n"/>
      <c r="O4401" s="78">
        <f>IF($A4401="","",YEAR($A4401)*100+MONTH($A4401))</f>
        <v/>
      </c>
      <c r="P4401" s="79">
        <f>IF(OR($F4401="",$D4401=""),"",IF($D4401="Receita",$F4401,IF($D4401="Transferência",0,-$F4401)))</f>
        <v/>
      </c>
    </row>
    <row r="4402">
      <c r="A4402" s="73" t="n"/>
      <c r="B4402" s="74" t="n"/>
      <c r="C4402" s="74" t="n"/>
      <c r="D4402" s="75">
        <f>IF($C4402="","",IFERROR(INDEX(CAT_TIPO,MATCH($C4402,CAT_NOME,0)),"Sem categoria"))</f>
        <v/>
      </c>
      <c r="E4402" s="75">
        <f>IF($C4402="","",IFERROR(INDEX(CAT_GRUPO,MATCH($C4402,CAT_NOME,0)),"Sem categoria"))</f>
        <v/>
      </c>
      <c r="F4402" s="76" t="n"/>
      <c r="G4402" s="74" t="n"/>
      <c r="H4402" s="74" t="n"/>
      <c r="I4402" s="74" t="n"/>
      <c r="J4402" s="77" t="n"/>
      <c r="K4402" s="77" t="n"/>
      <c r="L4402" s="74" t="n"/>
      <c r="M4402" s="74" t="n"/>
      <c r="O4402" s="78">
        <f>IF($A4402="","",YEAR($A4402)*100+MONTH($A4402))</f>
        <v/>
      </c>
      <c r="P4402" s="79">
        <f>IF(OR($F4402="",$D4402=""),"",IF($D4402="Receita",$F4402,IF($D4402="Transferência",0,-$F4402)))</f>
        <v/>
      </c>
    </row>
    <row r="4403">
      <c r="A4403" s="73" t="n"/>
      <c r="B4403" s="74" t="n"/>
      <c r="C4403" s="74" t="n"/>
      <c r="D4403" s="75">
        <f>IF($C4403="","",IFERROR(INDEX(CAT_TIPO,MATCH($C4403,CAT_NOME,0)),"Sem categoria"))</f>
        <v/>
      </c>
      <c r="E4403" s="75">
        <f>IF($C4403="","",IFERROR(INDEX(CAT_GRUPO,MATCH($C4403,CAT_NOME,0)),"Sem categoria"))</f>
        <v/>
      </c>
      <c r="F4403" s="76" t="n"/>
      <c r="G4403" s="74" t="n"/>
      <c r="H4403" s="74" t="n"/>
      <c r="I4403" s="74" t="n"/>
      <c r="J4403" s="77" t="n"/>
      <c r="K4403" s="77" t="n"/>
      <c r="L4403" s="74" t="n"/>
      <c r="M4403" s="74" t="n"/>
      <c r="O4403" s="78">
        <f>IF($A4403="","",YEAR($A4403)*100+MONTH($A4403))</f>
        <v/>
      </c>
      <c r="P4403" s="79">
        <f>IF(OR($F4403="",$D4403=""),"",IF($D4403="Receita",$F4403,IF($D4403="Transferência",0,-$F4403)))</f>
        <v/>
      </c>
    </row>
    <row r="4404">
      <c r="A4404" s="73" t="n"/>
      <c r="B4404" s="74" t="n"/>
      <c r="C4404" s="74" t="n"/>
      <c r="D4404" s="75">
        <f>IF($C4404="","",IFERROR(INDEX(CAT_TIPO,MATCH($C4404,CAT_NOME,0)),"Sem categoria"))</f>
        <v/>
      </c>
      <c r="E4404" s="75">
        <f>IF($C4404="","",IFERROR(INDEX(CAT_GRUPO,MATCH($C4404,CAT_NOME,0)),"Sem categoria"))</f>
        <v/>
      </c>
      <c r="F4404" s="76" t="n"/>
      <c r="G4404" s="74" t="n"/>
      <c r="H4404" s="74" t="n"/>
      <c r="I4404" s="74" t="n"/>
      <c r="J4404" s="77" t="n"/>
      <c r="K4404" s="77" t="n"/>
      <c r="L4404" s="74" t="n"/>
      <c r="M4404" s="74" t="n"/>
      <c r="O4404" s="78">
        <f>IF($A4404="","",YEAR($A4404)*100+MONTH($A4404))</f>
        <v/>
      </c>
      <c r="P4404" s="79">
        <f>IF(OR($F4404="",$D4404=""),"",IF($D4404="Receita",$F4404,IF($D4404="Transferência",0,-$F4404)))</f>
        <v/>
      </c>
    </row>
    <row r="4405">
      <c r="A4405" s="73" t="n"/>
      <c r="B4405" s="74" t="n"/>
      <c r="C4405" s="74" t="n"/>
      <c r="D4405" s="75">
        <f>IF($C4405="","",IFERROR(INDEX(CAT_TIPO,MATCH($C4405,CAT_NOME,0)),"Sem categoria"))</f>
        <v/>
      </c>
      <c r="E4405" s="75">
        <f>IF($C4405="","",IFERROR(INDEX(CAT_GRUPO,MATCH($C4405,CAT_NOME,0)),"Sem categoria"))</f>
        <v/>
      </c>
      <c r="F4405" s="76" t="n"/>
      <c r="G4405" s="74" t="n"/>
      <c r="H4405" s="74" t="n"/>
      <c r="I4405" s="74" t="n"/>
      <c r="J4405" s="77" t="n"/>
      <c r="K4405" s="77" t="n"/>
      <c r="L4405" s="74" t="n"/>
      <c r="M4405" s="74" t="n"/>
      <c r="O4405" s="78">
        <f>IF($A4405="","",YEAR($A4405)*100+MONTH($A4405))</f>
        <v/>
      </c>
      <c r="P4405" s="79">
        <f>IF(OR($F4405="",$D4405=""),"",IF($D4405="Receita",$F4405,IF($D4405="Transferência",0,-$F4405)))</f>
        <v/>
      </c>
    </row>
    <row r="4406">
      <c r="A4406" s="73" t="n"/>
      <c r="B4406" s="74" t="n"/>
      <c r="C4406" s="74" t="n"/>
      <c r="D4406" s="75">
        <f>IF($C4406="","",IFERROR(INDEX(CAT_TIPO,MATCH($C4406,CAT_NOME,0)),"Sem categoria"))</f>
        <v/>
      </c>
      <c r="E4406" s="75">
        <f>IF($C4406="","",IFERROR(INDEX(CAT_GRUPO,MATCH($C4406,CAT_NOME,0)),"Sem categoria"))</f>
        <v/>
      </c>
      <c r="F4406" s="76" t="n"/>
      <c r="G4406" s="74" t="n"/>
      <c r="H4406" s="74" t="n"/>
      <c r="I4406" s="74" t="n"/>
      <c r="J4406" s="77" t="n"/>
      <c r="K4406" s="77" t="n"/>
      <c r="L4406" s="74" t="n"/>
      <c r="M4406" s="74" t="n"/>
      <c r="O4406" s="78">
        <f>IF($A4406="","",YEAR($A4406)*100+MONTH($A4406))</f>
        <v/>
      </c>
      <c r="P4406" s="79">
        <f>IF(OR($F4406="",$D4406=""),"",IF($D4406="Receita",$F4406,IF($D4406="Transferência",0,-$F4406)))</f>
        <v/>
      </c>
    </row>
    <row r="4407">
      <c r="A4407" s="73" t="n"/>
      <c r="B4407" s="74" t="n"/>
      <c r="C4407" s="74" t="n"/>
      <c r="D4407" s="75">
        <f>IF($C4407="","",IFERROR(INDEX(CAT_TIPO,MATCH($C4407,CAT_NOME,0)),"Sem categoria"))</f>
        <v/>
      </c>
      <c r="E4407" s="75">
        <f>IF($C4407="","",IFERROR(INDEX(CAT_GRUPO,MATCH($C4407,CAT_NOME,0)),"Sem categoria"))</f>
        <v/>
      </c>
      <c r="F4407" s="76" t="n"/>
      <c r="G4407" s="74" t="n"/>
      <c r="H4407" s="74" t="n"/>
      <c r="I4407" s="74" t="n"/>
      <c r="J4407" s="77" t="n"/>
      <c r="K4407" s="77" t="n"/>
      <c r="L4407" s="74" t="n"/>
      <c r="M4407" s="74" t="n"/>
      <c r="O4407" s="78">
        <f>IF($A4407="","",YEAR($A4407)*100+MONTH($A4407))</f>
        <v/>
      </c>
      <c r="P4407" s="79">
        <f>IF(OR($F4407="",$D4407=""),"",IF($D4407="Receita",$F4407,IF($D4407="Transferência",0,-$F4407)))</f>
        <v/>
      </c>
    </row>
    <row r="4408">
      <c r="A4408" s="73" t="n"/>
      <c r="B4408" s="74" t="n"/>
      <c r="C4408" s="74" t="n"/>
      <c r="D4408" s="75">
        <f>IF($C4408="","",IFERROR(INDEX(CAT_TIPO,MATCH($C4408,CAT_NOME,0)),"Sem categoria"))</f>
        <v/>
      </c>
      <c r="E4408" s="75">
        <f>IF($C4408="","",IFERROR(INDEX(CAT_GRUPO,MATCH($C4408,CAT_NOME,0)),"Sem categoria"))</f>
        <v/>
      </c>
      <c r="F4408" s="76" t="n"/>
      <c r="G4408" s="74" t="n"/>
      <c r="H4408" s="74" t="n"/>
      <c r="I4408" s="74" t="n"/>
      <c r="J4408" s="77" t="n"/>
      <c r="K4408" s="77" t="n"/>
      <c r="L4408" s="74" t="n"/>
      <c r="M4408" s="74" t="n"/>
      <c r="O4408" s="78">
        <f>IF($A4408="","",YEAR($A4408)*100+MONTH($A4408))</f>
        <v/>
      </c>
      <c r="P4408" s="79">
        <f>IF(OR($F4408="",$D4408=""),"",IF($D4408="Receita",$F4408,IF($D4408="Transferência",0,-$F4408)))</f>
        <v/>
      </c>
    </row>
    <row r="4409">
      <c r="A4409" s="73" t="n"/>
      <c r="B4409" s="74" t="n"/>
      <c r="C4409" s="74" t="n"/>
      <c r="D4409" s="75">
        <f>IF($C4409="","",IFERROR(INDEX(CAT_TIPO,MATCH($C4409,CAT_NOME,0)),"Sem categoria"))</f>
        <v/>
      </c>
      <c r="E4409" s="75">
        <f>IF($C4409="","",IFERROR(INDEX(CAT_GRUPO,MATCH($C4409,CAT_NOME,0)),"Sem categoria"))</f>
        <v/>
      </c>
      <c r="F4409" s="76" t="n"/>
      <c r="G4409" s="74" t="n"/>
      <c r="H4409" s="74" t="n"/>
      <c r="I4409" s="74" t="n"/>
      <c r="J4409" s="77" t="n"/>
      <c r="K4409" s="77" t="n"/>
      <c r="L4409" s="74" t="n"/>
      <c r="M4409" s="74" t="n"/>
      <c r="O4409" s="78">
        <f>IF($A4409="","",YEAR($A4409)*100+MONTH($A4409))</f>
        <v/>
      </c>
      <c r="P4409" s="79">
        <f>IF(OR($F4409="",$D4409=""),"",IF($D4409="Receita",$F4409,IF($D4409="Transferência",0,-$F4409)))</f>
        <v/>
      </c>
    </row>
    <row r="4410">
      <c r="A4410" s="73" t="n"/>
      <c r="B4410" s="74" t="n"/>
      <c r="C4410" s="74" t="n"/>
      <c r="D4410" s="75">
        <f>IF($C4410="","",IFERROR(INDEX(CAT_TIPO,MATCH($C4410,CAT_NOME,0)),"Sem categoria"))</f>
        <v/>
      </c>
      <c r="E4410" s="75">
        <f>IF($C4410="","",IFERROR(INDEX(CAT_GRUPO,MATCH($C4410,CAT_NOME,0)),"Sem categoria"))</f>
        <v/>
      </c>
      <c r="F4410" s="76" t="n"/>
      <c r="G4410" s="74" t="n"/>
      <c r="H4410" s="74" t="n"/>
      <c r="I4410" s="74" t="n"/>
      <c r="J4410" s="77" t="n"/>
      <c r="K4410" s="77" t="n"/>
      <c r="L4410" s="74" t="n"/>
      <c r="M4410" s="74" t="n"/>
      <c r="O4410" s="78">
        <f>IF($A4410="","",YEAR($A4410)*100+MONTH($A4410))</f>
        <v/>
      </c>
      <c r="P4410" s="79">
        <f>IF(OR($F4410="",$D4410=""),"",IF($D4410="Receita",$F4410,IF($D4410="Transferência",0,-$F4410)))</f>
        <v/>
      </c>
    </row>
    <row r="4411">
      <c r="A4411" s="73" t="n"/>
      <c r="B4411" s="74" t="n"/>
      <c r="C4411" s="74" t="n"/>
      <c r="D4411" s="75">
        <f>IF($C4411="","",IFERROR(INDEX(CAT_TIPO,MATCH($C4411,CAT_NOME,0)),"Sem categoria"))</f>
        <v/>
      </c>
      <c r="E4411" s="75">
        <f>IF($C4411="","",IFERROR(INDEX(CAT_GRUPO,MATCH($C4411,CAT_NOME,0)),"Sem categoria"))</f>
        <v/>
      </c>
      <c r="F4411" s="76" t="n"/>
      <c r="G4411" s="74" t="n"/>
      <c r="H4411" s="74" t="n"/>
      <c r="I4411" s="74" t="n"/>
      <c r="J4411" s="77" t="n"/>
      <c r="K4411" s="77" t="n"/>
      <c r="L4411" s="74" t="n"/>
      <c r="M4411" s="74" t="n"/>
      <c r="O4411" s="78">
        <f>IF($A4411="","",YEAR($A4411)*100+MONTH($A4411))</f>
        <v/>
      </c>
      <c r="P4411" s="79">
        <f>IF(OR($F4411="",$D4411=""),"",IF($D4411="Receita",$F4411,IF($D4411="Transferência",0,-$F4411)))</f>
        <v/>
      </c>
    </row>
    <row r="4412">
      <c r="A4412" s="73" t="n"/>
      <c r="B4412" s="74" t="n"/>
      <c r="C4412" s="74" t="n"/>
      <c r="D4412" s="75">
        <f>IF($C4412="","",IFERROR(INDEX(CAT_TIPO,MATCH($C4412,CAT_NOME,0)),"Sem categoria"))</f>
        <v/>
      </c>
      <c r="E4412" s="75">
        <f>IF($C4412="","",IFERROR(INDEX(CAT_GRUPO,MATCH($C4412,CAT_NOME,0)),"Sem categoria"))</f>
        <v/>
      </c>
      <c r="F4412" s="76" t="n"/>
      <c r="G4412" s="74" t="n"/>
      <c r="H4412" s="74" t="n"/>
      <c r="I4412" s="74" t="n"/>
      <c r="J4412" s="77" t="n"/>
      <c r="K4412" s="77" t="n"/>
      <c r="L4412" s="74" t="n"/>
      <c r="M4412" s="74" t="n"/>
      <c r="O4412" s="78">
        <f>IF($A4412="","",YEAR($A4412)*100+MONTH($A4412))</f>
        <v/>
      </c>
      <c r="P4412" s="79">
        <f>IF(OR($F4412="",$D4412=""),"",IF($D4412="Receita",$F4412,IF($D4412="Transferência",0,-$F4412)))</f>
        <v/>
      </c>
    </row>
    <row r="4413">
      <c r="A4413" s="73" t="n"/>
      <c r="B4413" s="74" t="n"/>
      <c r="C4413" s="74" t="n"/>
      <c r="D4413" s="75">
        <f>IF($C4413="","",IFERROR(INDEX(CAT_TIPO,MATCH($C4413,CAT_NOME,0)),"Sem categoria"))</f>
        <v/>
      </c>
      <c r="E4413" s="75">
        <f>IF($C4413="","",IFERROR(INDEX(CAT_GRUPO,MATCH($C4413,CAT_NOME,0)),"Sem categoria"))</f>
        <v/>
      </c>
      <c r="F4413" s="76" t="n"/>
      <c r="G4413" s="74" t="n"/>
      <c r="H4413" s="74" t="n"/>
      <c r="I4413" s="74" t="n"/>
      <c r="J4413" s="77" t="n"/>
      <c r="K4413" s="77" t="n"/>
      <c r="L4413" s="74" t="n"/>
      <c r="M4413" s="74" t="n"/>
      <c r="O4413" s="78">
        <f>IF($A4413="","",YEAR($A4413)*100+MONTH($A4413))</f>
        <v/>
      </c>
      <c r="P4413" s="79">
        <f>IF(OR($F4413="",$D4413=""),"",IF($D4413="Receita",$F4413,IF($D4413="Transferência",0,-$F4413)))</f>
        <v/>
      </c>
    </row>
    <row r="4414">
      <c r="A4414" s="73" t="n"/>
      <c r="B4414" s="74" t="n"/>
      <c r="C4414" s="74" t="n"/>
      <c r="D4414" s="75">
        <f>IF($C4414="","",IFERROR(INDEX(CAT_TIPO,MATCH($C4414,CAT_NOME,0)),"Sem categoria"))</f>
        <v/>
      </c>
      <c r="E4414" s="75">
        <f>IF($C4414="","",IFERROR(INDEX(CAT_GRUPO,MATCH($C4414,CAT_NOME,0)),"Sem categoria"))</f>
        <v/>
      </c>
      <c r="F4414" s="76" t="n"/>
      <c r="G4414" s="74" t="n"/>
      <c r="H4414" s="74" t="n"/>
      <c r="I4414" s="74" t="n"/>
      <c r="J4414" s="77" t="n"/>
      <c r="K4414" s="77" t="n"/>
      <c r="L4414" s="74" t="n"/>
      <c r="M4414" s="74" t="n"/>
      <c r="O4414" s="78">
        <f>IF($A4414="","",YEAR($A4414)*100+MONTH($A4414))</f>
        <v/>
      </c>
      <c r="P4414" s="79">
        <f>IF(OR($F4414="",$D4414=""),"",IF($D4414="Receita",$F4414,IF($D4414="Transferência",0,-$F4414)))</f>
        <v/>
      </c>
    </row>
    <row r="4415">
      <c r="A4415" s="73" t="n"/>
      <c r="B4415" s="74" t="n"/>
      <c r="C4415" s="74" t="n"/>
      <c r="D4415" s="75">
        <f>IF($C4415="","",IFERROR(INDEX(CAT_TIPO,MATCH($C4415,CAT_NOME,0)),"Sem categoria"))</f>
        <v/>
      </c>
      <c r="E4415" s="75">
        <f>IF($C4415="","",IFERROR(INDEX(CAT_GRUPO,MATCH($C4415,CAT_NOME,0)),"Sem categoria"))</f>
        <v/>
      </c>
      <c r="F4415" s="76" t="n"/>
      <c r="G4415" s="74" t="n"/>
      <c r="H4415" s="74" t="n"/>
      <c r="I4415" s="74" t="n"/>
      <c r="J4415" s="77" t="n"/>
      <c r="K4415" s="77" t="n"/>
      <c r="L4415" s="74" t="n"/>
      <c r="M4415" s="74" t="n"/>
      <c r="O4415" s="78">
        <f>IF($A4415="","",YEAR($A4415)*100+MONTH($A4415))</f>
        <v/>
      </c>
      <c r="P4415" s="79">
        <f>IF(OR($F4415="",$D4415=""),"",IF($D4415="Receita",$F4415,IF($D4415="Transferência",0,-$F4415)))</f>
        <v/>
      </c>
    </row>
    <row r="4416">
      <c r="A4416" s="73" t="n"/>
      <c r="B4416" s="74" t="n"/>
      <c r="C4416" s="74" t="n"/>
      <c r="D4416" s="75">
        <f>IF($C4416="","",IFERROR(INDEX(CAT_TIPO,MATCH($C4416,CAT_NOME,0)),"Sem categoria"))</f>
        <v/>
      </c>
      <c r="E4416" s="75">
        <f>IF($C4416="","",IFERROR(INDEX(CAT_GRUPO,MATCH($C4416,CAT_NOME,0)),"Sem categoria"))</f>
        <v/>
      </c>
      <c r="F4416" s="76" t="n"/>
      <c r="G4416" s="74" t="n"/>
      <c r="H4416" s="74" t="n"/>
      <c r="I4416" s="74" t="n"/>
      <c r="J4416" s="77" t="n"/>
      <c r="K4416" s="77" t="n"/>
      <c r="L4416" s="74" t="n"/>
      <c r="M4416" s="74" t="n"/>
      <c r="O4416" s="78">
        <f>IF($A4416="","",YEAR($A4416)*100+MONTH($A4416))</f>
        <v/>
      </c>
      <c r="P4416" s="79">
        <f>IF(OR($F4416="",$D4416=""),"",IF($D4416="Receita",$F4416,IF($D4416="Transferência",0,-$F4416)))</f>
        <v/>
      </c>
    </row>
    <row r="4417">
      <c r="A4417" s="73" t="n"/>
      <c r="B4417" s="74" t="n"/>
      <c r="C4417" s="74" t="n"/>
      <c r="D4417" s="75">
        <f>IF($C4417="","",IFERROR(INDEX(CAT_TIPO,MATCH($C4417,CAT_NOME,0)),"Sem categoria"))</f>
        <v/>
      </c>
      <c r="E4417" s="75">
        <f>IF($C4417="","",IFERROR(INDEX(CAT_GRUPO,MATCH($C4417,CAT_NOME,0)),"Sem categoria"))</f>
        <v/>
      </c>
      <c r="F4417" s="76" t="n"/>
      <c r="G4417" s="74" t="n"/>
      <c r="H4417" s="74" t="n"/>
      <c r="I4417" s="74" t="n"/>
      <c r="J4417" s="77" t="n"/>
      <c r="K4417" s="77" t="n"/>
      <c r="L4417" s="74" t="n"/>
      <c r="M4417" s="74" t="n"/>
      <c r="O4417" s="78">
        <f>IF($A4417="","",YEAR($A4417)*100+MONTH($A4417))</f>
        <v/>
      </c>
      <c r="P4417" s="79">
        <f>IF(OR($F4417="",$D4417=""),"",IF($D4417="Receita",$F4417,IF($D4417="Transferência",0,-$F4417)))</f>
        <v/>
      </c>
    </row>
    <row r="4418">
      <c r="A4418" s="73" t="n"/>
      <c r="B4418" s="74" t="n"/>
      <c r="C4418" s="74" t="n"/>
      <c r="D4418" s="75">
        <f>IF($C4418="","",IFERROR(INDEX(CAT_TIPO,MATCH($C4418,CAT_NOME,0)),"Sem categoria"))</f>
        <v/>
      </c>
      <c r="E4418" s="75">
        <f>IF($C4418="","",IFERROR(INDEX(CAT_GRUPO,MATCH($C4418,CAT_NOME,0)),"Sem categoria"))</f>
        <v/>
      </c>
      <c r="F4418" s="76" t="n"/>
      <c r="G4418" s="74" t="n"/>
      <c r="H4418" s="74" t="n"/>
      <c r="I4418" s="74" t="n"/>
      <c r="J4418" s="77" t="n"/>
      <c r="K4418" s="77" t="n"/>
      <c r="L4418" s="74" t="n"/>
      <c r="M4418" s="74" t="n"/>
      <c r="O4418" s="78">
        <f>IF($A4418="","",YEAR($A4418)*100+MONTH($A4418))</f>
        <v/>
      </c>
      <c r="P4418" s="79">
        <f>IF(OR($F4418="",$D4418=""),"",IF($D4418="Receita",$F4418,IF($D4418="Transferência",0,-$F4418)))</f>
        <v/>
      </c>
    </row>
    <row r="4419">
      <c r="A4419" s="73" t="n"/>
      <c r="B4419" s="74" t="n"/>
      <c r="C4419" s="74" t="n"/>
      <c r="D4419" s="75">
        <f>IF($C4419="","",IFERROR(INDEX(CAT_TIPO,MATCH($C4419,CAT_NOME,0)),"Sem categoria"))</f>
        <v/>
      </c>
      <c r="E4419" s="75">
        <f>IF($C4419="","",IFERROR(INDEX(CAT_GRUPO,MATCH($C4419,CAT_NOME,0)),"Sem categoria"))</f>
        <v/>
      </c>
      <c r="F4419" s="76" t="n"/>
      <c r="G4419" s="74" t="n"/>
      <c r="H4419" s="74" t="n"/>
      <c r="I4419" s="74" t="n"/>
      <c r="J4419" s="77" t="n"/>
      <c r="K4419" s="77" t="n"/>
      <c r="L4419" s="74" t="n"/>
      <c r="M4419" s="74" t="n"/>
      <c r="O4419" s="78">
        <f>IF($A4419="","",YEAR($A4419)*100+MONTH($A4419))</f>
        <v/>
      </c>
      <c r="P4419" s="79">
        <f>IF(OR($F4419="",$D4419=""),"",IF($D4419="Receita",$F4419,IF($D4419="Transferência",0,-$F4419)))</f>
        <v/>
      </c>
    </row>
    <row r="4420">
      <c r="A4420" s="73" t="n"/>
      <c r="B4420" s="74" t="n"/>
      <c r="C4420" s="74" t="n"/>
      <c r="D4420" s="75">
        <f>IF($C4420="","",IFERROR(INDEX(CAT_TIPO,MATCH($C4420,CAT_NOME,0)),"Sem categoria"))</f>
        <v/>
      </c>
      <c r="E4420" s="75">
        <f>IF($C4420="","",IFERROR(INDEX(CAT_GRUPO,MATCH($C4420,CAT_NOME,0)),"Sem categoria"))</f>
        <v/>
      </c>
      <c r="F4420" s="76" t="n"/>
      <c r="G4420" s="74" t="n"/>
      <c r="H4420" s="74" t="n"/>
      <c r="I4420" s="74" t="n"/>
      <c r="J4420" s="77" t="n"/>
      <c r="K4420" s="77" t="n"/>
      <c r="L4420" s="74" t="n"/>
      <c r="M4420" s="74" t="n"/>
      <c r="O4420" s="78">
        <f>IF($A4420="","",YEAR($A4420)*100+MONTH($A4420))</f>
        <v/>
      </c>
      <c r="P4420" s="79">
        <f>IF(OR($F4420="",$D4420=""),"",IF($D4420="Receita",$F4420,IF($D4420="Transferência",0,-$F4420)))</f>
        <v/>
      </c>
    </row>
    <row r="4421">
      <c r="A4421" s="73" t="n"/>
      <c r="B4421" s="74" t="n"/>
      <c r="C4421" s="74" t="n"/>
      <c r="D4421" s="75">
        <f>IF($C4421="","",IFERROR(INDEX(CAT_TIPO,MATCH($C4421,CAT_NOME,0)),"Sem categoria"))</f>
        <v/>
      </c>
      <c r="E4421" s="75">
        <f>IF($C4421="","",IFERROR(INDEX(CAT_GRUPO,MATCH($C4421,CAT_NOME,0)),"Sem categoria"))</f>
        <v/>
      </c>
      <c r="F4421" s="76" t="n"/>
      <c r="G4421" s="74" t="n"/>
      <c r="H4421" s="74" t="n"/>
      <c r="I4421" s="74" t="n"/>
      <c r="J4421" s="77" t="n"/>
      <c r="K4421" s="77" t="n"/>
      <c r="L4421" s="74" t="n"/>
      <c r="M4421" s="74" t="n"/>
      <c r="O4421" s="78">
        <f>IF($A4421="","",YEAR($A4421)*100+MONTH($A4421))</f>
        <v/>
      </c>
      <c r="P4421" s="79">
        <f>IF(OR($F4421="",$D4421=""),"",IF($D4421="Receita",$F4421,IF($D4421="Transferência",0,-$F4421)))</f>
        <v/>
      </c>
    </row>
    <row r="4422">
      <c r="A4422" s="73" t="n"/>
      <c r="B4422" s="74" t="n"/>
      <c r="C4422" s="74" t="n"/>
      <c r="D4422" s="75">
        <f>IF($C4422="","",IFERROR(INDEX(CAT_TIPO,MATCH($C4422,CAT_NOME,0)),"Sem categoria"))</f>
        <v/>
      </c>
      <c r="E4422" s="75">
        <f>IF($C4422="","",IFERROR(INDEX(CAT_GRUPO,MATCH($C4422,CAT_NOME,0)),"Sem categoria"))</f>
        <v/>
      </c>
      <c r="F4422" s="76" t="n"/>
      <c r="G4422" s="74" t="n"/>
      <c r="H4422" s="74" t="n"/>
      <c r="I4422" s="74" t="n"/>
      <c r="J4422" s="77" t="n"/>
      <c r="K4422" s="77" t="n"/>
      <c r="L4422" s="74" t="n"/>
      <c r="M4422" s="74" t="n"/>
      <c r="O4422" s="78">
        <f>IF($A4422="","",YEAR($A4422)*100+MONTH($A4422))</f>
        <v/>
      </c>
      <c r="P4422" s="79">
        <f>IF(OR($F4422="",$D4422=""),"",IF($D4422="Receita",$F4422,IF($D4422="Transferência",0,-$F4422)))</f>
        <v/>
      </c>
    </row>
    <row r="4423">
      <c r="A4423" s="73" t="n"/>
      <c r="B4423" s="74" t="n"/>
      <c r="C4423" s="74" t="n"/>
      <c r="D4423" s="75">
        <f>IF($C4423="","",IFERROR(INDEX(CAT_TIPO,MATCH($C4423,CAT_NOME,0)),"Sem categoria"))</f>
        <v/>
      </c>
      <c r="E4423" s="75">
        <f>IF($C4423="","",IFERROR(INDEX(CAT_GRUPO,MATCH($C4423,CAT_NOME,0)),"Sem categoria"))</f>
        <v/>
      </c>
      <c r="F4423" s="76" t="n"/>
      <c r="G4423" s="74" t="n"/>
      <c r="H4423" s="74" t="n"/>
      <c r="I4423" s="74" t="n"/>
      <c r="J4423" s="77" t="n"/>
      <c r="K4423" s="77" t="n"/>
      <c r="L4423" s="74" t="n"/>
      <c r="M4423" s="74" t="n"/>
      <c r="O4423" s="78">
        <f>IF($A4423="","",YEAR($A4423)*100+MONTH($A4423))</f>
        <v/>
      </c>
      <c r="P4423" s="79">
        <f>IF(OR($F4423="",$D4423=""),"",IF($D4423="Receita",$F4423,IF($D4423="Transferência",0,-$F4423)))</f>
        <v/>
      </c>
    </row>
    <row r="4424">
      <c r="A4424" s="73" t="n"/>
      <c r="B4424" s="74" t="n"/>
      <c r="C4424" s="74" t="n"/>
      <c r="D4424" s="75">
        <f>IF($C4424="","",IFERROR(INDEX(CAT_TIPO,MATCH($C4424,CAT_NOME,0)),"Sem categoria"))</f>
        <v/>
      </c>
      <c r="E4424" s="75">
        <f>IF($C4424="","",IFERROR(INDEX(CAT_GRUPO,MATCH($C4424,CAT_NOME,0)),"Sem categoria"))</f>
        <v/>
      </c>
      <c r="F4424" s="76" t="n"/>
      <c r="G4424" s="74" t="n"/>
      <c r="H4424" s="74" t="n"/>
      <c r="I4424" s="74" t="n"/>
      <c r="J4424" s="77" t="n"/>
      <c r="K4424" s="77" t="n"/>
      <c r="L4424" s="74" t="n"/>
      <c r="M4424" s="74" t="n"/>
      <c r="O4424" s="78">
        <f>IF($A4424="","",YEAR($A4424)*100+MONTH($A4424))</f>
        <v/>
      </c>
      <c r="P4424" s="79">
        <f>IF(OR($F4424="",$D4424=""),"",IF($D4424="Receita",$F4424,IF($D4424="Transferência",0,-$F4424)))</f>
        <v/>
      </c>
    </row>
    <row r="4425">
      <c r="A4425" s="73" t="n"/>
      <c r="B4425" s="74" t="n"/>
      <c r="C4425" s="74" t="n"/>
      <c r="D4425" s="75">
        <f>IF($C4425="","",IFERROR(INDEX(CAT_TIPO,MATCH($C4425,CAT_NOME,0)),"Sem categoria"))</f>
        <v/>
      </c>
      <c r="E4425" s="75">
        <f>IF($C4425="","",IFERROR(INDEX(CAT_GRUPO,MATCH($C4425,CAT_NOME,0)),"Sem categoria"))</f>
        <v/>
      </c>
      <c r="F4425" s="76" t="n"/>
      <c r="G4425" s="74" t="n"/>
      <c r="H4425" s="74" t="n"/>
      <c r="I4425" s="74" t="n"/>
      <c r="J4425" s="77" t="n"/>
      <c r="K4425" s="77" t="n"/>
      <c r="L4425" s="74" t="n"/>
      <c r="M4425" s="74" t="n"/>
      <c r="O4425" s="78">
        <f>IF($A4425="","",YEAR($A4425)*100+MONTH($A4425))</f>
        <v/>
      </c>
      <c r="P4425" s="79">
        <f>IF(OR($F4425="",$D4425=""),"",IF($D4425="Receita",$F4425,IF($D4425="Transferência",0,-$F4425)))</f>
        <v/>
      </c>
    </row>
    <row r="4426">
      <c r="A4426" s="73" t="n"/>
      <c r="B4426" s="74" t="n"/>
      <c r="C4426" s="74" t="n"/>
      <c r="D4426" s="75">
        <f>IF($C4426="","",IFERROR(INDEX(CAT_TIPO,MATCH($C4426,CAT_NOME,0)),"Sem categoria"))</f>
        <v/>
      </c>
      <c r="E4426" s="75">
        <f>IF($C4426="","",IFERROR(INDEX(CAT_GRUPO,MATCH($C4426,CAT_NOME,0)),"Sem categoria"))</f>
        <v/>
      </c>
      <c r="F4426" s="76" t="n"/>
      <c r="G4426" s="74" t="n"/>
      <c r="H4426" s="74" t="n"/>
      <c r="I4426" s="74" t="n"/>
      <c r="J4426" s="77" t="n"/>
      <c r="K4426" s="77" t="n"/>
      <c r="L4426" s="74" t="n"/>
      <c r="M4426" s="74" t="n"/>
      <c r="O4426" s="78">
        <f>IF($A4426="","",YEAR($A4426)*100+MONTH($A4426))</f>
        <v/>
      </c>
      <c r="P4426" s="79">
        <f>IF(OR($F4426="",$D4426=""),"",IF($D4426="Receita",$F4426,IF($D4426="Transferência",0,-$F4426)))</f>
        <v/>
      </c>
    </row>
    <row r="4427">
      <c r="A4427" s="73" t="n"/>
      <c r="B4427" s="74" t="n"/>
      <c r="C4427" s="74" t="n"/>
      <c r="D4427" s="75">
        <f>IF($C4427="","",IFERROR(INDEX(CAT_TIPO,MATCH($C4427,CAT_NOME,0)),"Sem categoria"))</f>
        <v/>
      </c>
      <c r="E4427" s="75">
        <f>IF($C4427="","",IFERROR(INDEX(CAT_GRUPO,MATCH($C4427,CAT_NOME,0)),"Sem categoria"))</f>
        <v/>
      </c>
      <c r="F4427" s="76" t="n"/>
      <c r="G4427" s="74" t="n"/>
      <c r="H4427" s="74" t="n"/>
      <c r="I4427" s="74" t="n"/>
      <c r="J4427" s="77" t="n"/>
      <c r="K4427" s="77" t="n"/>
      <c r="L4427" s="74" t="n"/>
      <c r="M4427" s="74" t="n"/>
      <c r="O4427" s="78">
        <f>IF($A4427="","",YEAR($A4427)*100+MONTH($A4427))</f>
        <v/>
      </c>
      <c r="P4427" s="79">
        <f>IF(OR($F4427="",$D4427=""),"",IF($D4427="Receita",$F4427,IF($D4427="Transferência",0,-$F4427)))</f>
        <v/>
      </c>
    </row>
    <row r="4428">
      <c r="A4428" s="73" t="n"/>
      <c r="B4428" s="74" t="n"/>
      <c r="C4428" s="74" t="n"/>
      <c r="D4428" s="75">
        <f>IF($C4428="","",IFERROR(INDEX(CAT_TIPO,MATCH($C4428,CAT_NOME,0)),"Sem categoria"))</f>
        <v/>
      </c>
      <c r="E4428" s="75">
        <f>IF($C4428="","",IFERROR(INDEX(CAT_GRUPO,MATCH($C4428,CAT_NOME,0)),"Sem categoria"))</f>
        <v/>
      </c>
      <c r="F4428" s="76" t="n"/>
      <c r="G4428" s="74" t="n"/>
      <c r="H4428" s="74" t="n"/>
      <c r="I4428" s="74" t="n"/>
      <c r="J4428" s="77" t="n"/>
      <c r="K4428" s="77" t="n"/>
      <c r="L4428" s="74" t="n"/>
      <c r="M4428" s="74" t="n"/>
      <c r="O4428" s="78">
        <f>IF($A4428="","",YEAR($A4428)*100+MONTH($A4428))</f>
        <v/>
      </c>
      <c r="P4428" s="79">
        <f>IF(OR($F4428="",$D4428=""),"",IF($D4428="Receita",$F4428,IF($D4428="Transferência",0,-$F4428)))</f>
        <v/>
      </c>
    </row>
    <row r="4429">
      <c r="A4429" s="73" t="n"/>
      <c r="B4429" s="74" t="n"/>
      <c r="C4429" s="74" t="n"/>
      <c r="D4429" s="75">
        <f>IF($C4429="","",IFERROR(INDEX(CAT_TIPO,MATCH($C4429,CAT_NOME,0)),"Sem categoria"))</f>
        <v/>
      </c>
      <c r="E4429" s="75">
        <f>IF($C4429="","",IFERROR(INDEX(CAT_GRUPO,MATCH($C4429,CAT_NOME,0)),"Sem categoria"))</f>
        <v/>
      </c>
      <c r="F4429" s="76" t="n"/>
      <c r="G4429" s="74" t="n"/>
      <c r="H4429" s="74" t="n"/>
      <c r="I4429" s="74" t="n"/>
      <c r="J4429" s="77" t="n"/>
      <c r="K4429" s="77" t="n"/>
      <c r="L4429" s="74" t="n"/>
      <c r="M4429" s="74" t="n"/>
      <c r="O4429" s="78">
        <f>IF($A4429="","",YEAR($A4429)*100+MONTH($A4429))</f>
        <v/>
      </c>
      <c r="P4429" s="79">
        <f>IF(OR($F4429="",$D4429=""),"",IF($D4429="Receita",$F4429,IF($D4429="Transferência",0,-$F4429)))</f>
        <v/>
      </c>
    </row>
    <row r="4430">
      <c r="A4430" s="73" t="n"/>
      <c r="B4430" s="74" t="n"/>
      <c r="C4430" s="74" t="n"/>
      <c r="D4430" s="75">
        <f>IF($C4430="","",IFERROR(INDEX(CAT_TIPO,MATCH($C4430,CAT_NOME,0)),"Sem categoria"))</f>
        <v/>
      </c>
      <c r="E4430" s="75">
        <f>IF($C4430="","",IFERROR(INDEX(CAT_GRUPO,MATCH($C4430,CAT_NOME,0)),"Sem categoria"))</f>
        <v/>
      </c>
      <c r="F4430" s="76" t="n"/>
      <c r="G4430" s="74" t="n"/>
      <c r="H4430" s="74" t="n"/>
      <c r="I4430" s="74" t="n"/>
      <c r="J4430" s="77" t="n"/>
      <c r="K4430" s="77" t="n"/>
      <c r="L4430" s="74" t="n"/>
      <c r="M4430" s="74" t="n"/>
      <c r="O4430" s="78">
        <f>IF($A4430="","",YEAR($A4430)*100+MONTH($A4430))</f>
        <v/>
      </c>
      <c r="P4430" s="79">
        <f>IF(OR($F4430="",$D4430=""),"",IF($D4430="Receita",$F4430,IF($D4430="Transferência",0,-$F4430)))</f>
        <v/>
      </c>
    </row>
    <row r="4431">
      <c r="A4431" s="73" t="n"/>
      <c r="B4431" s="74" t="n"/>
      <c r="C4431" s="74" t="n"/>
      <c r="D4431" s="75">
        <f>IF($C4431="","",IFERROR(INDEX(CAT_TIPO,MATCH($C4431,CAT_NOME,0)),"Sem categoria"))</f>
        <v/>
      </c>
      <c r="E4431" s="75">
        <f>IF($C4431="","",IFERROR(INDEX(CAT_GRUPO,MATCH($C4431,CAT_NOME,0)),"Sem categoria"))</f>
        <v/>
      </c>
      <c r="F4431" s="76" t="n"/>
      <c r="G4431" s="74" t="n"/>
      <c r="H4431" s="74" t="n"/>
      <c r="I4431" s="74" t="n"/>
      <c r="J4431" s="77" t="n"/>
      <c r="K4431" s="77" t="n"/>
      <c r="L4431" s="74" t="n"/>
      <c r="M4431" s="74" t="n"/>
      <c r="O4431" s="78">
        <f>IF($A4431="","",YEAR($A4431)*100+MONTH($A4431))</f>
        <v/>
      </c>
      <c r="P4431" s="79">
        <f>IF(OR($F4431="",$D4431=""),"",IF($D4431="Receita",$F4431,IF($D4431="Transferência",0,-$F4431)))</f>
        <v/>
      </c>
    </row>
    <row r="4432">
      <c r="A4432" s="73" t="n"/>
      <c r="B4432" s="74" t="n"/>
      <c r="C4432" s="74" t="n"/>
      <c r="D4432" s="75">
        <f>IF($C4432="","",IFERROR(INDEX(CAT_TIPO,MATCH($C4432,CAT_NOME,0)),"Sem categoria"))</f>
        <v/>
      </c>
      <c r="E4432" s="75">
        <f>IF($C4432="","",IFERROR(INDEX(CAT_GRUPO,MATCH($C4432,CAT_NOME,0)),"Sem categoria"))</f>
        <v/>
      </c>
      <c r="F4432" s="76" t="n"/>
      <c r="G4432" s="74" t="n"/>
      <c r="H4432" s="74" t="n"/>
      <c r="I4432" s="74" t="n"/>
      <c r="J4432" s="77" t="n"/>
      <c r="K4432" s="77" t="n"/>
      <c r="L4432" s="74" t="n"/>
      <c r="M4432" s="74" t="n"/>
      <c r="O4432" s="78">
        <f>IF($A4432="","",YEAR($A4432)*100+MONTH($A4432))</f>
        <v/>
      </c>
      <c r="P4432" s="79">
        <f>IF(OR($F4432="",$D4432=""),"",IF($D4432="Receita",$F4432,IF($D4432="Transferência",0,-$F4432)))</f>
        <v/>
      </c>
    </row>
    <row r="4433">
      <c r="A4433" s="73" t="n"/>
      <c r="B4433" s="74" t="n"/>
      <c r="C4433" s="74" t="n"/>
      <c r="D4433" s="75">
        <f>IF($C4433="","",IFERROR(INDEX(CAT_TIPO,MATCH($C4433,CAT_NOME,0)),"Sem categoria"))</f>
        <v/>
      </c>
      <c r="E4433" s="75">
        <f>IF($C4433="","",IFERROR(INDEX(CAT_GRUPO,MATCH($C4433,CAT_NOME,0)),"Sem categoria"))</f>
        <v/>
      </c>
      <c r="F4433" s="76" t="n"/>
      <c r="G4433" s="74" t="n"/>
      <c r="H4433" s="74" t="n"/>
      <c r="I4433" s="74" t="n"/>
      <c r="J4433" s="77" t="n"/>
      <c r="K4433" s="77" t="n"/>
      <c r="L4433" s="74" t="n"/>
      <c r="M4433" s="74" t="n"/>
      <c r="O4433" s="78">
        <f>IF($A4433="","",YEAR($A4433)*100+MONTH($A4433))</f>
        <v/>
      </c>
      <c r="P4433" s="79">
        <f>IF(OR($F4433="",$D4433=""),"",IF($D4433="Receita",$F4433,IF($D4433="Transferência",0,-$F4433)))</f>
        <v/>
      </c>
    </row>
    <row r="4434">
      <c r="A4434" s="73" t="n"/>
      <c r="B4434" s="74" t="n"/>
      <c r="C4434" s="74" t="n"/>
      <c r="D4434" s="75">
        <f>IF($C4434="","",IFERROR(INDEX(CAT_TIPO,MATCH($C4434,CAT_NOME,0)),"Sem categoria"))</f>
        <v/>
      </c>
      <c r="E4434" s="75">
        <f>IF($C4434="","",IFERROR(INDEX(CAT_GRUPO,MATCH($C4434,CAT_NOME,0)),"Sem categoria"))</f>
        <v/>
      </c>
      <c r="F4434" s="76" t="n"/>
      <c r="G4434" s="74" t="n"/>
      <c r="H4434" s="74" t="n"/>
      <c r="I4434" s="74" t="n"/>
      <c r="J4434" s="77" t="n"/>
      <c r="K4434" s="77" t="n"/>
      <c r="L4434" s="74" t="n"/>
      <c r="M4434" s="74" t="n"/>
      <c r="O4434" s="78">
        <f>IF($A4434="","",YEAR($A4434)*100+MONTH($A4434))</f>
        <v/>
      </c>
      <c r="P4434" s="79">
        <f>IF(OR($F4434="",$D4434=""),"",IF($D4434="Receita",$F4434,IF($D4434="Transferência",0,-$F4434)))</f>
        <v/>
      </c>
    </row>
    <row r="4435">
      <c r="A4435" s="73" t="n"/>
      <c r="B4435" s="74" t="n"/>
      <c r="C4435" s="74" t="n"/>
      <c r="D4435" s="75">
        <f>IF($C4435="","",IFERROR(INDEX(CAT_TIPO,MATCH($C4435,CAT_NOME,0)),"Sem categoria"))</f>
        <v/>
      </c>
      <c r="E4435" s="75">
        <f>IF($C4435="","",IFERROR(INDEX(CAT_GRUPO,MATCH($C4435,CAT_NOME,0)),"Sem categoria"))</f>
        <v/>
      </c>
      <c r="F4435" s="76" t="n"/>
      <c r="G4435" s="74" t="n"/>
      <c r="H4435" s="74" t="n"/>
      <c r="I4435" s="74" t="n"/>
      <c r="J4435" s="77" t="n"/>
      <c r="K4435" s="77" t="n"/>
      <c r="L4435" s="74" t="n"/>
      <c r="M4435" s="74" t="n"/>
      <c r="O4435" s="78">
        <f>IF($A4435="","",YEAR($A4435)*100+MONTH($A4435))</f>
        <v/>
      </c>
      <c r="P4435" s="79">
        <f>IF(OR($F4435="",$D4435=""),"",IF($D4435="Receita",$F4435,IF($D4435="Transferência",0,-$F4435)))</f>
        <v/>
      </c>
    </row>
    <row r="4436">
      <c r="A4436" s="73" t="n"/>
      <c r="B4436" s="74" t="n"/>
      <c r="C4436" s="74" t="n"/>
      <c r="D4436" s="75">
        <f>IF($C4436="","",IFERROR(INDEX(CAT_TIPO,MATCH($C4436,CAT_NOME,0)),"Sem categoria"))</f>
        <v/>
      </c>
      <c r="E4436" s="75">
        <f>IF($C4436="","",IFERROR(INDEX(CAT_GRUPO,MATCH($C4436,CAT_NOME,0)),"Sem categoria"))</f>
        <v/>
      </c>
      <c r="F4436" s="76" t="n"/>
      <c r="G4436" s="74" t="n"/>
      <c r="H4436" s="74" t="n"/>
      <c r="I4436" s="74" t="n"/>
      <c r="J4436" s="77" t="n"/>
      <c r="K4436" s="77" t="n"/>
      <c r="L4436" s="74" t="n"/>
      <c r="M4436" s="74" t="n"/>
      <c r="O4436" s="78">
        <f>IF($A4436="","",YEAR($A4436)*100+MONTH($A4436))</f>
        <v/>
      </c>
      <c r="P4436" s="79">
        <f>IF(OR($F4436="",$D4436=""),"",IF($D4436="Receita",$F4436,IF($D4436="Transferência",0,-$F4436)))</f>
        <v/>
      </c>
    </row>
    <row r="4437">
      <c r="A4437" s="73" t="n"/>
      <c r="B4437" s="74" t="n"/>
      <c r="C4437" s="74" t="n"/>
      <c r="D4437" s="75">
        <f>IF($C4437="","",IFERROR(INDEX(CAT_TIPO,MATCH($C4437,CAT_NOME,0)),"Sem categoria"))</f>
        <v/>
      </c>
      <c r="E4437" s="75">
        <f>IF($C4437="","",IFERROR(INDEX(CAT_GRUPO,MATCH($C4437,CAT_NOME,0)),"Sem categoria"))</f>
        <v/>
      </c>
      <c r="F4437" s="76" t="n"/>
      <c r="G4437" s="74" t="n"/>
      <c r="H4437" s="74" t="n"/>
      <c r="I4437" s="74" t="n"/>
      <c r="J4437" s="77" t="n"/>
      <c r="K4437" s="77" t="n"/>
      <c r="L4437" s="74" t="n"/>
      <c r="M4437" s="74" t="n"/>
      <c r="O4437" s="78">
        <f>IF($A4437="","",YEAR($A4437)*100+MONTH($A4437))</f>
        <v/>
      </c>
      <c r="P4437" s="79">
        <f>IF(OR($F4437="",$D4437=""),"",IF($D4437="Receita",$F4437,IF($D4437="Transferência",0,-$F4437)))</f>
        <v/>
      </c>
    </row>
    <row r="4438">
      <c r="A4438" s="73" t="n"/>
      <c r="B4438" s="74" t="n"/>
      <c r="C4438" s="74" t="n"/>
      <c r="D4438" s="75">
        <f>IF($C4438="","",IFERROR(INDEX(CAT_TIPO,MATCH($C4438,CAT_NOME,0)),"Sem categoria"))</f>
        <v/>
      </c>
      <c r="E4438" s="75">
        <f>IF($C4438="","",IFERROR(INDEX(CAT_GRUPO,MATCH($C4438,CAT_NOME,0)),"Sem categoria"))</f>
        <v/>
      </c>
      <c r="F4438" s="76" t="n"/>
      <c r="G4438" s="74" t="n"/>
      <c r="H4438" s="74" t="n"/>
      <c r="I4438" s="74" t="n"/>
      <c r="J4438" s="77" t="n"/>
      <c r="K4438" s="77" t="n"/>
      <c r="L4438" s="74" t="n"/>
      <c r="M4438" s="74" t="n"/>
      <c r="O4438" s="78">
        <f>IF($A4438="","",YEAR($A4438)*100+MONTH($A4438))</f>
        <v/>
      </c>
      <c r="P4438" s="79">
        <f>IF(OR($F4438="",$D4438=""),"",IF($D4438="Receita",$F4438,IF($D4438="Transferência",0,-$F4438)))</f>
        <v/>
      </c>
    </row>
    <row r="4439">
      <c r="A4439" s="73" t="n"/>
      <c r="B4439" s="74" t="n"/>
      <c r="C4439" s="74" t="n"/>
      <c r="D4439" s="75">
        <f>IF($C4439="","",IFERROR(INDEX(CAT_TIPO,MATCH($C4439,CAT_NOME,0)),"Sem categoria"))</f>
        <v/>
      </c>
      <c r="E4439" s="75">
        <f>IF($C4439="","",IFERROR(INDEX(CAT_GRUPO,MATCH($C4439,CAT_NOME,0)),"Sem categoria"))</f>
        <v/>
      </c>
      <c r="F4439" s="76" t="n"/>
      <c r="G4439" s="74" t="n"/>
      <c r="H4439" s="74" t="n"/>
      <c r="I4439" s="74" t="n"/>
      <c r="J4439" s="77" t="n"/>
      <c r="K4439" s="77" t="n"/>
      <c r="L4439" s="74" t="n"/>
      <c r="M4439" s="74" t="n"/>
      <c r="O4439" s="78">
        <f>IF($A4439="","",YEAR($A4439)*100+MONTH($A4439))</f>
        <v/>
      </c>
      <c r="P4439" s="79">
        <f>IF(OR($F4439="",$D4439=""),"",IF($D4439="Receita",$F4439,IF($D4439="Transferência",0,-$F4439)))</f>
        <v/>
      </c>
    </row>
    <row r="4440">
      <c r="A4440" s="73" t="n"/>
      <c r="B4440" s="74" t="n"/>
      <c r="C4440" s="74" t="n"/>
      <c r="D4440" s="75">
        <f>IF($C4440="","",IFERROR(INDEX(CAT_TIPO,MATCH($C4440,CAT_NOME,0)),"Sem categoria"))</f>
        <v/>
      </c>
      <c r="E4440" s="75">
        <f>IF($C4440="","",IFERROR(INDEX(CAT_GRUPO,MATCH($C4440,CAT_NOME,0)),"Sem categoria"))</f>
        <v/>
      </c>
      <c r="F4440" s="76" t="n"/>
      <c r="G4440" s="74" t="n"/>
      <c r="H4440" s="74" t="n"/>
      <c r="I4440" s="74" t="n"/>
      <c r="J4440" s="77" t="n"/>
      <c r="K4440" s="77" t="n"/>
      <c r="L4440" s="74" t="n"/>
      <c r="M4440" s="74" t="n"/>
      <c r="O4440" s="78">
        <f>IF($A4440="","",YEAR($A4440)*100+MONTH($A4440))</f>
        <v/>
      </c>
      <c r="P4440" s="79">
        <f>IF(OR($F4440="",$D4440=""),"",IF($D4440="Receita",$F4440,IF($D4440="Transferência",0,-$F4440)))</f>
        <v/>
      </c>
    </row>
    <row r="4441">
      <c r="A4441" s="73" t="n"/>
      <c r="B4441" s="74" t="n"/>
      <c r="C4441" s="74" t="n"/>
      <c r="D4441" s="75">
        <f>IF($C4441="","",IFERROR(INDEX(CAT_TIPO,MATCH($C4441,CAT_NOME,0)),"Sem categoria"))</f>
        <v/>
      </c>
      <c r="E4441" s="75">
        <f>IF($C4441="","",IFERROR(INDEX(CAT_GRUPO,MATCH($C4441,CAT_NOME,0)),"Sem categoria"))</f>
        <v/>
      </c>
      <c r="F4441" s="76" t="n"/>
      <c r="G4441" s="74" t="n"/>
      <c r="H4441" s="74" t="n"/>
      <c r="I4441" s="74" t="n"/>
      <c r="J4441" s="77" t="n"/>
      <c r="K4441" s="77" t="n"/>
      <c r="L4441" s="74" t="n"/>
      <c r="M4441" s="74" t="n"/>
      <c r="O4441" s="78">
        <f>IF($A4441="","",YEAR($A4441)*100+MONTH($A4441))</f>
        <v/>
      </c>
      <c r="P4441" s="79">
        <f>IF(OR($F4441="",$D4441=""),"",IF($D4441="Receita",$F4441,IF($D4441="Transferência",0,-$F4441)))</f>
        <v/>
      </c>
    </row>
    <row r="4442">
      <c r="A4442" s="73" t="n"/>
      <c r="B4442" s="74" t="n"/>
      <c r="C4442" s="74" t="n"/>
      <c r="D4442" s="75">
        <f>IF($C4442="","",IFERROR(INDEX(CAT_TIPO,MATCH($C4442,CAT_NOME,0)),"Sem categoria"))</f>
        <v/>
      </c>
      <c r="E4442" s="75">
        <f>IF($C4442="","",IFERROR(INDEX(CAT_GRUPO,MATCH($C4442,CAT_NOME,0)),"Sem categoria"))</f>
        <v/>
      </c>
      <c r="F4442" s="76" t="n"/>
      <c r="G4442" s="74" t="n"/>
      <c r="H4442" s="74" t="n"/>
      <c r="I4442" s="74" t="n"/>
      <c r="J4442" s="77" t="n"/>
      <c r="K4442" s="77" t="n"/>
      <c r="L4442" s="74" t="n"/>
      <c r="M4442" s="74" t="n"/>
      <c r="O4442" s="78">
        <f>IF($A4442="","",YEAR($A4442)*100+MONTH($A4442))</f>
        <v/>
      </c>
      <c r="P4442" s="79">
        <f>IF(OR($F4442="",$D4442=""),"",IF($D4442="Receita",$F4442,IF($D4442="Transferência",0,-$F4442)))</f>
        <v/>
      </c>
    </row>
    <row r="4443">
      <c r="A4443" s="73" t="n"/>
      <c r="B4443" s="74" t="n"/>
      <c r="C4443" s="74" t="n"/>
      <c r="D4443" s="75">
        <f>IF($C4443="","",IFERROR(INDEX(CAT_TIPO,MATCH($C4443,CAT_NOME,0)),"Sem categoria"))</f>
        <v/>
      </c>
      <c r="E4443" s="75">
        <f>IF($C4443="","",IFERROR(INDEX(CAT_GRUPO,MATCH($C4443,CAT_NOME,0)),"Sem categoria"))</f>
        <v/>
      </c>
      <c r="F4443" s="76" t="n"/>
      <c r="G4443" s="74" t="n"/>
      <c r="H4443" s="74" t="n"/>
      <c r="I4443" s="74" t="n"/>
      <c r="J4443" s="77" t="n"/>
      <c r="K4443" s="77" t="n"/>
      <c r="L4443" s="74" t="n"/>
      <c r="M4443" s="74" t="n"/>
      <c r="O4443" s="78">
        <f>IF($A4443="","",YEAR($A4443)*100+MONTH($A4443))</f>
        <v/>
      </c>
      <c r="P4443" s="79">
        <f>IF(OR($F4443="",$D4443=""),"",IF($D4443="Receita",$F4443,IF($D4443="Transferência",0,-$F4443)))</f>
        <v/>
      </c>
    </row>
    <row r="4444">
      <c r="A4444" s="73" t="n"/>
      <c r="B4444" s="74" t="n"/>
      <c r="C4444" s="74" t="n"/>
      <c r="D4444" s="75">
        <f>IF($C4444="","",IFERROR(INDEX(CAT_TIPO,MATCH($C4444,CAT_NOME,0)),"Sem categoria"))</f>
        <v/>
      </c>
      <c r="E4444" s="75">
        <f>IF($C4444="","",IFERROR(INDEX(CAT_GRUPO,MATCH($C4444,CAT_NOME,0)),"Sem categoria"))</f>
        <v/>
      </c>
      <c r="F4444" s="76" t="n"/>
      <c r="G4444" s="74" t="n"/>
      <c r="H4444" s="74" t="n"/>
      <c r="I4444" s="74" t="n"/>
      <c r="J4444" s="77" t="n"/>
      <c r="K4444" s="77" t="n"/>
      <c r="L4444" s="74" t="n"/>
      <c r="M4444" s="74" t="n"/>
      <c r="O4444" s="78">
        <f>IF($A4444="","",YEAR($A4444)*100+MONTH($A4444))</f>
        <v/>
      </c>
      <c r="P4444" s="79">
        <f>IF(OR($F4444="",$D4444=""),"",IF($D4444="Receita",$F4444,IF($D4444="Transferência",0,-$F4444)))</f>
        <v/>
      </c>
    </row>
    <row r="4445">
      <c r="A4445" s="73" t="n"/>
      <c r="B4445" s="74" t="n"/>
      <c r="C4445" s="74" t="n"/>
      <c r="D4445" s="75">
        <f>IF($C4445="","",IFERROR(INDEX(CAT_TIPO,MATCH($C4445,CAT_NOME,0)),"Sem categoria"))</f>
        <v/>
      </c>
      <c r="E4445" s="75">
        <f>IF($C4445="","",IFERROR(INDEX(CAT_GRUPO,MATCH($C4445,CAT_NOME,0)),"Sem categoria"))</f>
        <v/>
      </c>
      <c r="F4445" s="76" t="n"/>
      <c r="G4445" s="74" t="n"/>
      <c r="H4445" s="74" t="n"/>
      <c r="I4445" s="74" t="n"/>
      <c r="J4445" s="77" t="n"/>
      <c r="K4445" s="77" t="n"/>
      <c r="L4445" s="74" t="n"/>
      <c r="M4445" s="74" t="n"/>
      <c r="O4445" s="78">
        <f>IF($A4445="","",YEAR($A4445)*100+MONTH($A4445))</f>
        <v/>
      </c>
      <c r="P4445" s="79">
        <f>IF(OR($F4445="",$D4445=""),"",IF($D4445="Receita",$F4445,IF($D4445="Transferência",0,-$F4445)))</f>
        <v/>
      </c>
    </row>
    <row r="4446">
      <c r="A4446" s="73" t="n"/>
      <c r="B4446" s="74" t="n"/>
      <c r="C4446" s="74" t="n"/>
      <c r="D4446" s="75">
        <f>IF($C4446="","",IFERROR(INDEX(CAT_TIPO,MATCH($C4446,CAT_NOME,0)),"Sem categoria"))</f>
        <v/>
      </c>
      <c r="E4446" s="75">
        <f>IF($C4446="","",IFERROR(INDEX(CAT_GRUPO,MATCH($C4446,CAT_NOME,0)),"Sem categoria"))</f>
        <v/>
      </c>
      <c r="F4446" s="76" t="n"/>
      <c r="G4446" s="74" t="n"/>
      <c r="H4446" s="74" t="n"/>
      <c r="I4446" s="74" t="n"/>
      <c r="J4446" s="77" t="n"/>
      <c r="K4446" s="77" t="n"/>
      <c r="L4446" s="74" t="n"/>
      <c r="M4446" s="74" t="n"/>
      <c r="O4446" s="78">
        <f>IF($A4446="","",YEAR($A4446)*100+MONTH($A4446))</f>
        <v/>
      </c>
      <c r="P4446" s="79">
        <f>IF(OR($F4446="",$D4446=""),"",IF($D4446="Receita",$F4446,IF($D4446="Transferência",0,-$F4446)))</f>
        <v/>
      </c>
    </row>
    <row r="4447">
      <c r="A4447" s="73" t="n"/>
      <c r="B4447" s="74" t="n"/>
      <c r="C4447" s="74" t="n"/>
      <c r="D4447" s="75">
        <f>IF($C4447="","",IFERROR(INDEX(CAT_TIPO,MATCH($C4447,CAT_NOME,0)),"Sem categoria"))</f>
        <v/>
      </c>
      <c r="E4447" s="75">
        <f>IF($C4447="","",IFERROR(INDEX(CAT_GRUPO,MATCH($C4447,CAT_NOME,0)),"Sem categoria"))</f>
        <v/>
      </c>
      <c r="F4447" s="76" t="n"/>
      <c r="G4447" s="74" t="n"/>
      <c r="H4447" s="74" t="n"/>
      <c r="I4447" s="74" t="n"/>
      <c r="J4447" s="77" t="n"/>
      <c r="K4447" s="77" t="n"/>
      <c r="L4447" s="74" t="n"/>
      <c r="M4447" s="74" t="n"/>
      <c r="O4447" s="78">
        <f>IF($A4447="","",YEAR($A4447)*100+MONTH($A4447))</f>
        <v/>
      </c>
      <c r="P4447" s="79">
        <f>IF(OR($F4447="",$D4447=""),"",IF($D4447="Receita",$F4447,IF($D4447="Transferência",0,-$F4447)))</f>
        <v/>
      </c>
    </row>
    <row r="4448">
      <c r="A4448" s="73" t="n"/>
      <c r="B4448" s="74" t="n"/>
      <c r="C4448" s="74" t="n"/>
      <c r="D4448" s="75">
        <f>IF($C4448="","",IFERROR(INDEX(CAT_TIPO,MATCH($C4448,CAT_NOME,0)),"Sem categoria"))</f>
        <v/>
      </c>
      <c r="E4448" s="75">
        <f>IF($C4448="","",IFERROR(INDEX(CAT_GRUPO,MATCH($C4448,CAT_NOME,0)),"Sem categoria"))</f>
        <v/>
      </c>
      <c r="F4448" s="76" t="n"/>
      <c r="G4448" s="74" t="n"/>
      <c r="H4448" s="74" t="n"/>
      <c r="I4448" s="74" t="n"/>
      <c r="J4448" s="77" t="n"/>
      <c r="K4448" s="77" t="n"/>
      <c r="L4448" s="74" t="n"/>
      <c r="M4448" s="74" t="n"/>
      <c r="O4448" s="78">
        <f>IF($A4448="","",YEAR($A4448)*100+MONTH($A4448))</f>
        <v/>
      </c>
      <c r="P4448" s="79">
        <f>IF(OR($F4448="",$D4448=""),"",IF($D4448="Receita",$F4448,IF($D4448="Transferência",0,-$F4448)))</f>
        <v/>
      </c>
    </row>
    <row r="4449">
      <c r="A4449" s="73" t="n"/>
      <c r="B4449" s="74" t="n"/>
      <c r="C4449" s="74" t="n"/>
      <c r="D4449" s="75">
        <f>IF($C4449="","",IFERROR(INDEX(CAT_TIPO,MATCH($C4449,CAT_NOME,0)),"Sem categoria"))</f>
        <v/>
      </c>
      <c r="E4449" s="75">
        <f>IF($C4449="","",IFERROR(INDEX(CAT_GRUPO,MATCH($C4449,CAT_NOME,0)),"Sem categoria"))</f>
        <v/>
      </c>
      <c r="F4449" s="76" t="n"/>
      <c r="G4449" s="74" t="n"/>
      <c r="H4449" s="74" t="n"/>
      <c r="I4449" s="74" t="n"/>
      <c r="J4449" s="77" t="n"/>
      <c r="K4449" s="77" t="n"/>
      <c r="L4449" s="74" t="n"/>
      <c r="M4449" s="74" t="n"/>
      <c r="O4449" s="78">
        <f>IF($A4449="","",YEAR($A4449)*100+MONTH($A4449))</f>
        <v/>
      </c>
      <c r="P4449" s="79">
        <f>IF(OR($F4449="",$D4449=""),"",IF($D4449="Receita",$F4449,IF($D4449="Transferência",0,-$F4449)))</f>
        <v/>
      </c>
    </row>
    <row r="4450">
      <c r="A4450" s="73" t="n"/>
      <c r="B4450" s="74" t="n"/>
      <c r="C4450" s="74" t="n"/>
      <c r="D4450" s="75">
        <f>IF($C4450="","",IFERROR(INDEX(CAT_TIPO,MATCH($C4450,CAT_NOME,0)),"Sem categoria"))</f>
        <v/>
      </c>
      <c r="E4450" s="75">
        <f>IF($C4450="","",IFERROR(INDEX(CAT_GRUPO,MATCH($C4450,CAT_NOME,0)),"Sem categoria"))</f>
        <v/>
      </c>
      <c r="F4450" s="76" t="n"/>
      <c r="G4450" s="74" t="n"/>
      <c r="H4450" s="74" t="n"/>
      <c r="I4450" s="74" t="n"/>
      <c r="J4450" s="77" t="n"/>
      <c r="K4450" s="77" t="n"/>
      <c r="L4450" s="74" t="n"/>
      <c r="M4450" s="74" t="n"/>
      <c r="O4450" s="78">
        <f>IF($A4450="","",YEAR($A4450)*100+MONTH($A4450))</f>
        <v/>
      </c>
      <c r="P4450" s="79">
        <f>IF(OR($F4450="",$D4450=""),"",IF($D4450="Receita",$F4450,IF($D4450="Transferência",0,-$F4450)))</f>
        <v/>
      </c>
    </row>
    <row r="4451">
      <c r="A4451" s="73" t="n"/>
      <c r="B4451" s="74" t="n"/>
      <c r="C4451" s="74" t="n"/>
      <c r="D4451" s="75">
        <f>IF($C4451="","",IFERROR(INDEX(CAT_TIPO,MATCH($C4451,CAT_NOME,0)),"Sem categoria"))</f>
        <v/>
      </c>
      <c r="E4451" s="75">
        <f>IF($C4451="","",IFERROR(INDEX(CAT_GRUPO,MATCH($C4451,CAT_NOME,0)),"Sem categoria"))</f>
        <v/>
      </c>
      <c r="F4451" s="76" t="n"/>
      <c r="G4451" s="74" t="n"/>
      <c r="H4451" s="74" t="n"/>
      <c r="I4451" s="74" t="n"/>
      <c r="J4451" s="77" t="n"/>
      <c r="K4451" s="77" t="n"/>
      <c r="L4451" s="74" t="n"/>
      <c r="M4451" s="74" t="n"/>
      <c r="O4451" s="78">
        <f>IF($A4451="","",YEAR($A4451)*100+MONTH($A4451))</f>
        <v/>
      </c>
      <c r="P4451" s="79">
        <f>IF(OR($F4451="",$D4451=""),"",IF($D4451="Receita",$F4451,IF($D4451="Transferência",0,-$F4451)))</f>
        <v/>
      </c>
    </row>
    <row r="4452">
      <c r="A4452" s="73" t="n"/>
      <c r="B4452" s="74" t="n"/>
      <c r="C4452" s="74" t="n"/>
      <c r="D4452" s="75">
        <f>IF($C4452="","",IFERROR(INDEX(CAT_TIPO,MATCH($C4452,CAT_NOME,0)),"Sem categoria"))</f>
        <v/>
      </c>
      <c r="E4452" s="75">
        <f>IF($C4452="","",IFERROR(INDEX(CAT_GRUPO,MATCH($C4452,CAT_NOME,0)),"Sem categoria"))</f>
        <v/>
      </c>
      <c r="F4452" s="76" t="n"/>
      <c r="G4452" s="74" t="n"/>
      <c r="H4452" s="74" t="n"/>
      <c r="I4452" s="74" t="n"/>
      <c r="J4452" s="77" t="n"/>
      <c r="K4452" s="77" t="n"/>
      <c r="L4452" s="74" t="n"/>
      <c r="M4452" s="74" t="n"/>
      <c r="O4452" s="78">
        <f>IF($A4452="","",YEAR($A4452)*100+MONTH($A4452))</f>
        <v/>
      </c>
      <c r="P4452" s="79">
        <f>IF(OR($F4452="",$D4452=""),"",IF($D4452="Receita",$F4452,IF($D4452="Transferência",0,-$F4452)))</f>
        <v/>
      </c>
    </row>
    <row r="4453">
      <c r="A4453" s="73" t="n"/>
      <c r="B4453" s="74" t="n"/>
      <c r="C4453" s="74" t="n"/>
      <c r="D4453" s="75">
        <f>IF($C4453="","",IFERROR(INDEX(CAT_TIPO,MATCH($C4453,CAT_NOME,0)),"Sem categoria"))</f>
        <v/>
      </c>
      <c r="E4453" s="75">
        <f>IF($C4453="","",IFERROR(INDEX(CAT_GRUPO,MATCH($C4453,CAT_NOME,0)),"Sem categoria"))</f>
        <v/>
      </c>
      <c r="F4453" s="76" t="n"/>
      <c r="G4453" s="74" t="n"/>
      <c r="H4453" s="74" t="n"/>
      <c r="I4453" s="74" t="n"/>
      <c r="J4453" s="77" t="n"/>
      <c r="K4453" s="77" t="n"/>
      <c r="L4453" s="74" t="n"/>
      <c r="M4453" s="74" t="n"/>
      <c r="O4453" s="78">
        <f>IF($A4453="","",YEAR($A4453)*100+MONTH($A4453))</f>
        <v/>
      </c>
      <c r="P4453" s="79">
        <f>IF(OR($F4453="",$D4453=""),"",IF($D4453="Receita",$F4453,IF($D4453="Transferência",0,-$F4453)))</f>
        <v/>
      </c>
    </row>
    <row r="4454">
      <c r="A4454" s="73" t="n"/>
      <c r="B4454" s="74" t="n"/>
      <c r="C4454" s="74" t="n"/>
      <c r="D4454" s="75">
        <f>IF($C4454="","",IFERROR(INDEX(CAT_TIPO,MATCH($C4454,CAT_NOME,0)),"Sem categoria"))</f>
        <v/>
      </c>
      <c r="E4454" s="75">
        <f>IF($C4454="","",IFERROR(INDEX(CAT_GRUPO,MATCH($C4454,CAT_NOME,0)),"Sem categoria"))</f>
        <v/>
      </c>
      <c r="F4454" s="76" t="n"/>
      <c r="G4454" s="74" t="n"/>
      <c r="H4454" s="74" t="n"/>
      <c r="I4454" s="74" t="n"/>
      <c r="J4454" s="77" t="n"/>
      <c r="K4454" s="77" t="n"/>
      <c r="L4454" s="74" t="n"/>
      <c r="M4454" s="74" t="n"/>
      <c r="O4454" s="78">
        <f>IF($A4454="","",YEAR($A4454)*100+MONTH($A4454))</f>
        <v/>
      </c>
      <c r="P4454" s="79">
        <f>IF(OR($F4454="",$D4454=""),"",IF($D4454="Receita",$F4454,IF($D4454="Transferência",0,-$F4454)))</f>
        <v/>
      </c>
    </row>
    <row r="4455">
      <c r="A4455" s="73" t="n"/>
      <c r="B4455" s="74" t="n"/>
      <c r="C4455" s="74" t="n"/>
      <c r="D4455" s="75">
        <f>IF($C4455="","",IFERROR(INDEX(CAT_TIPO,MATCH($C4455,CAT_NOME,0)),"Sem categoria"))</f>
        <v/>
      </c>
      <c r="E4455" s="75">
        <f>IF($C4455="","",IFERROR(INDEX(CAT_GRUPO,MATCH($C4455,CAT_NOME,0)),"Sem categoria"))</f>
        <v/>
      </c>
      <c r="F4455" s="76" t="n"/>
      <c r="G4455" s="74" t="n"/>
      <c r="H4455" s="74" t="n"/>
      <c r="I4455" s="74" t="n"/>
      <c r="J4455" s="77" t="n"/>
      <c r="K4455" s="77" t="n"/>
      <c r="L4455" s="74" t="n"/>
      <c r="M4455" s="74" t="n"/>
      <c r="O4455" s="78">
        <f>IF($A4455="","",YEAR($A4455)*100+MONTH($A4455))</f>
        <v/>
      </c>
      <c r="P4455" s="79">
        <f>IF(OR($F4455="",$D4455=""),"",IF($D4455="Receita",$F4455,IF($D4455="Transferência",0,-$F4455)))</f>
        <v/>
      </c>
    </row>
    <row r="4456">
      <c r="A4456" s="73" t="n"/>
      <c r="B4456" s="74" t="n"/>
      <c r="C4456" s="74" t="n"/>
      <c r="D4456" s="75">
        <f>IF($C4456="","",IFERROR(INDEX(CAT_TIPO,MATCH($C4456,CAT_NOME,0)),"Sem categoria"))</f>
        <v/>
      </c>
      <c r="E4456" s="75">
        <f>IF($C4456="","",IFERROR(INDEX(CAT_GRUPO,MATCH($C4456,CAT_NOME,0)),"Sem categoria"))</f>
        <v/>
      </c>
      <c r="F4456" s="76" t="n"/>
      <c r="G4456" s="74" t="n"/>
      <c r="H4456" s="74" t="n"/>
      <c r="I4456" s="74" t="n"/>
      <c r="J4456" s="77" t="n"/>
      <c r="K4456" s="77" t="n"/>
      <c r="L4456" s="74" t="n"/>
      <c r="M4456" s="74" t="n"/>
      <c r="O4456" s="78">
        <f>IF($A4456="","",YEAR($A4456)*100+MONTH($A4456))</f>
        <v/>
      </c>
      <c r="P4456" s="79">
        <f>IF(OR($F4456="",$D4456=""),"",IF($D4456="Receita",$F4456,IF($D4456="Transferência",0,-$F4456)))</f>
        <v/>
      </c>
    </row>
    <row r="4457">
      <c r="A4457" s="73" t="n"/>
      <c r="B4457" s="74" t="n"/>
      <c r="C4457" s="74" t="n"/>
      <c r="D4457" s="75">
        <f>IF($C4457="","",IFERROR(INDEX(CAT_TIPO,MATCH($C4457,CAT_NOME,0)),"Sem categoria"))</f>
        <v/>
      </c>
      <c r="E4457" s="75">
        <f>IF($C4457="","",IFERROR(INDEX(CAT_GRUPO,MATCH($C4457,CAT_NOME,0)),"Sem categoria"))</f>
        <v/>
      </c>
      <c r="F4457" s="76" t="n"/>
      <c r="G4457" s="74" t="n"/>
      <c r="H4457" s="74" t="n"/>
      <c r="I4457" s="74" t="n"/>
      <c r="J4457" s="77" t="n"/>
      <c r="K4457" s="77" t="n"/>
      <c r="L4457" s="74" t="n"/>
      <c r="M4457" s="74" t="n"/>
      <c r="O4457" s="78">
        <f>IF($A4457="","",YEAR($A4457)*100+MONTH($A4457))</f>
        <v/>
      </c>
      <c r="P4457" s="79">
        <f>IF(OR($F4457="",$D4457=""),"",IF($D4457="Receita",$F4457,IF($D4457="Transferência",0,-$F4457)))</f>
        <v/>
      </c>
    </row>
    <row r="4458">
      <c r="A4458" s="73" t="n"/>
      <c r="B4458" s="74" t="n"/>
      <c r="C4458" s="74" t="n"/>
      <c r="D4458" s="75">
        <f>IF($C4458="","",IFERROR(INDEX(CAT_TIPO,MATCH($C4458,CAT_NOME,0)),"Sem categoria"))</f>
        <v/>
      </c>
      <c r="E4458" s="75">
        <f>IF($C4458="","",IFERROR(INDEX(CAT_GRUPO,MATCH($C4458,CAT_NOME,0)),"Sem categoria"))</f>
        <v/>
      </c>
      <c r="F4458" s="76" t="n"/>
      <c r="G4458" s="74" t="n"/>
      <c r="H4458" s="74" t="n"/>
      <c r="I4458" s="74" t="n"/>
      <c r="J4458" s="77" t="n"/>
      <c r="K4458" s="77" t="n"/>
      <c r="L4458" s="74" t="n"/>
      <c r="M4458" s="74" t="n"/>
      <c r="O4458" s="78">
        <f>IF($A4458="","",YEAR($A4458)*100+MONTH($A4458))</f>
        <v/>
      </c>
      <c r="P4458" s="79">
        <f>IF(OR($F4458="",$D4458=""),"",IF($D4458="Receita",$F4458,IF($D4458="Transferência",0,-$F4458)))</f>
        <v/>
      </c>
    </row>
    <row r="4459">
      <c r="A4459" s="73" t="n"/>
      <c r="B4459" s="74" t="n"/>
      <c r="C4459" s="74" t="n"/>
      <c r="D4459" s="75">
        <f>IF($C4459="","",IFERROR(INDEX(CAT_TIPO,MATCH($C4459,CAT_NOME,0)),"Sem categoria"))</f>
        <v/>
      </c>
      <c r="E4459" s="75">
        <f>IF($C4459="","",IFERROR(INDEX(CAT_GRUPO,MATCH($C4459,CAT_NOME,0)),"Sem categoria"))</f>
        <v/>
      </c>
      <c r="F4459" s="76" t="n"/>
      <c r="G4459" s="74" t="n"/>
      <c r="H4459" s="74" t="n"/>
      <c r="I4459" s="74" t="n"/>
      <c r="J4459" s="77" t="n"/>
      <c r="K4459" s="77" t="n"/>
      <c r="L4459" s="74" t="n"/>
      <c r="M4459" s="74" t="n"/>
      <c r="O4459" s="78">
        <f>IF($A4459="","",YEAR($A4459)*100+MONTH($A4459))</f>
        <v/>
      </c>
      <c r="P4459" s="79">
        <f>IF(OR($F4459="",$D4459=""),"",IF($D4459="Receita",$F4459,IF($D4459="Transferência",0,-$F4459)))</f>
        <v/>
      </c>
    </row>
    <row r="4460">
      <c r="A4460" s="73" t="n"/>
      <c r="B4460" s="74" t="n"/>
      <c r="C4460" s="74" t="n"/>
      <c r="D4460" s="75">
        <f>IF($C4460="","",IFERROR(INDEX(CAT_TIPO,MATCH($C4460,CAT_NOME,0)),"Sem categoria"))</f>
        <v/>
      </c>
      <c r="E4460" s="75">
        <f>IF($C4460="","",IFERROR(INDEX(CAT_GRUPO,MATCH($C4460,CAT_NOME,0)),"Sem categoria"))</f>
        <v/>
      </c>
      <c r="F4460" s="76" t="n"/>
      <c r="G4460" s="74" t="n"/>
      <c r="H4460" s="74" t="n"/>
      <c r="I4460" s="74" t="n"/>
      <c r="J4460" s="77" t="n"/>
      <c r="K4460" s="77" t="n"/>
      <c r="L4460" s="74" t="n"/>
      <c r="M4460" s="74" t="n"/>
      <c r="O4460" s="78">
        <f>IF($A4460="","",YEAR($A4460)*100+MONTH($A4460))</f>
        <v/>
      </c>
      <c r="P4460" s="79">
        <f>IF(OR($F4460="",$D4460=""),"",IF($D4460="Receita",$F4460,IF($D4460="Transferência",0,-$F4460)))</f>
        <v/>
      </c>
    </row>
    <row r="4461">
      <c r="A4461" s="73" t="n"/>
      <c r="B4461" s="74" t="n"/>
      <c r="C4461" s="74" t="n"/>
      <c r="D4461" s="75">
        <f>IF($C4461="","",IFERROR(INDEX(CAT_TIPO,MATCH($C4461,CAT_NOME,0)),"Sem categoria"))</f>
        <v/>
      </c>
      <c r="E4461" s="75">
        <f>IF($C4461="","",IFERROR(INDEX(CAT_GRUPO,MATCH($C4461,CAT_NOME,0)),"Sem categoria"))</f>
        <v/>
      </c>
      <c r="F4461" s="76" t="n"/>
      <c r="G4461" s="74" t="n"/>
      <c r="H4461" s="74" t="n"/>
      <c r="I4461" s="74" t="n"/>
      <c r="J4461" s="77" t="n"/>
      <c r="K4461" s="77" t="n"/>
      <c r="L4461" s="74" t="n"/>
      <c r="M4461" s="74" t="n"/>
      <c r="O4461" s="78">
        <f>IF($A4461="","",YEAR($A4461)*100+MONTH($A4461))</f>
        <v/>
      </c>
      <c r="P4461" s="79">
        <f>IF(OR($F4461="",$D4461=""),"",IF($D4461="Receita",$F4461,IF($D4461="Transferência",0,-$F4461)))</f>
        <v/>
      </c>
    </row>
    <row r="4462">
      <c r="A4462" s="73" t="n"/>
      <c r="B4462" s="74" t="n"/>
      <c r="C4462" s="74" t="n"/>
      <c r="D4462" s="75">
        <f>IF($C4462="","",IFERROR(INDEX(CAT_TIPO,MATCH($C4462,CAT_NOME,0)),"Sem categoria"))</f>
        <v/>
      </c>
      <c r="E4462" s="75">
        <f>IF($C4462="","",IFERROR(INDEX(CAT_GRUPO,MATCH($C4462,CAT_NOME,0)),"Sem categoria"))</f>
        <v/>
      </c>
      <c r="F4462" s="76" t="n"/>
      <c r="G4462" s="74" t="n"/>
      <c r="H4462" s="74" t="n"/>
      <c r="I4462" s="74" t="n"/>
      <c r="J4462" s="77" t="n"/>
      <c r="K4462" s="77" t="n"/>
      <c r="L4462" s="74" t="n"/>
      <c r="M4462" s="74" t="n"/>
      <c r="O4462" s="78">
        <f>IF($A4462="","",YEAR($A4462)*100+MONTH($A4462))</f>
        <v/>
      </c>
      <c r="P4462" s="79">
        <f>IF(OR($F4462="",$D4462=""),"",IF($D4462="Receita",$F4462,IF($D4462="Transferência",0,-$F4462)))</f>
        <v/>
      </c>
    </row>
    <row r="4463">
      <c r="A4463" s="73" t="n"/>
      <c r="B4463" s="74" t="n"/>
      <c r="C4463" s="74" t="n"/>
      <c r="D4463" s="75">
        <f>IF($C4463="","",IFERROR(INDEX(CAT_TIPO,MATCH($C4463,CAT_NOME,0)),"Sem categoria"))</f>
        <v/>
      </c>
      <c r="E4463" s="75">
        <f>IF($C4463="","",IFERROR(INDEX(CAT_GRUPO,MATCH($C4463,CAT_NOME,0)),"Sem categoria"))</f>
        <v/>
      </c>
      <c r="F4463" s="76" t="n"/>
      <c r="G4463" s="74" t="n"/>
      <c r="H4463" s="74" t="n"/>
      <c r="I4463" s="74" t="n"/>
      <c r="J4463" s="77" t="n"/>
      <c r="K4463" s="77" t="n"/>
      <c r="L4463" s="74" t="n"/>
      <c r="M4463" s="74" t="n"/>
      <c r="O4463" s="78">
        <f>IF($A4463="","",YEAR($A4463)*100+MONTH($A4463))</f>
        <v/>
      </c>
      <c r="P4463" s="79">
        <f>IF(OR($F4463="",$D4463=""),"",IF($D4463="Receita",$F4463,IF($D4463="Transferência",0,-$F4463)))</f>
        <v/>
      </c>
    </row>
    <row r="4464">
      <c r="A4464" s="73" t="n"/>
      <c r="B4464" s="74" t="n"/>
      <c r="C4464" s="74" t="n"/>
      <c r="D4464" s="75">
        <f>IF($C4464="","",IFERROR(INDEX(CAT_TIPO,MATCH($C4464,CAT_NOME,0)),"Sem categoria"))</f>
        <v/>
      </c>
      <c r="E4464" s="75">
        <f>IF($C4464="","",IFERROR(INDEX(CAT_GRUPO,MATCH($C4464,CAT_NOME,0)),"Sem categoria"))</f>
        <v/>
      </c>
      <c r="F4464" s="76" t="n"/>
      <c r="G4464" s="74" t="n"/>
      <c r="H4464" s="74" t="n"/>
      <c r="I4464" s="74" t="n"/>
      <c r="J4464" s="77" t="n"/>
      <c r="K4464" s="77" t="n"/>
      <c r="L4464" s="74" t="n"/>
      <c r="M4464" s="74" t="n"/>
      <c r="O4464" s="78">
        <f>IF($A4464="","",YEAR($A4464)*100+MONTH($A4464))</f>
        <v/>
      </c>
      <c r="P4464" s="79">
        <f>IF(OR($F4464="",$D4464=""),"",IF($D4464="Receita",$F4464,IF($D4464="Transferência",0,-$F4464)))</f>
        <v/>
      </c>
    </row>
    <row r="4465">
      <c r="A4465" s="73" t="n"/>
      <c r="B4465" s="74" t="n"/>
      <c r="C4465" s="74" t="n"/>
      <c r="D4465" s="75">
        <f>IF($C4465="","",IFERROR(INDEX(CAT_TIPO,MATCH($C4465,CAT_NOME,0)),"Sem categoria"))</f>
        <v/>
      </c>
      <c r="E4465" s="75">
        <f>IF($C4465="","",IFERROR(INDEX(CAT_GRUPO,MATCH($C4465,CAT_NOME,0)),"Sem categoria"))</f>
        <v/>
      </c>
      <c r="F4465" s="76" t="n"/>
      <c r="G4465" s="74" t="n"/>
      <c r="H4465" s="74" t="n"/>
      <c r="I4465" s="74" t="n"/>
      <c r="J4465" s="77" t="n"/>
      <c r="K4465" s="77" t="n"/>
      <c r="L4465" s="74" t="n"/>
      <c r="M4465" s="74" t="n"/>
      <c r="O4465" s="78">
        <f>IF($A4465="","",YEAR($A4465)*100+MONTH($A4465))</f>
        <v/>
      </c>
      <c r="P4465" s="79">
        <f>IF(OR($F4465="",$D4465=""),"",IF($D4465="Receita",$F4465,IF($D4465="Transferência",0,-$F4465)))</f>
        <v/>
      </c>
    </row>
    <row r="4466">
      <c r="A4466" s="73" t="n"/>
      <c r="B4466" s="74" t="n"/>
      <c r="C4466" s="74" t="n"/>
      <c r="D4466" s="75">
        <f>IF($C4466="","",IFERROR(INDEX(CAT_TIPO,MATCH($C4466,CAT_NOME,0)),"Sem categoria"))</f>
        <v/>
      </c>
      <c r="E4466" s="75">
        <f>IF($C4466="","",IFERROR(INDEX(CAT_GRUPO,MATCH($C4466,CAT_NOME,0)),"Sem categoria"))</f>
        <v/>
      </c>
      <c r="F4466" s="76" t="n"/>
      <c r="G4466" s="74" t="n"/>
      <c r="H4466" s="74" t="n"/>
      <c r="I4466" s="74" t="n"/>
      <c r="J4466" s="77" t="n"/>
      <c r="K4466" s="77" t="n"/>
      <c r="L4466" s="74" t="n"/>
      <c r="M4466" s="74" t="n"/>
      <c r="O4466" s="78">
        <f>IF($A4466="","",YEAR($A4466)*100+MONTH($A4466))</f>
        <v/>
      </c>
      <c r="P4466" s="79">
        <f>IF(OR($F4466="",$D4466=""),"",IF($D4466="Receita",$F4466,IF($D4466="Transferência",0,-$F4466)))</f>
        <v/>
      </c>
    </row>
    <row r="4467">
      <c r="A4467" s="73" t="n"/>
      <c r="B4467" s="74" t="n"/>
      <c r="C4467" s="74" t="n"/>
      <c r="D4467" s="75">
        <f>IF($C4467="","",IFERROR(INDEX(CAT_TIPO,MATCH($C4467,CAT_NOME,0)),"Sem categoria"))</f>
        <v/>
      </c>
      <c r="E4467" s="75">
        <f>IF($C4467="","",IFERROR(INDEX(CAT_GRUPO,MATCH($C4467,CAT_NOME,0)),"Sem categoria"))</f>
        <v/>
      </c>
      <c r="F4467" s="76" t="n"/>
      <c r="G4467" s="74" t="n"/>
      <c r="H4467" s="74" t="n"/>
      <c r="I4467" s="74" t="n"/>
      <c r="J4467" s="77" t="n"/>
      <c r="K4467" s="77" t="n"/>
      <c r="L4467" s="74" t="n"/>
      <c r="M4467" s="74" t="n"/>
      <c r="O4467" s="78">
        <f>IF($A4467="","",YEAR($A4467)*100+MONTH($A4467))</f>
        <v/>
      </c>
      <c r="P4467" s="79">
        <f>IF(OR($F4467="",$D4467=""),"",IF($D4467="Receita",$F4467,IF($D4467="Transferência",0,-$F4467)))</f>
        <v/>
      </c>
    </row>
    <row r="4468">
      <c r="A4468" s="73" t="n"/>
      <c r="B4468" s="74" t="n"/>
      <c r="C4468" s="74" t="n"/>
      <c r="D4468" s="75">
        <f>IF($C4468="","",IFERROR(INDEX(CAT_TIPO,MATCH($C4468,CAT_NOME,0)),"Sem categoria"))</f>
        <v/>
      </c>
      <c r="E4468" s="75">
        <f>IF($C4468="","",IFERROR(INDEX(CAT_GRUPO,MATCH($C4468,CAT_NOME,0)),"Sem categoria"))</f>
        <v/>
      </c>
      <c r="F4468" s="76" t="n"/>
      <c r="G4468" s="74" t="n"/>
      <c r="H4468" s="74" t="n"/>
      <c r="I4468" s="74" t="n"/>
      <c r="J4468" s="77" t="n"/>
      <c r="K4468" s="77" t="n"/>
      <c r="L4468" s="74" t="n"/>
      <c r="M4468" s="74" t="n"/>
      <c r="O4468" s="78">
        <f>IF($A4468="","",YEAR($A4468)*100+MONTH($A4468))</f>
        <v/>
      </c>
      <c r="P4468" s="79">
        <f>IF(OR($F4468="",$D4468=""),"",IF($D4468="Receita",$F4468,IF($D4468="Transferência",0,-$F4468)))</f>
        <v/>
      </c>
    </row>
    <row r="4469">
      <c r="A4469" s="73" t="n"/>
      <c r="B4469" s="74" t="n"/>
      <c r="C4469" s="74" t="n"/>
      <c r="D4469" s="75">
        <f>IF($C4469="","",IFERROR(INDEX(CAT_TIPO,MATCH($C4469,CAT_NOME,0)),"Sem categoria"))</f>
        <v/>
      </c>
      <c r="E4469" s="75">
        <f>IF($C4469="","",IFERROR(INDEX(CAT_GRUPO,MATCH($C4469,CAT_NOME,0)),"Sem categoria"))</f>
        <v/>
      </c>
      <c r="F4469" s="76" t="n"/>
      <c r="G4469" s="74" t="n"/>
      <c r="H4469" s="74" t="n"/>
      <c r="I4469" s="74" t="n"/>
      <c r="J4469" s="77" t="n"/>
      <c r="K4469" s="77" t="n"/>
      <c r="L4469" s="74" t="n"/>
      <c r="M4469" s="74" t="n"/>
      <c r="O4469" s="78">
        <f>IF($A4469="","",YEAR($A4469)*100+MONTH($A4469))</f>
        <v/>
      </c>
      <c r="P4469" s="79">
        <f>IF(OR($F4469="",$D4469=""),"",IF($D4469="Receita",$F4469,IF($D4469="Transferência",0,-$F4469)))</f>
        <v/>
      </c>
    </row>
    <row r="4470">
      <c r="A4470" s="73" t="n"/>
      <c r="B4470" s="74" t="n"/>
      <c r="C4470" s="74" t="n"/>
      <c r="D4470" s="75">
        <f>IF($C4470="","",IFERROR(INDEX(CAT_TIPO,MATCH($C4470,CAT_NOME,0)),"Sem categoria"))</f>
        <v/>
      </c>
      <c r="E4470" s="75">
        <f>IF($C4470="","",IFERROR(INDEX(CAT_GRUPO,MATCH($C4470,CAT_NOME,0)),"Sem categoria"))</f>
        <v/>
      </c>
      <c r="F4470" s="76" t="n"/>
      <c r="G4470" s="74" t="n"/>
      <c r="H4470" s="74" t="n"/>
      <c r="I4470" s="74" t="n"/>
      <c r="J4470" s="77" t="n"/>
      <c r="K4470" s="77" t="n"/>
      <c r="L4470" s="74" t="n"/>
      <c r="M4470" s="74" t="n"/>
      <c r="O4470" s="78">
        <f>IF($A4470="","",YEAR($A4470)*100+MONTH($A4470))</f>
        <v/>
      </c>
      <c r="P4470" s="79">
        <f>IF(OR($F4470="",$D4470=""),"",IF($D4470="Receita",$F4470,IF($D4470="Transferência",0,-$F4470)))</f>
        <v/>
      </c>
    </row>
    <row r="4471">
      <c r="A4471" s="73" t="n"/>
      <c r="B4471" s="74" t="n"/>
      <c r="C4471" s="74" t="n"/>
      <c r="D4471" s="75">
        <f>IF($C4471="","",IFERROR(INDEX(CAT_TIPO,MATCH($C4471,CAT_NOME,0)),"Sem categoria"))</f>
        <v/>
      </c>
      <c r="E4471" s="75">
        <f>IF($C4471="","",IFERROR(INDEX(CAT_GRUPO,MATCH($C4471,CAT_NOME,0)),"Sem categoria"))</f>
        <v/>
      </c>
      <c r="F4471" s="76" t="n"/>
      <c r="G4471" s="74" t="n"/>
      <c r="H4471" s="74" t="n"/>
      <c r="I4471" s="74" t="n"/>
      <c r="J4471" s="77" t="n"/>
      <c r="K4471" s="77" t="n"/>
      <c r="L4471" s="74" t="n"/>
      <c r="M4471" s="74" t="n"/>
      <c r="O4471" s="78">
        <f>IF($A4471="","",YEAR($A4471)*100+MONTH($A4471))</f>
        <v/>
      </c>
      <c r="P4471" s="79">
        <f>IF(OR($F4471="",$D4471=""),"",IF($D4471="Receita",$F4471,IF($D4471="Transferência",0,-$F4471)))</f>
        <v/>
      </c>
    </row>
    <row r="4472">
      <c r="A4472" s="73" t="n"/>
      <c r="B4472" s="74" t="n"/>
      <c r="C4472" s="74" t="n"/>
      <c r="D4472" s="75">
        <f>IF($C4472="","",IFERROR(INDEX(CAT_TIPO,MATCH($C4472,CAT_NOME,0)),"Sem categoria"))</f>
        <v/>
      </c>
      <c r="E4472" s="75">
        <f>IF($C4472="","",IFERROR(INDEX(CAT_GRUPO,MATCH($C4472,CAT_NOME,0)),"Sem categoria"))</f>
        <v/>
      </c>
      <c r="F4472" s="76" t="n"/>
      <c r="G4472" s="74" t="n"/>
      <c r="H4472" s="74" t="n"/>
      <c r="I4472" s="74" t="n"/>
      <c r="J4472" s="77" t="n"/>
      <c r="K4472" s="77" t="n"/>
      <c r="L4472" s="74" t="n"/>
      <c r="M4472" s="74" t="n"/>
      <c r="O4472" s="78">
        <f>IF($A4472="","",YEAR($A4472)*100+MONTH($A4472))</f>
        <v/>
      </c>
      <c r="P4472" s="79">
        <f>IF(OR($F4472="",$D4472=""),"",IF($D4472="Receita",$F4472,IF($D4472="Transferência",0,-$F4472)))</f>
        <v/>
      </c>
    </row>
    <row r="4473">
      <c r="A4473" s="73" t="n"/>
      <c r="B4473" s="74" t="n"/>
      <c r="C4473" s="74" t="n"/>
      <c r="D4473" s="75">
        <f>IF($C4473="","",IFERROR(INDEX(CAT_TIPO,MATCH($C4473,CAT_NOME,0)),"Sem categoria"))</f>
        <v/>
      </c>
      <c r="E4473" s="75">
        <f>IF($C4473="","",IFERROR(INDEX(CAT_GRUPO,MATCH($C4473,CAT_NOME,0)),"Sem categoria"))</f>
        <v/>
      </c>
      <c r="F4473" s="76" t="n"/>
      <c r="G4473" s="74" t="n"/>
      <c r="H4473" s="74" t="n"/>
      <c r="I4473" s="74" t="n"/>
      <c r="J4473" s="77" t="n"/>
      <c r="K4473" s="77" t="n"/>
      <c r="L4473" s="74" t="n"/>
      <c r="M4473" s="74" t="n"/>
      <c r="O4473" s="78">
        <f>IF($A4473="","",YEAR($A4473)*100+MONTH($A4473))</f>
        <v/>
      </c>
      <c r="P4473" s="79">
        <f>IF(OR($F4473="",$D4473=""),"",IF($D4473="Receita",$F4473,IF($D4473="Transferência",0,-$F4473)))</f>
        <v/>
      </c>
    </row>
    <row r="4474">
      <c r="A4474" s="73" t="n"/>
      <c r="B4474" s="74" t="n"/>
      <c r="C4474" s="74" t="n"/>
      <c r="D4474" s="75">
        <f>IF($C4474="","",IFERROR(INDEX(CAT_TIPO,MATCH($C4474,CAT_NOME,0)),"Sem categoria"))</f>
        <v/>
      </c>
      <c r="E4474" s="75">
        <f>IF($C4474="","",IFERROR(INDEX(CAT_GRUPO,MATCH($C4474,CAT_NOME,0)),"Sem categoria"))</f>
        <v/>
      </c>
      <c r="F4474" s="76" t="n"/>
      <c r="G4474" s="74" t="n"/>
      <c r="H4474" s="74" t="n"/>
      <c r="I4474" s="74" t="n"/>
      <c r="J4474" s="77" t="n"/>
      <c r="K4474" s="77" t="n"/>
      <c r="L4474" s="74" t="n"/>
      <c r="M4474" s="74" t="n"/>
      <c r="O4474" s="78">
        <f>IF($A4474="","",YEAR($A4474)*100+MONTH($A4474))</f>
        <v/>
      </c>
      <c r="P4474" s="79">
        <f>IF(OR($F4474="",$D4474=""),"",IF($D4474="Receita",$F4474,IF($D4474="Transferência",0,-$F4474)))</f>
        <v/>
      </c>
    </row>
    <row r="4475">
      <c r="A4475" s="73" t="n"/>
      <c r="B4475" s="74" t="n"/>
      <c r="C4475" s="74" t="n"/>
      <c r="D4475" s="75">
        <f>IF($C4475="","",IFERROR(INDEX(CAT_TIPO,MATCH($C4475,CAT_NOME,0)),"Sem categoria"))</f>
        <v/>
      </c>
      <c r="E4475" s="75">
        <f>IF($C4475="","",IFERROR(INDEX(CAT_GRUPO,MATCH($C4475,CAT_NOME,0)),"Sem categoria"))</f>
        <v/>
      </c>
      <c r="F4475" s="76" t="n"/>
      <c r="G4475" s="74" t="n"/>
      <c r="H4475" s="74" t="n"/>
      <c r="I4475" s="74" t="n"/>
      <c r="J4475" s="77" t="n"/>
      <c r="K4475" s="77" t="n"/>
      <c r="L4475" s="74" t="n"/>
      <c r="M4475" s="74" t="n"/>
      <c r="O4475" s="78">
        <f>IF($A4475="","",YEAR($A4475)*100+MONTH($A4475))</f>
        <v/>
      </c>
      <c r="P4475" s="79">
        <f>IF(OR($F4475="",$D4475=""),"",IF($D4475="Receita",$F4475,IF($D4475="Transferência",0,-$F4475)))</f>
        <v/>
      </c>
    </row>
    <row r="4476">
      <c r="A4476" s="73" t="n"/>
      <c r="B4476" s="74" t="n"/>
      <c r="C4476" s="74" t="n"/>
      <c r="D4476" s="75">
        <f>IF($C4476="","",IFERROR(INDEX(CAT_TIPO,MATCH($C4476,CAT_NOME,0)),"Sem categoria"))</f>
        <v/>
      </c>
      <c r="E4476" s="75">
        <f>IF($C4476="","",IFERROR(INDEX(CAT_GRUPO,MATCH($C4476,CAT_NOME,0)),"Sem categoria"))</f>
        <v/>
      </c>
      <c r="F4476" s="76" t="n"/>
      <c r="G4476" s="74" t="n"/>
      <c r="H4476" s="74" t="n"/>
      <c r="I4476" s="74" t="n"/>
      <c r="J4476" s="77" t="n"/>
      <c r="K4476" s="77" t="n"/>
      <c r="L4476" s="74" t="n"/>
      <c r="M4476" s="74" t="n"/>
      <c r="O4476" s="78">
        <f>IF($A4476="","",YEAR($A4476)*100+MONTH($A4476))</f>
        <v/>
      </c>
      <c r="P4476" s="79">
        <f>IF(OR($F4476="",$D4476=""),"",IF($D4476="Receita",$F4476,IF($D4476="Transferência",0,-$F4476)))</f>
        <v/>
      </c>
    </row>
    <row r="4477">
      <c r="A4477" s="73" t="n"/>
      <c r="B4477" s="74" t="n"/>
      <c r="C4477" s="74" t="n"/>
      <c r="D4477" s="75">
        <f>IF($C4477="","",IFERROR(INDEX(CAT_TIPO,MATCH($C4477,CAT_NOME,0)),"Sem categoria"))</f>
        <v/>
      </c>
      <c r="E4477" s="75">
        <f>IF($C4477="","",IFERROR(INDEX(CAT_GRUPO,MATCH($C4477,CAT_NOME,0)),"Sem categoria"))</f>
        <v/>
      </c>
      <c r="F4477" s="76" t="n"/>
      <c r="G4477" s="74" t="n"/>
      <c r="H4477" s="74" t="n"/>
      <c r="I4477" s="74" t="n"/>
      <c r="J4477" s="77" t="n"/>
      <c r="K4477" s="77" t="n"/>
      <c r="L4477" s="74" t="n"/>
      <c r="M4477" s="74" t="n"/>
      <c r="O4477" s="78">
        <f>IF($A4477="","",YEAR($A4477)*100+MONTH($A4477))</f>
        <v/>
      </c>
      <c r="P4477" s="79">
        <f>IF(OR($F4477="",$D4477=""),"",IF($D4477="Receita",$F4477,IF($D4477="Transferência",0,-$F4477)))</f>
        <v/>
      </c>
    </row>
    <row r="4478">
      <c r="A4478" s="73" t="n"/>
      <c r="B4478" s="74" t="n"/>
      <c r="C4478" s="74" t="n"/>
      <c r="D4478" s="75">
        <f>IF($C4478="","",IFERROR(INDEX(CAT_TIPO,MATCH($C4478,CAT_NOME,0)),"Sem categoria"))</f>
        <v/>
      </c>
      <c r="E4478" s="75">
        <f>IF($C4478="","",IFERROR(INDEX(CAT_GRUPO,MATCH($C4478,CAT_NOME,0)),"Sem categoria"))</f>
        <v/>
      </c>
      <c r="F4478" s="76" t="n"/>
      <c r="G4478" s="74" t="n"/>
      <c r="H4478" s="74" t="n"/>
      <c r="I4478" s="74" t="n"/>
      <c r="J4478" s="77" t="n"/>
      <c r="K4478" s="77" t="n"/>
      <c r="L4478" s="74" t="n"/>
      <c r="M4478" s="74" t="n"/>
      <c r="O4478" s="78">
        <f>IF($A4478="","",YEAR($A4478)*100+MONTH($A4478))</f>
        <v/>
      </c>
      <c r="P4478" s="79">
        <f>IF(OR($F4478="",$D4478=""),"",IF($D4478="Receita",$F4478,IF($D4478="Transferência",0,-$F4478)))</f>
        <v/>
      </c>
    </row>
    <row r="4479">
      <c r="A4479" s="73" t="n"/>
      <c r="B4479" s="74" t="n"/>
      <c r="C4479" s="74" t="n"/>
      <c r="D4479" s="75">
        <f>IF($C4479="","",IFERROR(INDEX(CAT_TIPO,MATCH($C4479,CAT_NOME,0)),"Sem categoria"))</f>
        <v/>
      </c>
      <c r="E4479" s="75">
        <f>IF($C4479="","",IFERROR(INDEX(CAT_GRUPO,MATCH($C4479,CAT_NOME,0)),"Sem categoria"))</f>
        <v/>
      </c>
      <c r="F4479" s="76" t="n"/>
      <c r="G4479" s="74" t="n"/>
      <c r="H4479" s="74" t="n"/>
      <c r="I4479" s="74" t="n"/>
      <c r="J4479" s="77" t="n"/>
      <c r="K4479" s="77" t="n"/>
      <c r="L4479" s="74" t="n"/>
      <c r="M4479" s="74" t="n"/>
      <c r="O4479" s="78">
        <f>IF($A4479="","",YEAR($A4479)*100+MONTH($A4479))</f>
        <v/>
      </c>
      <c r="P4479" s="79">
        <f>IF(OR($F4479="",$D4479=""),"",IF($D4479="Receita",$F4479,IF($D4479="Transferência",0,-$F4479)))</f>
        <v/>
      </c>
    </row>
    <row r="4480">
      <c r="A4480" s="73" t="n"/>
      <c r="B4480" s="74" t="n"/>
      <c r="C4480" s="74" t="n"/>
      <c r="D4480" s="75">
        <f>IF($C4480="","",IFERROR(INDEX(CAT_TIPO,MATCH($C4480,CAT_NOME,0)),"Sem categoria"))</f>
        <v/>
      </c>
      <c r="E4480" s="75">
        <f>IF($C4480="","",IFERROR(INDEX(CAT_GRUPO,MATCH($C4480,CAT_NOME,0)),"Sem categoria"))</f>
        <v/>
      </c>
      <c r="F4480" s="76" t="n"/>
      <c r="G4480" s="74" t="n"/>
      <c r="H4480" s="74" t="n"/>
      <c r="I4480" s="74" t="n"/>
      <c r="J4480" s="77" t="n"/>
      <c r="K4480" s="77" t="n"/>
      <c r="L4480" s="74" t="n"/>
      <c r="M4480" s="74" t="n"/>
      <c r="O4480" s="78">
        <f>IF($A4480="","",YEAR($A4480)*100+MONTH($A4480))</f>
        <v/>
      </c>
      <c r="P4480" s="79">
        <f>IF(OR($F4480="",$D4480=""),"",IF($D4480="Receita",$F4480,IF($D4480="Transferência",0,-$F4480)))</f>
        <v/>
      </c>
    </row>
    <row r="4481">
      <c r="A4481" s="73" t="n"/>
      <c r="B4481" s="74" t="n"/>
      <c r="C4481" s="74" t="n"/>
      <c r="D4481" s="75">
        <f>IF($C4481="","",IFERROR(INDEX(CAT_TIPO,MATCH($C4481,CAT_NOME,0)),"Sem categoria"))</f>
        <v/>
      </c>
      <c r="E4481" s="75">
        <f>IF($C4481="","",IFERROR(INDEX(CAT_GRUPO,MATCH($C4481,CAT_NOME,0)),"Sem categoria"))</f>
        <v/>
      </c>
      <c r="F4481" s="76" t="n"/>
      <c r="G4481" s="74" t="n"/>
      <c r="H4481" s="74" t="n"/>
      <c r="I4481" s="74" t="n"/>
      <c r="J4481" s="77" t="n"/>
      <c r="K4481" s="77" t="n"/>
      <c r="L4481" s="74" t="n"/>
      <c r="M4481" s="74" t="n"/>
      <c r="O4481" s="78">
        <f>IF($A4481="","",YEAR($A4481)*100+MONTH($A4481))</f>
        <v/>
      </c>
      <c r="P4481" s="79">
        <f>IF(OR($F4481="",$D4481=""),"",IF($D4481="Receita",$F4481,IF($D4481="Transferência",0,-$F4481)))</f>
        <v/>
      </c>
    </row>
    <row r="4482">
      <c r="A4482" s="73" t="n"/>
      <c r="B4482" s="74" t="n"/>
      <c r="C4482" s="74" t="n"/>
      <c r="D4482" s="75">
        <f>IF($C4482="","",IFERROR(INDEX(CAT_TIPO,MATCH($C4482,CAT_NOME,0)),"Sem categoria"))</f>
        <v/>
      </c>
      <c r="E4482" s="75">
        <f>IF($C4482="","",IFERROR(INDEX(CAT_GRUPO,MATCH($C4482,CAT_NOME,0)),"Sem categoria"))</f>
        <v/>
      </c>
      <c r="F4482" s="76" t="n"/>
      <c r="G4482" s="74" t="n"/>
      <c r="H4482" s="74" t="n"/>
      <c r="I4482" s="74" t="n"/>
      <c r="J4482" s="77" t="n"/>
      <c r="K4482" s="77" t="n"/>
      <c r="L4482" s="74" t="n"/>
      <c r="M4482" s="74" t="n"/>
      <c r="O4482" s="78">
        <f>IF($A4482="","",YEAR($A4482)*100+MONTH($A4482))</f>
        <v/>
      </c>
      <c r="P4482" s="79">
        <f>IF(OR($F4482="",$D4482=""),"",IF($D4482="Receita",$F4482,IF($D4482="Transferência",0,-$F4482)))</f>
        <v/>
      </c>
    </row>
    <row r="4483">
      <c r="A4483" s="73" t="n"/>
      <c r="B4483" s="74" t="n"/>
      <c r="C4483" s="74" t="n"/>
      <c r="D4483" s="75">
        <f>IF($C4483="","",IFERROR(INDEX(CAT_TIPO,MATCH($C4483,CAT_NOME,0)),"Sem categoria"))</f>
        <v/>
      </c>
      <c r="E4483" s="75">
        <f>IF($C4483="","",IFERROR(INDEX(CAT_GRUPO,MATCH($C4483,CAT_NOME,0)),"Sem categoria"))</f>
        <v/>
      </c>
      <c r="F4483" s="76" t="n"/>
      <c r="G4483" s="74" t="n"/>
      <c r="H4483" s="74" t="n"/>
      <c r="I4483" s="74" t="n"/>
      <c r="J4483" s="77" t="n"/>
      <c r="K4483" s="77" t="n"/>
      <c r="L4483" s="74" t="n"/>
      <c r="M4483" s="74" t="n"/>
      <c r="O4483" s="78">
        <f>IF($A4483="","",YEAR($A4483)*100+MONTH($A4483))</f>
        <v/>
      </c>
      <c r="P4483" s="79">
        <f>IF(OR($F4483="",$D4483=""),"",IF($D4483="Receita",$F4483,IF($D4483="Transferência",0,-$F4483)))</f>
        <v/>
      </c>
    </row>
    <row r="4484">
      <c r="A4484" s="73" t="n"/>
      <c r="B4484" s="74" t="n"/>
      <c r="C4484" s="74" t="n"/>
      <c r="D4484" s="75">
        <f>IF($C4484="","",IFERROR(INDEX(CAT_TIPO,MATCH($C4484,CAT_NOME,0)),"Sem categoria"))</f>
        <v/>
      </c>
      <c r="E4484" s="75">
        <f>IF($C4484="","",IFERROR(INDEX(CAT_GRUPO,MATCH($C4484,CAT_NOME,0)),"Sem categoria"))</f>
        <v/>
      </c>
      <c r="F4484" s="76" t="n"/>
      <c r="G4484" s="74" t="n"/>
      <c r="H4484" s="74" t="n"/>
      <c r="I4484" s="74" t="n"/>
      <c r="J4484" s="77" t="n"/>
      <c r="K4484" s="77" t="n"/>
      <c r="L4484" s="74" t="n"/>
      <c r="M4484" s="74" t="n"/>
      <c r="O4484" s="78">
        <f>IF($A4484="","",YEAR($A4484)*100+MONTH($A4484))</f>
        <v/>
      </c>
      <c r="P4484" s="79">
        <f>IF(OR($F4484="",$D4484=""),"",IF($D4484="Receita",$F4484,IF($D4484="Transferência",0,-$F4484)))</f>
        <v/>
      </c>
    </row>
    <row r="4485">
      <c r="A4485" s="73" t="n"/>
      <c r="B4485" s="74" t="n"/>
      <c r="C4485" s="74" t="n"/>
      <c r="D4485" s="75">
        <f>IF($C4485="","",IFERROR(INDEX(CAT_TIPO,MATCH($C4485,CAT_NOME,0)),"Sem categoria"))</f>
        <v/>
      </c>
      <c r="E4485" s="75">
        <f>IF($C4485="","",IFERROR(INDEX(CAT_GRUPO,MATCH($C4485,CAT_NOME,0)),"Sem categoria"))</f>
        <v/>
      </c>
      <c r="F4485" s="76" t="n"/>
      <c r="G4485" s="74" t="n"/>
      <c r="H4485" s="74" t="n"/>
      <c r="I4485" s="74" t="n"/>
      <c r="J4485" s="77" t="n"/>
      <c r="K4485" s="77" t="n"/>
      <c r="L4485" s="74" t="n"/>
      <c r="M4485" s="74" t="n"/>
      <c r="O4485" s="78">
        <f>IF($A4485="","",YEAR($A4485)*100+MONTH($A4485))</f>
        <v/>
      </c>
      <c r="P4485" s="79">
        <f>IF(OR($F4485="",$D4485=""),"",IF($D4485="Receita",$F4485,IF($D4485="Transferência",0,-$F4485)))</f>
        <v/>
      </c>
    </row>
    <row r="4486">
      <c r="A4486" s="73" t="n"/>
      <c r="B4486" s="74" t="n"/>
      <c r="C4486" s="74" t="n"/>
      <c r="D4486" s="75">
        <f>IF($C4486="","",IFERROR(INDEX(CAT_TIPO,MATCH($C4486,CAT_NOME,0)),"Sem categoria"))</f>
        <v/>
      </c>
      <c r="E4486" s="75">
        <f>IF($C4486="","",IFERROR(INDEX(CAT_GRUPO,MATCH($C4486,CAT_NOME,0)),"Sem categoria"))</f>
        <v/>
      </c>
      <c r="F4486" s="76" t="n"/>
      <c r="G4486" s="74" t="n"/>
      <c r="H4486" s="74" t="n"/>
      <c r="I4486" s="74" t="n"/>
      <c r="J4486" s="77" t="n"/>
      <c r="K4486" s="77" t="n"/>
      <c r="L4486" s="74" t="n"/>
      <c r="M4486" s="74" t="n"/>
      <c r="O4486" s="78">
        <f>IF($A4486="","",YEAR($A4486)*100+MONTH($A4486))</f>
        <v/>
      </c>
      <c r="P4486" s="79">
        <f>IF(OR($F4486="",$D4486=""),"",IF($D4486="Receita",$F4486,IF($D4486="Transferência",0,-$F4486)))</f>
        <v/>
      </c>
    </row>
    <row r="4487">
      <c r="A4487" s="73" t="n"/>
      <c r="B4487" s="74" t="n"/>
      <c r="C4487" s="74" t="n"/>
      <c r="D4487" s="75">
        <f>IF($C4487="","",IFERROR(INDEX(CAT_TIPO,MATCH($C4487,CAT_NOME,0)),"Sem categoria"))</f>
        <v/>
      </c>
      <c r="E4487" s="75">
        <f>IF($C4487="","",IFERROR(INDEX(CAT_GRUPO,MATCH($C4487,CAT_NOME,0)),"Sem categoria"))</f>
        <v/>
      </c>
      <c r="F4487" s="76" t="n"/>
      <c r="G4487" s="74" t="n"/>
      <c r="H4487" s="74" t="n"/>
      <c r="I4487" s="74" t="n"/>
      <c r="J4487" s="77" t="n"/>
      <c r="K4487" s="77" t="n"/>
      <c r="L4487" s="74" t="n"/>
      <c r="M4487" s="74" t="n"/>
      <c r="O4487" s="78">
        <f>IF($A4487="","",YEAR($A4487)*100+MONTH($A4487))</f>
        <v/>
      </c>
      <c r="P4487" s="79">
        <f>IF(OR($F4487="",$D4487=""),"",IF($D4487="Receita",$F4487,IF($D4487="Transferência",0,-$F4487)))</f>
        <v/>
      </c>
    </row>
    <row r="4488">
      <c r="A4488" s="73" t="n"/>
      <c r="B4488" s="74" t="n"/>
      <c r="C4488" s="74" t="n"/>
      <c r="D4488" s="75">
        <f>IF($C4488="","",IFERROR(INDEX(CAT_TIPO,MATCH($C4488,CAT_NOME,0)),"Sem categoria"))</f>
        <v/>
      </c>
      <c r="E4488" s="75">
        <f>IF($C4488="","",IFERROR(INDEX(CAT_GRUPO,MATCH($C4488,CAT_NOME,0)),"Sem categoria"))</f>
        <v/>
      </c>
      <c r="F4488" s="76" t="n"/>
      <c r="G4488" s="74" t="n"/>
      <c r="H4488" s="74" t="n"/>
      <c r="I4488" s="74" t="n"/>
      <c r="J4488" s="77" t="n"/>
      <c r="K4488" s="77" t="n"/>
      <c r="L4488" s="74" t="n"/>
      <c r="M4488" s="74" t="n"/>
      <c r="O4488" s="78">
        <f>IF($A4488="","",YEAR($A4488)*100+MONTH($A4488))</f>
        <v/>
      </c>
      <c r="P4488" s="79">
        <f>IF(OR($F4488="",$D4488=""),"",IF($D4488="Receita",$F4488,IF($D4488="Transferência",0,-$F4488)))</f>
        <v/>
      </c>
    </row>
    <row r="4489">
      <c r="A4489" s="73" t="n"/>
      <c r="B4489" s="74" t="n"/>
      <c r="C4489" s="74" t="n"/>
      <c r="D4489" s="75">
        <f>IF($C4489="","",IFERROR(INDEX(CAT_TIPO,MATCH($C4489,CAT_NOME,0)),"Sem categoria"))</f>
        <v/>
      </c>
      <c r="E4489" s="75">
        <f>IF($C4489="","",IFERROR(INDEX(CAT_GRUPO,MATCH($C4489,CAT_NOME,0)),"Sem categoria"))</f>
        <v/>
      </c>
      <c r="F4489" s="76" t="n"/>
      <c r="G4489" s="74" t="n"/>
      <c r="H4489" s="74" t="n"/>
      <c r="I4489" s="74" t="n"/>
      <c r="J4489" s="77" t="n"/>
      <c r="K4489" s="77" t="n"/>
      <c r="L4489" s="74" t="n"/>
      <c r="M4489" s="74" t="n"/>
      <c r="O4489" s="78">
        <f>IF($A4489="","",YEAR($A4489)*100+MONTH($A4489))</f>
        <v/>
      </c>
      <c r="P4489" s="79">
        <f>IF(OR($F4489="",$D4489=""),"",IF($D4489="Receita",$F4489,IF($D4489="Transferência",0,-$F4489)))</f>
        <v/>
      </c>
    </row>
    <row r="4490">
      <c r="A4490" s="73" t="n"/>
      <c r="B4490" s="74" t="n"/>
      <c r="C4490" s="74" t="n"/>
      <c r="D4490" s="75">
        <f>IF($C4490="","",IFERROR(INDEX(CAT_TIPO,MATCH($C4490,CAT_NOME,0)),"Sem categoria"))</f>
        <v/>
      </c>
      <c r="E4490" s="75">
        <f>IF($C4490="","",IFERROR(INDEX(CAT_GRUPO,MATCH($C4490,CAT_NOME,0)),"Sem categoria"))</f>
        <v/>
      </c>
      <c r="F4490" s="76" t="n"/>
      <c r="G4490" s="74" t="n"/>
      <c r="H4490" s="74" t="n"/>
      <c r="I4490" s="74" t="n"/>
      <c r="J4490" s="77" t="n"/>
      <c r="K4490" s="77" t="n"/>
      <c r="L4490" s="74" t="n"/>
      <c r="M4490" s="74" t="n"/>
      <c r="O4490" s="78">
        <f>IF($A4490="","",YEAR($A4490)*100+MONTH($A4490))</f>
        <v/>
      </c>
      <c r="P4490" s="79">
        <f>IF(OR($F4490="",$D4490=""),"",IF($D4490="Receita",$F4490,IF($D4490="Transferência",0,-$F4490)))</f>
        <v/>
      </c>
    </row>
    <row r="4491">
      <c r="A4491" s="73" t="n"/>
      <c r="B4491" s="74" t="n"/>
      <c r="C4491" s="74" t="n"/>
      <c r="D4491" s="75">
        <f>IF($C4491="","",IFERROR(INDEX(CAT_TIPO,MATCH($C4491,CAT_NOME,0)),"Sem categoria"))</f>
        <v/>
      </c>
      <c r="E4491" s="75">
        <f>IF($C4491="","",IFERROR(INDEX(CAT_GRUPO,MATCH($C4491,CAT_NOME,0)),"Sem categoria"))</f>
        <v/>
      </c>
      <c r="F4491" s="76" t="n"/>
      <c r="G4491" s="74" t="n"/>
      <c r="H4491" s="74" t="n"/>
      <c r="I4491" s="74" t="n"/>
      <c r="J4491" s="77" t="n"/>
      <c r="K4491" s="77" t="n"/>
      <c r="L4491" s="74" t="n"/>
      <c r="M4491" s="74" t="n"/>
      <c r="O4491" s="78">
        <f>IF($A4491="","",YEAR($A4491)*100+MONTH($A4491))</f>
        <v/>
      </c>
      <c r="P4491" s="79">
        <f>IF(OR($F4491="",$D4491=""),"",IF($D4491="Receita",$F4491,IF($D4491="Transferência",0,-$F4491)))</f>
        <v/>
      </c>
    </row>
    <row r="4492">
      <c r="A4492" s="73" t="n"/>
      <c r="B4492" s="74" t="n"/>
      <c r="C4492" s="74" t="n"/>
      <c r="D4492" s="75">
        <f>IF($C4492="","",IFERROR(INDEX(CAT_TIPO,MATCH($C4492,CAT_NOME,0)),"Sem categoria"))</f>
        <v/>
      </c>
      <c r="E4492" s="75">
        <f>IF($C4492="","",IFERROR(INDEX(CAT_GRUPO,MATCH($C4492,CAT_NOME,0)),"Sem categoria"))</f>
        <v/>
      </c>
      <c r="F4492" s="76" t="n"/>
      <c r="G4492" s="74" t="n"/>
      <c r="H4492" s="74" t="n"/>
      <c r="I4492" s="74" t="n"/>
      <c r="J4492" s="77" t="n"/>
      <c r="K4492" s="77" t="n"/>
      <c r="L4492" s="74" t="n"/>
      <c r="M4492" s="74" t="n"/>
      <c r="O4492" s="78">
        <f>IF($A4492="","",YEAR($A4492)*100+MONTH($A4492))</f>
        <v/>
      </c>
      <c r="P4492" s="79">
        <f>IF(OR($F4492="",$D4492=""),"",IF($D4492="Receita",$F4492,IF($D4492="Transferência",0,-$F4492)))</f>
        <v/>
      </c>
    </row>
    <row r="4493">
      <c r="A4493" s="73" t="n"/>
      <c r="B4493" s="74" t="n"/>
      <c r="C4493" s="74" t="n"/>
      <c r="D4493" s="75">
        <f>IF($C4493="","",IFERROR(INDEX(CAT_TIPO,MATCH($C4493,CAT_NOME,0)),"Sem categoria"))</f>
        <v/>
      </c>
      <c r="E4493" s="75">
        <f>IF($C4493="","",IFERROR(INDEX(CAT_GRUPO,MATCH($C4493,CAT_NOME,0)),"Sem categoria"))</f>
        <v/>
      </c>
      <c r="F4493" s="76" t="n"/>
      <c r="G4493" s="74" t="n"/>
      <c r="H4493" s="74" t="n"/>
      <c r="I4493" s="74" t="n"/>
      <c r="J4493" s="77" t="n"/>
      <c r="K4493" s="77" t="n"/>
      <c r="L4493" s="74" t="n"/>
      <c r="M4493" s="74" t="n"/>
      <c r="O4493" s="78">
        <f>IF($A4493="","",YEAR($A4493)*100+MONTH($A4493))</f>
        <v/>
      </c>
      <c r="P4493" s="79">
        <f>IF(OR($F4493="",$D4493=""),"",IF($D4493="Receita",$F4493,IF($D4493="Transferência",0,-$F4493)))</f>
        <v/>
      </c>
    </row>
    <row r="4494">
      <c r="A4494" s="73" t="n"/>
      <c r="B4494" s="74" t="n"/>
      <c r="C4494" s="74" t="n"/>
      <c r="D4494" s="75">
        <f>IF($C4494="","",IFERROR(INDEX(CAT_TIPO,MATCH($C4494,CAT_NOME,0)),"Sem categoria"))</f>
        <v/>
      </c>
      <c r="E4494" s="75">
        <f>IF($C4494="","",IFERROR(INDEX(CAT_GRUPO,MATCH($C4494,CAT_NOME,0)),"Sem categoria"))</f>
        <v/>
      </c>
      <c r="F4494" s="76" t="n"/>
      <c r="G4494" s="74" t="n"/>
      <c r="H4494" s="74" t="n"/>
      <c r="I4494" s="74" t="n"/>
      <c r="J4494" s="77" t="n"/>
      <c r="K4494" s="77" t="n"/>
      <c r="L4494" s="74" t="n"/>
      <c r="M4494" s="74" t="n"/>
      <c r="O4494" s="78">
        <f>IF($A4494="","",YEAR($A4494)*100+MONTH($A4494))</f>
        <v/>
      </c>
      <c r="P4494" s="79">
        <f>IF(OR($F4494="",$D4494=""),"",IF($D4494="Receita",$F4494,IF($D4494="Transferência",0,-$F4494)))</f>
        <v/>
      </c>
    </row>
    <row r="4495">
      <c r="A4495" s="73" t="n"/>
      <c r="B4495" s="74" t="n"/>
      <c r="C4495" s="74" t="n"/>
      <c r="D4495" s="75">
        <f>IF($C4495="","",IFERROR(INDEX(CAT_TIPO,MATCH($C4495,CAT_NOME,0)),"Sem categoria"))</f>
        <v/>
      </c>
      <c r="E4495" s="75">
        <f>IF($C4495="","",IFERROR(INDEX(CAT_GRUPO,MATCH($C4495,CAT_NOME,0)),"Sem categoria"))</f>
        <v/>
      </c>
      <c r="F4495" s="76" t="n"/>
      <c r="G4495" s="74" t="n"/>
      <c r="H4495" s="74" t="n"/>
      <c r="I4495" s="74" t="n"/>
      <c r="J4495" s="77" t="n"/>
      <c r="K4495" s="77" t="n"/>
      <c r="L4495" s="74" t="n"/>
      <c r="M4495" s="74" t="n"/>
      <c r="O4495" s="78">
        <f>IF($A4495="","",YEAR($A4495)*100+MONTH($A4495))</f>
        <v/>
      </c>
      <c r="P4495" s="79">
        <f>IF(OR($F4495="",$D4495=""),"",IF($D4495="Receita",$F4495,IF($D4495="Transferência",0,-$F4495)))</f>
        <v/>
      </c>
    </row>
    <row r="4496">
      <c r="A4496" s="73" t="n"/>
      <c r="B4496" s="74" t="n"/>
      <c r="C4496" s="74" t="n"/>
      <c r="D4496" s="75">
        <f>IF($C4496="","",IFERROR(INDEX(CAT_TIPO,MATCH($C4496,CAT_NOME,0)),"Sem categoria"))</f>
        <v/>
      </c>
      <c r="E4496" s="75">
        <f>IF($C4496="","",IFERROR(INDEX(CAT_GRUPO,MATCH($C4496,CAT_NOME,0)),"Sem categoria"))</f>
        <v/>
      </c>
      <c r="F4496" s="76" t="n"/>
      <c r="G4496" s="74" t="n"/>
      <c r="H4496" s="74" t="n"/>
      <c r="I4496" s="74" t="n"/>
      <c r="J4496" s="77" t="n"/>
      <c r="K4496" s="77" t="n"/>
      <c r="L4496" s="74" t="n"/>
      <c r="M4496" s="74" t="n"/>
      <c r="O4496" s="78">
        <f>IF($A4496="","",YEAR($A4496)*100+MONTH($A4496))</f>
        <v/>
      </c>
      <c r="P4496" s="79">
        <f>IF(OR($F4496="",$D4496=""),"",IF($D4496="Receita",$F4496,IF($D4496="Transferência",0,-$F4496)))</f>
        <v/>
      </c>
    </row>
    <row r="4497">
      <c r="A4497" s="73" t="n"/>
      <c r="B4497" s="74" t="n"/>
      <c r="C4497" s="74" t="n"/>
      <c r="D4497" s="75">
        <f>IF($C4497="","",IFERROR(INDEX(CAT_TIPO,MATCH($C4497,CAT_NOME,0)),"Sem categoria"))</f>
        <v/>
      </c>
      <c r="E4497" s="75">
        <f>IF($C4497="","",IFERROR(INDEX(CAT_GRUPO,MATCH($C4497,CAT_NOME,0)),"Sem categoria"))</f>
        <v/>
      </c>
      <c r="F4497" s="76" t="n"/>
      <c r="G4497" s="74" t="n"/>
      <c r="H4497" s="74" t="n"/>
      <c r="I4497" s="74" t="n"/>
      <c r="J4497" s="77" t="n"/>
      <c r="K4497" s="77" t="n"/>
      <c r="L4497" s="74" t="n"/>
      <c r="M4497" s="74" t="n"/>
      <c r="O4497" s="78">
        <f>IF($A4497="","",YEAR($A4497)*100+MONTH($A4497))</f>
        <v/>
      </c>
      <c r="P4497" s="79">
        <f>IF(OR($F4497="",$D4497=""),"",IF($D4497="Receita",$F4497,IF($D4497="Transferência",0,-$F4497)))</f>
        <v/>
      </c>
    </row>
    <row r="4498">
      <c r="A4498" s="73" t="n"/>
      <c r="B4498" s="74" t="n"/>
      <c r="C4498" s="74" t="n"/>
      <c r="D4498" s="75">
        <f>IF($C4498="","",IFERROR(INDEX(CAT_TIPO,MATCH($C4498,CAT_NOME,0)),"Sem categoria"))</f>
        <v/>
      </c>
      <c r="E4498" s="75">
        <f>IF($C4498="","",IFERROR(INDEX(CAT_GRUPO,MATCH($C4498,CAT_NOME,0)),"Sem categoria"))</f>
        <v/>
      </c>
      <c r="F4498" s="76" t="n"/>
      <c r="G4498" s="74" t="n"/>
      <c r="H4498" s="74" t="n"/>
      <c r="I4498" s="74" t="n"/>
      <c r="J4498" s="77" t="n"/>
      <c r="K4498" s="77" t="n"/>
      <c r="L4498" s="74" t="n"/>
      <c r="M4498" s="74" t="n"/>
      <c r="O4498" s="78">
        <f>IF($A4498="","",YEAR($A4498)*100+MONTH($A4498))</f>
        <v/>
      </c>
      <c r="P4498" s="79">
        <f>IF(OR($F4498="",$D4498=""),"",IF($D4498="Receita",$F4498,IF($D4498="Transferência",0,-$F4498)))</f>
        <v/>
      </c>
    </row>
    <row r="4499">
      <c r="A4499" s="73" t="n"/>
      <c r="B4499" s="74" t="n"/>
      <c r="C4499" s="74" t="n"/>
      <c r="D4499" s="75">
        <f>IF($C4499="","",IFERROR(INDEX(CAT_TIPO,MATCH($C4499,CAT_NOME,0)),"Sem categoria"))</f>
        <v/>
      </c>
      <c r="E4499" s="75">
        <f>IF($C4499="","",IFERROR(INDEX(CAT_GRUPO,MATCH($C4499,CAT_NOME,0)),"Sem categoria"))</f>
        <v/>
      </c>
      <c r="F4499" s="76" t="n"/>
      <c r="G4499" s="74" t="n"/>
      <c r="H4499" s="74" t="n"/>
      <c r="I4499" s="74" t="n"/>
      <c r="J4499" s="77" t="n"/>
      <c r="K4499" s="77" t="n"/>
      <c r="L4499" s="74" t="n"/>
      <c r="M4499" s="74" t="n"/>
      <c r="O4499" s="78">
        <f>IF($A4499="","",YEAR($A4499)*100+MONTH($A4499))</f>
        <v/>
      </c>
      <c r="P4499" s="79">
        <f>IF(OR($F4499="",$D4499=""),"",IF($D4499="Receita",$F4499,IF($D4499="Transferência",0,-$F4499)))</f>
        <v/>
      </c>
    </row>
    <row r="4500">
      <c r="A4500" s="73" t="n"/>
      <c r="B4500" s="74" t="n"/>
      <c r="C4500" s="74" t="n"/>
      <c r="D4500" s="75">
        <f>IF($C4500="","",IFERROR(INDEX(CAT_TIPO,MATCH($C4500,CAT_NOME,0)),"Sem categoria"))</f>
        <v/>
      </c>
      <c r="E4500" s="75">
        <f>IF($C4500="","",IFERROR(INDEX(CAT_GRUPO,MATCH($C4500,CAT_NOME,0)),"Sem categoria"))</f>
        <v/>
      </c>
      <c r="F4500" s="76" t="n"/>
      <c r="G4500" s="74" t="n"/>
      <c r="H4500" s="74" t="n"/>
      <c r="I4500" s="74" t="n"/>
      <c r="J4500" s="77" t="n"/>
      <c r="K4500" s="77" t="n"/>
      <c r="L4500" s="74" t="n"/>
      <c r="M4500" s="74" t="n"/>
      <c r="O4500" s="78">
        <f>IF($A4500="","",YEAR($A4500)*100+MONTH($A4500))</f>
        <v/>
      </c>
      <c r="P4500" s="79">
        <f>IF(OR($F4500="",$D4500=""),"",IF($D4500="Receita",$F4500,IF($D4500="Transferência",0,-$F4500)))</f>
        <v/>
      </c>
    </row>
    <row r="4501">
      <c r="A4501" s="73" t="n"/>
      <c r="B4501" s="74" t="n"/>
      <c r="C4501" s="74" t="n"/>
      <c r="D4501" s="75">
        <f>IF($C4501="","",IFERROR(INDEX(CAT_TIPO,MATCH($C4501,CAT_NOME,0)),"Sem categoria"))</f>
        <v/>
      </c>
      <c r="E4501" s="75">
        <f>IF($C4501="","",IFERROR(INDEX(CAT_GRUPO,MATCH($C4501,CAT_NOME,0)),"Sem categoria"))</f>
        <v/>
      </c>
      <c r="F4501" s="76" t="n"/>
      <c r="G4501" s="74" t="n"/>
      <c r="H4501" s="74" t="n"/>
      <c r="I4501" s="74" t="n"/>
      <c r="J4501" s="77" t="n"/>
      <c r="K4501" s="77" t="n"/>
      <c r="L4501" s="74" t="n"/>
      <c r="M4501" s="74" t="n"/>
      <c r="O4501" s="78">
        <f>IF($A4501="","",YEAR($A4501)*100+MONTH($A4501))</f>
        <v/>
      </c>
      <c r="P4501" s="79">
        <f>IF(OR($F4501="",$D4501=""),"",IF($D4501="Receita",$F4501,IF($D4501="Transferência",0,-$F4501)))</f>
        <v/>
      </c>
    </row>
    <row r="4502">
      <c r="A4502" s="73" t="n"/>
      <c r="B4502" s="74" t="n"/>
      <c r="C4502" s="74" t="n"/>
      <c r="D4502" s="75">
        <f>IF($C4502="","",IFERROR(INDEX(CAT_TIPO,MATCH($C4502,CAT_NOME,0)),"Sem categoria"))</f>
        <v/>
      </c>
      <c r="E4502" s="75">
        <f>IF($C4502="","",IFERROR(INDEX(CAT_GRUPO,MATCH($C4502,CAT_NOME,0)),"Sem categoria"))</f>
        <v/>
      </c>
      <c r="F4502" s="76" t="n"/>
      <c r="G4502" s="74" t="n"/>
      <c r="H4502" s="74" t="n"/>
      <c r="I4502" s="74" t="n"/>
      <c r="J4502" s="77" t="n"/>
      <c r="K4502" s="77" t="n"/>
      <c r="L4502" s="74" t="n"/>
      <c r="M4502" s="74" t="n"/>
      <c r="O4502" s="78">
        <f>IF($A4502="","",YEAR($A4502)*100+MONTH($A4502))</f>
        <v/>
      </c>
      <c r="P4502" s="79">
        <f>IF(OR($F4502="",$D4502=""),"",IF($D4502="Receita",$F4502,IF($D4502="Transferência",0,-$F4502)))</f>
        <v/>
      </c>
    </row>
    <row r="4503">
      <c r="A4503" s="73" t="n"/>
      <c r="B4503" s="74" t="n"/>
      <c r="C4503" s="74" t="n"/>
      <c r="D4503" s="75">
        <f>IF($C4503="","",IFERROR(INDEX(CAT_TIPO,MATCH($C4503,CAT_NOME,0)),"Sem categoria"))</f>
        <v/>
      </c>
      <c r="E4503" s="75">
        <f>IF($C4503="","",IFERROR(INDEX(CAT_GRUPO,MATCH($C4503,CAT_NOME,0)),"Sem categoria"))</f>
        <v/>
      </c>
      <c r="F4503" s="76" t="n"/>
      <c r="G4503" s="74" t="n"/>
      <c r="H4503" s="74" t="n"/>
      <c r="I4503" s="74" t="n"/>
      <c r="J4503" s="77" t="n"/>
      <c r="K4503" s="77" t="n"/>
      <c r="L4503" s="74" t="n"/>
      <c r="M4503" s="74" t="n"/>
      <c r="O4503" s="78">
        <f>IF($A4503="","",YEAR($A4503)*100+MONTH($A4503))</f>
        <v/>
      </c>
      <c r="P4503" s="79">
        <f>IF(OR($F4503="",$D4503=""),"",IF($D4503="Receita",$F4503,IF($D4503="Transferência",0,-$F4503)))</f>
        <v/>
      </c>
    </row>
    <row r="4504">
      <c r="A4504" s="73" t="n"/>
      <c r="B4504" s="74" t="n"/>
      <c r="C4504" s="74" t="n"/>
      <c r="D4504" s="75">
        <f>IF($C4504="","",IFERROR(INDEX(CAT_TIPO,MATCH($C4504,CAT_NOME,0)),"Sem categoria"))</f>
        <v/>
      </c>
      <c r="E4504" s="75">
        <f>IF($C4504="","",IFERROR(INDEX(CAT_GRUPO,MATCH($C4504,CAT_NOME,0)),"Sem categoria"))</f>
        <v/>
      </c>
      <c r="F4504" s="76" t="n"/>
      <c r="G4504" s="74" t="n"/>
      <c r="H4504" s="74" t="n"/>
      <c r="I4504" s="74" t="n"/>
      <c r="J4504" s="77" t="n"/>
      <c r="K4504" s="77" t="n"/>
      <c r="L4504" s="74" t="n"/>
      <c r="M4504" s="74" t="n"/>
      <c r="O4504" s="78">
        <f>IF($A4504="","",YEAR($A4504)*100+MONTH($A4504))</f>
        <v/>
      </c>
      <c r="P4504" s="79">
        <f>IF(OR($F4504="",$D4504=""),"",IF($D4504="Receita",$F4504,IF($D4504="Transferência",0,-$F4504)))</f>
        <v/>
      </c>
    </row>
    <row r="4505">
      <c r="A4505" s="73" t="n"/>
      <c r="B4505" s="74" t="n"/>
      <c r="C4505" s="74" t="n"/>
      <c r="D4505" s="75">
        <f>IF($C4505="","",IFERROR(INDEX(CAT_TIPO,MATCH($C4505,CAT_NOME,0)),"Sem categoria"))</f>
        <v/>
      </c>
      <c r="E4505" s="75">
        <f>IF($C4505="","",IFERROR(INDEX(CAT_GRUPO,MATCH($C4505,CAT_NOME,0)),"Sem categoria"))</f>
        <v/>
      </c>
      <c r="F4505" s="76" t="n"/>
      <c r="G4505" s="74" t="n"/>
      <c r="H4505" s="74" t="n"/>
      <c r="I4505" s="74" t="n"/>
      <c r="J4505" s="77" t="n"/>
      <c r="K4505" s="77" t="n"/>
      <c r="L4505" s="74" t="n"/>
      <c r="M4505" s="74" t="n"/>
      <c r="O4505" s="78">
        <f>IF($A4505="","",YEAR($A4505)*100+MONTH($A4505))</f>
        <v/>
      </c>
      <c r="P4505" s="79">
        <f>IF(OR($F4505="",$D4505=""),"",IF($D4505="Receita",$F4505,IF($D4505="Transferência",0,-$F4505)))</f>
        <v/>
      </c>
    </row>
    <row r="4506">
      <c r="A4506" s="73" t="n"/>
      <c r="B4506" s="74" t="n"/>
      <c r="C4506" s="74" t="n"/>
      <c r="D4506" s="75">
        <f>IF($C4506="","",IFERROR(INDEX(CAT_TIPO,MATCH($C4506,CAT_NOME,0)),"Sem categoria"))</f>
        <v/>
      </c>
      <c r="E4506" s="75">
        <f>IF($C4506="","",IFERROR(INDEX(CAT_GRUPO,MATCH($C4506,CAT_NOME,0)),"Sem categoria"))</f>
        <v/>
      </c>
      <c r="F4506" s="76" t="n"/>
      <c r="G4506" s="74" t="n"/>
      <c r="H4506" s="74" t="n"/>
      <c r="I4506" s="74" t="n"/>
      <c r="J4506" s="77" t="n"/>
      <c r="K4506" s="77" t="n"/>
      <c r="L4506" s="74" t="n"/>
      <c r="M4506" s="74" t="n"/>
      <c r="O4506" s="78">
        <f>IF($A4506="","",YEAR($A4506)*100+MONTH($A4506))</f>
        <v/>
      </c>
      <c r="P4506" s="79">
        <f>IF(OR($F4506="",$D4506=""),"",IF($D4506="Receita",$F4506,IF($D4506="Transferência",0,-$F4506)))</f>
        <v/>
      </c>
    </row>
    <row r="4507">
      <c r="A4507" s="73" t="n"/>
      <c r="B4507" s="74" t="n"/>
      <c r="C4507" s="74" t="n"/>
      <c r="D4507" s="75">
        <f>IF($C4507="","",IFERROR(INDEX(CAT_TIPO,MATCH($C4507,CAT_NOME,0)),"Sem categoria"))</f>
        <v/>
      </c>
      <c r="E4507" s="75">
        <f>IF($C4507="","",IFERROR(INDEX(CAT_GRUPO,MATCH($C4507,CAT_NOME,0)),"Sem categoria"))</f>
        <v/>
      </c>
      <c r="F4507" s="76" t="n"/>
      <c r="G4507" s="74" t="n"/>
      <c r="H4507" s="74" t="n"/>
      <c r="I4507" s="74" t="n"/>
      <c r="J4507" s="77" t="n"/>
      <c r="K4507" s="77" t="n"/>
      <c r="L4507" s="74" t="n"/>
      <c r="M4507" s="74" t="n"/>
      <c r="O4507" s="78">
        <f>IF($A4507="","",YEAR($A4507)*100+MONTH($A4507))</f>
        <v/>
      </c>
      <c r="P4507" s="79">
        <f>IF(OR($F4507="",$D4507=""),"",IF($D4507="Receita",$F4507,IF($D4507="Transferência",0,-$F4507)))</f>
        <v/>
      </c>
    </row>
    <row r="4508">
      <c r="A4508" s="73" t="n"/>
      <c r="B4508" s="74" t="n"/>
      <c r="C4508" s="74" t="n"/>
      <c r="D4508" s="75">
        <f>IF($C4508="","",IFERROR(INDEX(CAT_TIPO,MATCH($C4508,CAT_NOME,0)),"Sem categoria"))</f>
        <v/>
      </c>
      <c r="E4508" s="75">
        <f>IF($C4508="","",IFERROR(INDEX(CAT_GRUPO,MATCH($C4508,CAT_NOME,0)),"Sem categoria"))</f>
        <v/>
      </c>
      <c r="F4508" s="76" t="n"/>
      <c r="G4508" s="74" t="n"/>
      <c r="H4508" s="74" t="n"/>
      <c r="I4508" s="74" t="n"/>
      <c r="J4508" s="77" t="n"/>
      <c r="K4508" s="77" t="n"/>
      <c r="L4508" s="74" t="n"/>
      <c r="M4508" s="74" t="n"/>
      <c r="O4508" s="78">
        <f>IF($A4508="","",YEAR($A4508)*100+MONTH($A4508))</f>
        <v/>
      </c>
      <c r="P4508" s="79">
        <f>IF(OR($F4508="",$D4508=""),"",IF($D4508="Receita",$F4508,IF($D4508="Transferência",0,-$F4508)))</f>
        <v/>
      </c>
    </row>
    <row r="4509">
      <c r="A4509" s="73" t="n"/>
      <c r="B4509" s="74" t="n"/>
      <c r="C4509" s="74" t="n"/>
      <c r="D4509" s="75">
        <f>IF($C4509="","",IFERROR(INDEX(CAT_TIPO,MATCH($C4509,CAT_NOME,0)),"Sem categoria"))</f>
        <v/>
      </c>
      <c r="E4509" s="75">
        <f>IF($C4509="","",IFERROR(INDEX(CAT_GRUPO,MATCH($C4509,CAT_NOME,0)),"Sem categoria"))</f>
        <v/>
      </c>
      <c r="F4509" s="76" t="n"/>
      <c r="G4509" s="74" t="n"/>
      <c r="H4509" s="74" t="n"/>
      <c r="I4509" s="74" t="n"/>
      <c r="J4509" s="77" t="n"/>
      <c r="K4509" s="77" t="n"/>
      <c r="L4509" s="74" t="n"/>
      <c r="M4509" s="74" t="n"/>
      <c r="O4509" s="78">
        <f>IF($A4509="","",YEAR($A4509)*100+MONTH($A4509))</f>
        <v/>
      </c>
      <c r="P4509" s="79">
        <f>IF(OR($F4509="",$D4509=""),"",IF($D4509="Receita",$F4509,IF($D4509="Transferência",0,-$F4509)))</f>
        <v/>
      </c>
    </row>
    <row r="4510">
      <c r="A4510" s="73" t="n"/>
      <c r="B4510" s="74" t="n"/>
      <c r="C4510" s="74" t="n"/>
      <c r="D4510" s="75">
        <f>IF($C4510="","",IFERROR(INDEX(CAT_TIPO,MATCH($C4510,CAT_NOME,0)),"Sem categoria"))</f>
        <v/>
      </c>
      <c r="E4510" s="75">
        <f>IF($C4510="","",IFERROR(INDEX(CAT_GRUPO,MATCH($C4510,CAT_NOME,0)),"Sem categoria"))</f>
        <v/>
      </c>
      <c r="F4510" s="76" t="n"/>
      <c r="G4510" s="74" t="n"/>
      <c r="H4510" s="74" t="n"/>
      <c r="I4510" s="74" t="n"/>
      <c r="J4510" s="77" t="n"/>
      <c r="K4510" s="77" t="n"/>
      <c r="L4510" s="74" t="n"/>
      <c r="M4510" s="74" t="n"/>
      <c r="O4510" s="78">
        <f>IF($A4510="","",YEAR($A4510)*100+MONTH($A4510))</f>
        <v/>
      </c>
      <c r="P4510" s="79">
        <f>IF(OR($F4510="",$D4510=""),"",IF($D4510="Receita",$F4510,IF($D4510="Transferência",0,-$F4510)))</f>
        <v/>
      </c>
    </row>
    <row r="4511">
      <c r="A4511" s="73" t="n"/>
      <c r="B4511" s="74" t="n"/>
      <c r="C4511" s="74" t="n"/>
      <c r="D4511" s="75">
        <f>IF($C4511="","",IFERROR(INDEX(CAT_TIPO,MATCH($C4511,CAT_NOME,0)),"Sem categoria"))</f>
        <v/>
      </c>
      <c r="E4511" s="75">
        <f>IF($C4511="","",IFERROR(INDEX(CAT_GRUPO,MATCH($C4511,CAT_NOME,0)),"Sem categoria"))</f>
        <v/>
      </c>
      <c r="F4511" s="76" t="n"/>
      <c r="G4511" s="74" t="n"/>
      <c r="H4511" s="74" t="n"/>
      <c r="I4511" s="74" t="n"/>
      <c r="J4511" s="77" t="n"/>
      <c r="K4511" s="77" t="n"/>
      <c r="L4511" s="74" t="n"/>
      <c r="M4511" s="74" t="n"/>
      <c r="O4511" s="78">
        <f>IF($A4511="","",YEAR($A4511)*100+MONTH($A4511))</f>
        <v/>
      </c>
      <c r="P4511" s="79">
        <f>IF(OR($F4511="",$D4511=""),"",IF($D4511="Receita",$F4511,IF($D4511="Transferência",0,-$F4511)))</f>
        <v/>
      </c>
    </row>
    <row r="4512">
      <c r="A4512" s="73" t="n"/>
      <c r="B4512" s="74" t="n"/>
      <c r="C4512" s="74" t="n"/>
      <c r="D4512" s="75">
        <f>IF($C4512="","",IFERROR(INDEX(CAT_TIPO,MATCH($C4512,CAT_NOME,0)),"Sem categoria"))</f>
        <v/>
      </c>
      <c r="E4512" s="75">
        <f>IF($C4512="","",IFERROR(INDEX(CAT_GRUPO,MATCH($C4512,CAT_NOME,0)),"Sem categoria"))</f>
        <v/>
      </c>
      <c r="F4512" s="76" t="n"/>
      <c r="G4512" s="74" t="n"/>
      <c r="H4512" s="74" t="n"/>
      <c r="I4512" s="74" t="n"/>
      <c r="J4512" s="77" t="n"/>
      <c r="K4512" s="77" t="n"/>
      <c r="L4512" s="74" t="n"/>
      <c r="M4512" s="74" t="n"/>
      <c r="O4512" s="78">
        <f>IF($A4512="","",YEAR($A4512)*100+MONTH($A4512))</f>
        <v/>
      </c>
      <c r="P4512" s="79">
        <f>IF(OR($F4512="",$D4512=""),"",IF($D4512="Receita",$F4512,IF($D4512="Transferência",0,-$F4512)))</f>
        <v/>
      </c>
    </row>
    <row r="4513">
      <c r="A4513" s="73" t="n"/>
      <c r="B4513" s="74" t="n"/>
      <c r="C4513" s="74" t="n"/>
      <c r="D4513" s="75">
        <f>IF($C4513="","",IFERROR(INDEX(CAT_TIPO,MATCH($C4513,CAT_NOME,0)),"Sem categoria"))</f>
        <v/>
      </c>
      <c r="E4513" s="75">
        <f>IF($C4513="","",IFERROR(INDEX(CAT_GRUPO,MATCH($C4513,CAT_NOME,0)),"Sem categoria"))</f>
        <v/>
      </c>
      <c r="F4513" s="76" t="n"/>
      <c r="G4513" s="74" t="n"/>
      <c r="H4513" s="74" t="n"/>
      <c r="I4513" s="74" t="n"/>
      <c r="J4513" s="77" t="n"/>
      <c r="K4513" s="77" t="n"/>
      <c r="L4513" s="74" t="n"/>
      <c r="M4513" s="74" t="n"/>
      <c r="O4513" s="78">
        <f>IF($A4513="","",YEAR($A4513)*100+MONTH($A4513))</f>
        <v/>
      </c>
      <c r="P4513" s="79">
        <f>IF(OR($F4513="",$D4513=""),"",IF($D4513="Receita",$F4513,IF($D4513="Transferência",0,-$F4513)))</f>
        <v/>
      </c>
    </row>
    <row r="4514">
      <c r="A4514" s="73" t="n"/>
      <c r="B4514" s="74" t="n"/>
      <c r="C4514" s="74" t="n"/>
      <c r="D4514" s="75">
        <f>IF($C4514="","",IFERROR(INDEX(CAT_TIPO,MATCH($C4514,CAT_NOME,0)),"Sem categoria"))</f>
        <v/>
      </c>
      <c r="E4514" s="75">
        <f>IF($C4514="","",IFERROR(INDEX(CAT_GRUPO,MATCH($C4514,CAT_NOME,0)),"Sem categoria"))</f>
        <v/>
      </c>
      <c r="F4514" s="76" t="n"/>
      <c r="G4514" s="74" t="n"/>
      <c r="H4514" s="74" t="n"/>
      <c r="I4514" s="74" t="n"/>
      <c r="J4514" s="77" t="n"/>
      <c r="K4514" s="77" t="n"/>
      <c r="L4514" s="74" t="n"/>
      <c r="M4514" s="74" t="n"/>
      <c r="O4514" s="78">
        <f>IF($A4514="","",YEAR($A4514)*100+MONTH($A4514))</f>
        <v/>
      </c>
      <c r="P4514" s="79">
        <f>IF(OR($F4514="",$D4514=""),"",IF($D4514="Receita",$F4514,IF($D4514="Transferência",0,-$F4514)))</f>
        <v/>
      </c>
    </row>
    <row r="4515">
      <c r="A4515" s="73" t="n"/>
      <c r="B4515" s="74" t="n"/>
      <c r="C4515" s="74" t="n"/>
      <c r="D4515" s="75">
        <f>IF($C4515="","",IFERROR(INDEX(CAT_TIPO,MATCH($C4515,CAT_NOME,0)),"Sem categoria"))</f>
        <v/>
      </c>
      <c r="E4515" s="75">
        <f>IF($C4515="","",IFERROR(INDEX(CAT_GRUPO,MATCH($C4515,CAT_NOME,0)),"Sem categoria"))</f>
        <v/>
      </c>
      <c r="F4515" s="76" t="n"/>
      <c r="G4515" s="74" t="n"/>
      <c r="H4515" s="74" t="n"/>
      <c r="I4515" s="74" t="n"/>
      <c r="J4515" s="77" t="n"/>
      <c r="K4515" s="77" t="n"/>
      <c r="L4515" s="74" t="n"/>
      <c r="M4515" s="74" t="n"/>
      <c r="O4515" s="78">
        <f>IF($A4515="","",YEAR($A4515)*100+MONTH($A4515))</f>
        <v/>
      </c>
      <c r="P4515" s="79">
        <f>IF(OR($F4515="",$D4515=""),"",IF($D4515="Receita",$F4515,IF($D4515="Transferência",0,-$F4515)))</f>
        <v/>
      </c>
    </row>
    <row r="4516">
      <c r="A4516" s="73" t="n"/>
      <c r="B4516" s="74" t="n"/>
      <c r="C4516" s="74" t="n"/>
      <c r="D4516" s="75">
        <f>IF($C4516="","",IFERROR(INDEX(CAT_TIPO,MATCH($C4516,CAT_NOME,0)),"Sem categoria"))</f>
        <v/>
      </c>
      <c r="E4516" s="75">
        <f>IF($C4516="","",IFERROR(INDEX(CAT_GRUPO,MATCH($C4516,CAT_NOME,0)),"Sem categoria"))</f>
        <v/>
      </c>
      <c r="F4516" s="76" t="n"/>
      <c r="G4516" s="74" t="n"/>
      <c r="H4516" s="74" t="n"/>
      <c r="I4516" s="74" t="n"/>
      <c r="J4516" s="77" t="n"/>
      <c r="K4516" s="77" t="n"/>
      <c r="L4516" s="74" t="n"/>
      <c r="M4516" s="74" t="n"/>
      <c r="O4516" s="78">
        <f>IF($A4516="","",YEAR($A4516)*100+MONTH($A4516))</f>
        <v/>
      </c>
      <c r="P4516" s="79">
        <f>IF(OR($F4516="",$D4516=""),"",IF($D4516="Receita",$F4516,IF($D4516="Transferência",0,-$F4516)))</f>
        <v/>
      </c>
    </row>
    <row r="4517">
      <c r="A4517" s="73" t="n"/>
      <c r="B4517" s="74" t="n"/>
      <c r="C4517" s="74" t="n"/>
      <c r="D4517" s="75">
        <f>IF($C4517="","",IFERROR(INDEX(CAT_TIPO,MATCH($C4517,CAT_NOME,0)),"Sem categoria"))</f>
        <v/>
      </c>
      <c r="E4517" s="75">
        <f>IF($C4517="","",IFERROR(INDEX(CAT_GRUPO,MATCH($C4517,CAT_NOME,0)),"Sem categoria"))</f>
        <v/>
      </c>
      <c r="F4517" s="76" t="n"/>
      <c r="G4517" s="74" t="n"/>
      <c r="H4517" s="74" t="n"/>
      <c r="I4517" s="74" t="n"/>
      <c r="J4517" s="77" t="n"/>
      <c r="K4517" s="77" t="n"/>
      <c r="L4517" s="74" t="n"/>
      <c r="M4517" s="74" t="n"/>
      <c r="O4517" s="78">
        <f>IF($A4517="","",YEAR($A4517)*100+MONTH($A4517))</f>
        <v/>
      </c>
      <c r="P4517" s="79">
        <f>IF(OR($F4517="",$D4517=""),"",IF($D4517="Receita",$F4517,IF($D4517="Transferência",0,-$F4517)))</f>
        <v/>
      </c>
    </row>
    <row r="4518">
      <c r="A4518" s="73" t="n"/>
      <c r="B4518" s="74" t="n"/>
      <c r="C4518" s="74" t="n"/>
      <c r="D4518" s="75">
        <f>IF($C4518="","",IFERROR(INDEX(CAT_TIPO,MATCH($C4518,CAT_NOME,0)),"Sem categoria"))</f>
        <v/>
      </c>
      <c r="E4518" s="75">
        <f>IF($C4518="","",IFERROR(INDEX(CAT_GRUPO,MATCH($C4518,CAT_NOME,0)),"Sem categoria"))</f>
        <v/>
      </c>
      <c r="F4518" s="76" t="n"/>
      <c r="G4518" s="74" t="n"/>
      <c r="H4518" s="74" t="n"/>
      <c r="I4518" s="74" t="n"/>
      <c r="J4518" s="77" t="n"/>
      <c r="K4518" s="77" t="n"/>
      <c r="L4518" s="74" t="n"/>
      <c r="M4518" s="74" t="n"/>
      <c r="O4518" s="78">
        <f>IF($A4518="","",YEAR($A4518)*100+MONTH($A4518))</f>
        <v/>
      </c>
      <c r="P4518" s="79">
        <f>IF(OR($F4518="",$D4518=""),"",IF($D4518="Receita",$F4518,IF($D4518="Transferência",0,-$F4518)))</f>
        <v/>
      </c>
    </row>
    <row r="4519">
      <c r="A4519" s="73" t="n"/>
      <c r="B4519" s="74" t="n"/>
      <c r="C4519" s="74" t="n"/>
      <c r="D4519" s="75">
        <f>IF($C4519="","",IFERROR(INDEX(CAT_TIPO,MATCH($C4519,CAT_NOME,0)),"Sem categoria"))</f>
        <v/>
      </c>
      <c r="E4519" s="75">
        <f>IF($C4519="","",IFERROR(INDEX(CAT_GRUPO,MATCH($C4519,CAT_NOME,0)),"Sem categoria"))</f>
        <v/>
      </c>
      <c r="F4519" s="76" t="n"/>
      <c r="G4519" s="74" t="n"/>
      <c r="H4519" s="74" t="n"/>
      <c r="I4519" s="74" t="n"/>
      <c r="J4519" s="77" t="n"/>
      <c r="K4519" s="77" t="n"/>
      <c r="L4519" s="74" t="n"/>
      <c r="M4519" s="74" t="n"/>
      <c r="O4519" s="78">
        <f>IF($A4519="","",YEAR($A4519)*100+MONTH($A4519))</f>
        <v/>
      </c>
      <c r="P4519" s="79">
        <f>IF(OR($F4519="",$D4519=""),"",IF($D4519="Receita",$F4519,IF($D4519="Transferência",0,-$F4519)))</f>
        <v/>
      </c>
    </row>
    <row r="4520">
      <c r="A4520" s="73" t="n"/>
      <c r="B4520" s="74" t="n"/>
      <c r="C4520" s="74" t="n"/>
      <c r="D4520" s="75">
        <f>IF($C4520="","",IFERROR(INDEX(CAT_TIPO,MATCH($C4520,CAT_NOME,0)),"Sem categoria"))</f>
        <v/>
      </c>
      <c r="E4520" s="75">
        <f>IF($C4520="","",IFERROR(INDEX(CAT_GRUPO,MATCH($C4520,CAT_NOME,0)),"Sem categoria"))</f>
        <v/>
      </c>
      <c r="F4520" s="76" t="n"/>
      <c r="G4520" s="74" t="n"/>
      <c r="H4520" s="74" t="n"/>
      <c r="I4520" s="74" t="n"/>
      <c r="J4520" s="77" t="n"/>
      <c r="K4520" s="77" t="n"/>
      <c r="L4520" s="74" t="n"/>
      <c r="M4520" s="74" t="n"/>
      <c r="O4520" s="78">
        <f>IF($A4520="","",YEAR($A4520)*100+MONTH($A4520))</f>
        <v/>
      </c>
      <c r="P4520" s="79">
        <f>IF(OR($F4520="",$D4520=""),"",IF($D4520="Receita",$F4520,IF($D4520="Transferência",0,-$F4520)))</f>
        <v/>
      </c>
    </row>
    <row r="4521">
      <c r="A4521" s="73" t="n"/>
      <c r="B4521" s="74" t="n"/>
      <c r="C4521" s="74" t="n"/>
      <c r="D4521" s="75">
        <f>IF($C4521="","",IFERROR(INDEX(CAT_TIPO,MATCH($C4521,CAT_NOME,0)),"Sem categoria"))</f>
        <v/>
      </c>
      <c r="E4521" s="75">
        <f>IF($C4521="","",IFERROR(INDEX(CAT_GRUPO,MATCH($C4521,CAT_NOME,0)),"Sem categoria"))</f>
        <v/>
      </c>
      <c r="F4521" s="76" t="n"/>
      <c r="G4521" s="74" t="n"/>
      <c r="H4521" s="74" t="n"/>
      <c r="I4521" s="74" t="n"/>
      <c r="J4521" s="77" t="n"/>
      <c r="K4521" s="77" t="n"/>
      <c r="L4521" s="74" t="n"/>
      <c r="M4521" s="74" t="n"/>
      <c r="O4521" s="78">
        <f>IF($A4521="","",YEAR($A4521)*100+MONTH($A4521))</f>
        <v/>
      </c>
      <c r="P4521" s="79">
        <f>IF(OR($F4521="",$D4521=""),"",IF($D4521="Receita",$F4521,IF($D4521="Transferência",0,-$F4521)))</f>
        <v/>
      </c>
    </row>
    <row r="4522">
      <c r="A4522" s="73" t="n"/>
      <c r="B4522" s="74" t="n"/>
      <c r="C4522" s="74" t="n"/>
      <c r="D4522" s="75">
        <f>IF($C4522="","",IFERROR(INDEX(CAT_TIPO,MATCH($C4522,CAT_NOME,0)),"Sem categoria"))</f>
        <v/>
      </c>
      <c r="E4522" s="75">
        <f>IF($C4522="","",IFERROR(INDEX(CAT_GRUPO,MATCH($C4522,CAT_NOME,0)),"Sem categoria"))</f>
        <v/>
      </c>
      <c r="F4522" s="76" t="n"/>
      <c r="G4522" s="74" t="n"/>
      <c r="H4522" s="74" t="n"/>
      <c r="I4522" s="74" t="n"/>
      <c r="J4522" s="77" t="n"/>
      <c r="K4522" s="77" t="n"/>
      <c r="L4522" s="74" t="n"/>
      <c r="M4522" s="74" t="n"/>
      <c r="O4522" s="78">
        <f>IF($A4522="","",YEAR($A4522)*100+MONTH($A4522))</f>
        <v/>
      </c>
      <c r="P4522" s="79">
        <f>IF(OR($F4522="",$D4522=""),"",IF($D4522="Receita",$F4522,IF($D4522="Transferência",0,-$F4522)))</f>
        <v/>
      </c>
    </row>
    <row r="4523">
      <c r="A4523" s="73" t="n"/>
      <c r="B4523" s="74" t="n"/>
      <c r="C4523" s="74" t="n"/>
      <c r="D4523" s="75">
        <f>IF($C4523="","",IFERROR(INDEX(CAT_TIPO,MATCH($C4523,CAT_NOME,0)),"Sem categoria"))</f>
        <v/>
      </c>
      <c r="E4523" s="75">
        <f>IF($C4523="","",IFERROR(INDEX(CAT_GRUPO,MATCH($C4523,CAT_NOME,0)),"Sem categoria"))</f>
        <v/>
      </c>
      <c r="F4523" s="76" t="n"/>
      <c r="G4523" s="74" t="n"/>
      <c r="H4523" s="74" t="n"/>
      <c r="I4523" s="74" t="n"/>
      <c r="J4523" s="77" t="n"/>
      <c r="K4523" s="77" t="n"/>
      <c r="L4523" s="74" t="n"/>
      <c r="M4523" s="74" t="n"/>
      <c r="O4523" s="78">
        <f>IF($A4523="","",YEAR($A4523)*100+MONTH($A4523))</f>
        <v/>
      </c>
      <c r="P4523" s="79">
        <f>IF(OR($F4523="",$D4523=""),"",IF($D4523="Receita",$F4523,IF($D4523="Transferência",0,-$F4523)))</f>
        <v/>
      </c>
    </row>
    <row r="4524">
      <c r="A4524" s="73" t="n"/>
      <c r="B4524" s="74" t="n"/>
      <c r="C4524" s="74" t="n"/>
      <c r="D4524" s="75">
        <f>IF($C4524="","",IFERROR(INDEX(CAT_TIPO,MATCH($C4524,CAT_NOME,0)),"Sem categoria"))</f>
        <v/>
      </c>
      <c r="E4524" s="75">
        <f>IF($C4524="","",IFERROR(INDEX(CAT_GRUPO,MATCH($C4524,CAT_NOME,0)),"Sem categoria"))</f>
        <v/>
      </c>
      <c r="F4524" s="76" t="n"/>
      <c r="G4524" s="74" t="n"/>
      <c r="H4524" s="74" t="n"/>
      <c r="I4524" s="74" t="n"/>
      <c r="J4524" s="77" t="n"/>
      <c r="K4524" s="77" t="n"/>
      <c r="L4524" s="74" t="n"/>
      <c r="M4524" s="74" t="n"/>
      <c r="O4524" s="78">
        <f>IF($A4524="","",YEAR($A4524)*100+MONTH($A4524))</f>
        <v/>
      </c>
      <c r="P4524" s="79">
        <f>IF(OR($F4524="",$D4524=""),"",IF($D4524="Receita",$F4524,IF($D4524="Transferência",0,-$F4524)))</f>
        <v/>
      </c>
    </row>
    <row r="4525">
      <c r="A4525" s="73" t="n"/>
      <c r="B4525" s="74" t="n"/>
      <c r="C4525" s="74" t="n"/>
      <c r="D4525" s="75">
        <f>IF($C4525="","",IFERROR(INDEX(CAT_TIPO,MATCH($C4525,CAT_NOME,0)),"Sem categoria"))</f>
        <v/>
      </c>
      <c r="E4525" s="75">
        <f>IF($C4525="","",IFERROR(INDEX(CAT_GRUPO,MATCH($C4525,CAT_NOME,0)),"Sem categoria"))</f>
        <v/>
      </c>
      <c r="F4525" s="76" t="n"/>
      <c r="G4525" s="74" t="n"/>
      <c r="H4525" s="74" t="n"/>
      <c r="I4525" s="74" t="n"/>
      <c r="J4525" s="77" t="n"/>
      <c r="K4525" s="77" t="n"/>
      <c r="L4525" s="74" t="n"/>
      <c r="M4525" s="74" t="n"/>
      <c r="O4525" s="78">
        <f>IF($A4525="","",YEAR($A4525)*100+MONTH($A4525))</f>
        <v/>
      </c>
      <c r="P4525" s="79">
        <f>IF(OR($F4525="",$D4525=""),"",IF($D4525="Receita",$F4525,IF($D4525="Transferência",0,-$F4525)))</f>
        <v/>
      </c>
    </row>
    <row r="4526">
      <c r="A4526" s="73" t="n"/>
      <c r="B4526" s="74" t="n"/>
      <c r="C4526" s="74" t="n"/>
      <c r="D4526" s="75">
        <f>IF($C4526="","",IFERROR(INDEX(CAT_TIPO,MATCH($C4526,CAT_NOME,0)),"Sem categoria"))</f>
        <v/>
      </c>
      <c r="E4526" s="75">
        <f>IF($C4526="","",IFERROR(INDEX(CAT_GRUPO,MATCH($C4526,CAT_NOME,0)),"Sem categoria"))</f>
        <v/>
      </c>
      <c r="F4526" s="76" t="n"/>
      <c r="G4526" s="74" t="n"/>
      <c r="H4526" s="74" t="n"/>
      <c r="I4526" s="74" t="n"/>
      <c r="J4526" s="77" t="n"/>
      <c r="K4526" s="77" t="n"/>
      <c r="L4526" s="74" t="n"/>
      <c r="M4526" s="74" t="n"/>
      <c r="O4526" s="78">
        <f>IF($A4526="","",YEAR($A4526)*100+MONTH($A4526))</f>
        <v/>
      </c>
      <c r="P4526" s="79">
        <f>IF(OR($F4526="",$D4526=""),"",IF($D4526="Receita",$F4526,IF($D4526="Transferência",0,-$F4526)))</f>
        <v/>
      </c>
    </row>
    <row r="4527">
      <c r="A4527" s="73" t="n"/>
      <c r="B4527" s="74" t="n"/>
      <c r="C4527" s="74" t="n"/>
      <c r="D4527" s="75">
        <f>IF($C4527="","",IFERROR(INDEX(CAT_TIPO,MATCH($C4527,CAT_NOME,0)),"Sem categoria"))</f>
        <v/>
      </c>
      <c r="E4527" s="75">
        <f>IF($C4527="","",IFERROR(INDEX(CAT_GRUPO,MATCH($C4527,CAT_NOME,0)),"Sem categoria"))</f>
        <v/>
      </c>
      <c r="F4527" s="76" t="n"/>
      <c r="G4527" s="74" t="n"/>
      <c r="H4527" s="74" t="n"/>
      <c r="I4527" s="74" t="n"/>
      <c r="J4527" s="77" t="n"/>
      <c r="K4527" s="77" t="n"/>
      <c r="L4527" s="74" t="n"/>
      <c r="M4527" s="74" t="n"/>
      <c r="O4527" s="78">
        <f>IF($A4527="","",YEAR($A4527)*100+MONTH($A4527))</f>
        <v/>
      </c>
      <c r="P4527" s="79">
        <f>IF(OR($F4527="",$D4527=""),"",IF($D4527="Receita",$F4527,IF($D4527="Transferência",0,-$F4527)))</f>
        <v/>
      </c>
    </row>
    <row r="4528">
      <c r="A4528" s="73" t="n"/>
      <c r="B4528" s="74" t="n"/>
      <c r="C4528" s="74" t="n"/>
      <c r="D4528" s="75">
        <f>IF($C4528="","",IFERROR(INDEX(CAT_TIPO,MATCH($C4528,CAT_NOME,0)),"Sem categoria"))</f>
        <v/>
      </c>
      <c r="E4528" s="75">
        <f>IF($C4528="","",IFERROR(INDEX(CAT_GRUPO,MATCH($C4528,CAT_NOME,0)),"Sem categoria"))</f>
        <v/>
      </c>
      <c r="F4528" s="76" t="n"/>
      <c r="G4528" s="74" t="n"/>
      <c r="H4528" s="74" t="n"/>
      <c r="I4528" s="74" t="n"/>
      <c r="J4528" s="77" t="n"/>
      <c r="K4528" s="77" t="n"/>
      <c r="L4528" s="74" t="n"/>
      <c r="M4528" s="74" t="n"/>
      <c r="O4528" s="78">
        <f>IF($A4528="","",YEAR($A4528)*100+MONTH($A4528))</f>
        <v/>
      </c>
      <c r="P4528" s="79">
        <f>IF(OR($F4528="",$D4528=""),"",IF($D4528="Receita",$F4528,IF($D4528="Transferência",0,-$F4528)))</f>
        <v/>
      </c>
    </row>
    <row r="4529">
      <c r="A4529" s="73" t="n"/>
      <c r="B4529" s="74" t="n"/>
      <c r="C4529" s="74" t="n"/>
      <c r="D4529" s="75">
        <f>IF($C4529="","",IFERROR(INDEX(CAT_TIPO,MATCH($C4529,CAT_NOME,0)),"Sem categoria"))</f>
        <v/>
      </c>
      <c r="E4529" s="75">
        <f>IF($C4529="","",IFERROR(INDEX(CAT_GRUPO,MATCH($C4529,CAT_NOME,0)),"Sem categoria"))</f>
        <v/>
      </c>
      <c r="F4529" s="76" t="n"/>
      <c r="G4529" s="74" t="n"/>
      <c r="H4529" s="74" t="n"/>
      <c r="I4529" s="74" t="n"/>
      <c r="J4529" s="77" t="n"/>
      <c r="K4529" s="77" t="n"/>
      <c r="L4529" s="74" t="n"/>
      <c r="M4529" s="74" t="n"/>
      <c r="O4529" s="78">
        <f>IF($A4529="","",YEAR($A4529)*100+MONTH($A4529))</f>
        <v/>
      </c>
      <c r="P4529" s="79">
        <f>IF(OR($F4529="",$D4529=""),"",IF($D4529="Receita",$F4529,IF($D4529="Transferência",0,-$F4529)))</f>
        <v/>
      </c>
    </row>
    <row r="4530">
      <c r="A4530" s="73" t="n"/>
      <c r="B4530" s="74" t="n"/>
      <c r="C4530" s="74" t="n"/>
      <c r="D4530" s="75">
        <f>IF($C4530="","",IFERROR(INDEX(CAT_TIPO,MATCH($C4530,CAT_NOME,0)),"Sem categoria"))</f>
        <v/>
      </c>
      <c r="E4530" s="75">
        <f>IF($C4530="","",IFERROR(INDEX(CAT_GRUPO,MATCH($C4530,CAT_NOME,0)),"Sem categoria"))</f>
        <v/>
      </c>
      <c r="F4530" s="76" t="n"/>
      <c r="G4530" s="74" t="n"/>
      <c r="H4530" s="74" t="n"/>
      <c r="I4530" s="74" t="n"/>
      <c r="J4530" s="77" t="n"/>
      <c r="K4530" s="77" t="n"/>
      <c r="L4530" s="74" t="n"/>
      <c r="M4530" s="74" t="n"/>
      <c r="O4530" s="78">
        <f>IF($A4530="","",YEAR($A4530)*100+MONTH($A4530))</f>
        <v/>
      </c>
      <c r="P4530" s="79">
        <f>IF(OR($F4530="",$D4530=""),"",IF($D4530="Receita",$F4530,IF($D4530="Transferência",0,-$F4530)))</f>
        <v/>
      </c>
    </row>
    <row r="4531">
      <c r="A4531" s="73" t="n"/>
      <c r="B4531" s="74" t="n"/>
      <c r="C4531" s="74" t="n"/>
      <c r="D4531" s="75">
        <f>IF($C4531="","",IFERROR(INDEX(CAT_TIPO,MATCH($C4531,CAT_NOME,0)),"Sem categoria"))</f>
        <v/>
      </c>
      <c r="E4531" s="75">
        <f>IF($C4531="","",IFERROR(INDEX(CAT_GRUPO,MATCH($C4531,CAT_NOME,0)),"Sem categoria"))</f>
        <v/>
      </c>
      <c r="F4531" s="76" t="n"/>
      <c r="G4531" s="74" t="n"/>
      <c r="H4531" s="74" t="n"/>
      <c r="I4531" s="74" t="n"/>
      <c r="J4531" s="77" t="n"/>
      <c r="K4531" s="77" t="n"/>
      <c r="L4531" s="74" t="n"/>
      <c r="M4531" s="74" t="n"/>
      <c r="O4531" s="78">
        <f>IF($A4531="","",YEAR($A4531)*100+MONTH($A4531))</f>
        <v/>
      </c>
      <c r="P4531" s="79">
        <f>IF(OR($F4531="",$D4531=""),"",IF($D4531="Receita",$F4531,IF($D4531="Transferência",0,-$F4531)))</f>
        <v/>
      </c>
    </row>
    <row r="4532">
      <c r="A4532" s="73" t="n"/>
      <c r="B4532" s="74" t="n"/>
      <c r="C4532" s="74" t="n"/>
      <c r="D4532" s="75">
        <f>IF($C4532="","",IFERROR(INDEX(CAT_TIPO,MATCH($C4532,CAT_NOME,0)),"Sem categoria"))</f>
        <v/>
      </c>
      <c r="E4532" s="75">
        <f>IF($C4532="","",IFERROR(INDEX(CAT_GRUPO,MATCH($C4532,CAT_NOME,0)),"Sem categoria"))</f>
        <v/>
      </c>
      <c r="F4532" s="76" t="n"/>
      <c r="G4532" s="74" t="n"/>
      <c r="H4532" s="74" t="n"/>
      <c r="I4532" s="74" t="n"/>
      <c r="J4532" s="77" t="n"/>
      <c r="K4532" s="77" t="n"/>
      <c r="L4532" s="74" t="n"/>
      <c r="M4532" s="74" t="n"/>
      <c r="O4532" s="78">
        <f>IF($A4532="","",YEAR($A4532)*100+MONTH($A4532))</f>
        <v/>
      </c>
      <c r="P4532" s="79">
        <f>IF(OR($F4532="",$D4532=""),"",IF($D4532="Receita",$F4532,IF($D4532="Transferência",0,-$F4532)))</f>
        <v/>
      </c>
    </row>
    <row r="4533">
      <c r="A4533" s="73" t="n"/>
      <c r="B4533" s="74" t="n"/>
      <c r="C4533" s="74" t="n"/>
      <c r="D4533" s="75">
        <f>IF($C4533="","",IFERROR(INDEX(CAT_TIPO,MATCH($C4533,CAT_NOME,0)),"Sem categoria"))</f>
        <v/>
      </c>
      <c r="E4533" s="75">
        <f>IF($C4533="","",IFERROR(INDEX(CAT_GRUPO,MATCH($C4533,CAT_NOME,0)),"Sem categoria"))</f>
        <v/>
      </c>
      <c r="F4533" s="76" t="n"/>
      <c r="G4533" s="74" t="n"/>
      <c r="H4533" s="74" t="n"/>
      <c r="I4533" s="74" t="n"/>
      <c r="J4533" s="77" t="n"/>
      <c r="K4533" s="77" t="n"/>
      <c r="L4533" s="74" t="n"/>
      <c r="M4533" s="74" t="n"/>
      <c r="O4533" s="78">
        <f>IF($A4533="","",YEAR($A4533)*100+MONTH($A4533))</f>
        <v/>
      </c>
      <c r="P4533" s="79">
        <f>IF(OR($F4533="",$D4533=""),"",IF($D4533="Receita",$F4533,IF($D4533="Transferência",0,-$F4533)))</f>
        <v/>
      </c>
    </row>
    <row r="4534">
      <c r="A4534" s="73" t="n"/>
      <c r="B4534" s="74" t="n"/>
      <c r="C4534" s="74" t="n"/>
      <c r="D4534" s="75">
        <f>IF($C4534="","",IFERROR(INDEX(CAT_TIPO,MATCH($C4534,CAT_NOME,0)),"Sem categoria"))</f>
        <v/>
      </c>
      <c r="E4534" s="75">
        <f>IF($C4534="","",IFERROR(INDEX(CAT_GRUPO,MATCH($C4534,CAT_NOME,0)),"Sem categoria"))</f>
        <v/>
      </c>
      <c r="F4534" s="76" t="n"/>
      <c r="G4534" s="74" t="n"/>
      <c r="H4534" s="74" t="n"/>
      <c r="I4534" s="74" t="n"/>
      <c r="J4534" s="77" t="n"/>
      <c r="K4534" s="77" t="n"/>
      <c r="L4534" s="74" t="n"/>
      <c r="M4534" s="74" t="n"/>
      <c r="O4534" s="78">
        <f>IF($A4534="","",YEAR($A4534)*100+MONTH($A4534))</f>
        <v/>
      </c>
      <c r="P4534" s="79">
        <f>IF(OR($F4534="",$D4534=""),"",IF($D4534="Receita",$F4534,IF($D4534="Transferência",0,-$F4534)))</f>
        <v/>
      </c>
    </row>
    <row r="4535">
      <c r="A4535" s="73" t="n"/>
      <c r="B4535" s="74" t="n"/>
      <c r="C4535" s="74" t="n"/>
      <c r="D4535" s="75">
        <f>IF($C4535="","",IFERROR(INDEX(CAT_TIPO,MATCH($C4535,CAT_NOME,0)),"Sem categoria"))</f>
        <v/>
      </c>
      <c r="E4535" s="75">
        <f>IF($C4535="","",IFERROR(INDEX(CAT_GRUPO,MATCH($C4535,CAT_NOME,0)),"Sem categoria"))</f>
        <v/>
      </c>
      <c r="F4535" s="76" t="n"/>
      <c r="G4535" s="74" t="n"/>
      <c r="H4535" s="74" t="n"/>
      <c r="I4535" s="74" t="n"/>
      <c r="J4535" s="77" t="n"/>
      <c r="K4535" s="77" t="n"/>
      <c r="L4535" s="74" t="n"/>
      <c r="M4535" s="74" t="n"/>
      <c r="O4535" s="78">
        <f>IF($A4535="","",YEAR($A4535)*100+MONTH($A4535))</f>
        <v/>
      </c>
      <c r="P4535" s="79">
        <f>IF(OR($F4535="",$D4535=""),"",IF($D4535="Receita",$F4535,IF($D4535="Transferência",0,-$F4535)))</f>
        <v/>
      </c>
    </row>
    <row r="4536">
      <c r="A4536" s="73" t="n"/>
      <c r="B4536" s="74" t="n"/>
      <c r="C4536" s="74" t="n"/>
      <c r="D4536" s="75">
        <f>IF($C4536="","",IFERROR(INDEX(CAT_TIPO,MATCH($C4536,CAT_NOME,0)),"Sem categoria"))</f>
        <v/>
      </c>
      <c r="E4536" s="75">
        <f>IF($C4536="","",IFERROR(INDEX(CAT_GRUPO,MATCH($C4536,CAT_NOME,0)),"Sem categoria"))</f>
        <v/>
      </c>
      <c r="F4536" s="76" t="n"/>
      <c r="G4536" s="74" t="n"/>
      <c r="H4536" s="74" t="n"/>
      <c r="I4536" s="74" t="n"/>
      <c r="J4536" s="77" t="n"/>
      <c r="K4536" s="77" t="n"/>
      <c r="L4536" s="74" t="n"/>
      <c r="M4536" s="74" t="n"/>
      <c r="O4536" s="78">
        <f>IF($A4536="","",YEAR($A4536)*100+MONTH($A4536))</f>
        <v/>
      </c>
      <c r="P4536" s="79">
        <f>IF(OR($F4536="",$D4536=""),"",IF($D4536="Receita",$F4536,IF($D4536="Transferência",0,-$F4536)))</f>
        <v/>
      </c>
    </row>
    <row r="4537">
      <c r="A4537" s="73" t="n"/>
      <c r="B4537" s="74" t="n"/>
      <c r="C4537" s="74" t="n"/>
      <c r="D4537" s="75">
        <f>IF($C4537="","",IFERROR(INDEX(CAT_TIPO,MATCH($C4537,CAT_NOME,0)),"Sem categoria"))</f>
        <v/>
      </c>
      <c r="E4537" s="75">
        <f>IF($C4537="","",IFERROR(INDEX(CAT_GRUPO,MATCH($C4537,CAT_NOME,0)),"Sem categoria"))</f>
        <v/>
      </c>
      <c r="F4537" s="76" t="n"/>
      <c r="G4537" s="74" t="n"/>
      <c r="H4537" s="74" t="n"/>
      <c r="I4537" s="74" t="n"/>
      <c r="J4537" s="77" t="n"/>
      <c r="K4537" s="77" t="n"/>
      <c r="L4537" s="74" t="n"/>
      <c r="M4537" s="74" t="n"/>
      <c r="O4537" s="78">
        <f>IF($A4537="","",YEAR($A4537)*100+MONTH($A4537))</f>
        <v/>
      </c>
      <c r="P4537" s="79">
        <f>IF(OR($F4537="",$D4537=""),"",IF($D4537="Receita",$F4537,IF($D4537="Transferência",0,-$F4537)))</f>
        <v/>
      </c>
    </row>
    <row r="4538">
      <c r="A4538" s="73" t="n"/>
      <c r="B4538" s="74" t="n"/>
      <c r="C4538" s="74" t="n"/>
      <c r="D4538" s="75">
        <f>IF($C4538="","",IFERROR(INDEX(CAT_TIPO,MATCH($C4538,CAT_NOME,0)),"Sem categoria"))</f>
        <v/>
      </c>
      <c r="E4538" s="75">
        <f>IF($C4538="","",IFERROR(INDEX(CAT_GRUPO,MATCH($C4538,CAT_NOME,0)),"Sem categoria"))</f>
        <v/>
      </c>
      <c r="F4538" s="76" t="n"/>
      <c r="G4538" s="74" t="n"/>
      <c r="H4538" s="74" t="n"/>
      <c r="I4538" s="74" t="n"/>
      <c r="J4538" s="77" t="n"/>
      <c r="K4538" s="77" t="n"/>
      <c r="L4538" s="74" t="n"/>
      <c r="M4538" s="74" t="n"/>
      <c r="O4538" s="78">
        <f>IF($A4538="","",YEAR($A4538)*100+MONTH($A4538))</f>
        <v/>
      </c>
      <c r="P4538" s="79">
        <f>IF(OR($F4538="",$D4538=""),"",IF($D4538="Receita",$F4538,IF($D4538="Transferência",0,-$F4538)))</f>
        <v/>
      </c>
    </row>
    <row r="4539">
      <c r="A4539" s="73" t="n"/>
      <c r="B4539" s="74" t="n"/>
      <c r="C4539" s="74" t="n"/>
      <c r="D4539" s="75">
        <f>IF($C4539="","",IFERROR(INDEX(CAT_TIPO,MATCH($C4539,CAT_NOME,0)),"Sem categoria"))</f>
        <v/>
      </c>
      <c r="E4539" s="75">
        <f>IF($C4539="","",IFERROR(INDEX(CAT_GRUPO,MATCH($C4539,CAT_NOME,0)),"Sem categoria"))</f>
        <v/>
      </c>
      <c r="F4539" s="76" t="n"/>
      <c r="G4539" s="74" t="n"/>
      <c r="H4539" s="74" t="n"/>
      <c r="I4539" s="74" t="n"/>
      <c r="J4539" s="77" t="n"/>
      <c r="K4539" s="77" t="n"/>
      <c r="L4539" s="74" t="n"/>
      <c r="M4539" s="74" t="n"/>
      <c r="O4539" s="78">
        <f>IF($A4539="","",YEAR($A4539)*100+MONTH($A4539))</f>
        <v/>
      </c>
      <c r="P4539" s="79">
        <f>IF(OR($F4539="",$D4539=""),"",IF($D4539="Receita",$F4539,IF($D4539="Transferência",0,-$F4539)))</f>
        <v/>
      </c>
    </row>
    <row r="4540">
      <c r="A4540" s="73" t="n"/>
      <c r="B4540" s="74" t="n"/>
      <c r="C4540" s="74" t="n"/>
      <c r="D4540" s="75">
        <f>IF($C4540="","",IFERROR(INDEX(CAT_TIPO,MATCH($C4540,CAT_NOME,0)),"Sem categoria"))</f>
        <v/>
      </c>
      <c r="E4540" s="75">
        <f>IF($C4540="","",IFERROR(INDEX(CAT_GRUPO,MATCH($C4540,CAT_NOME,0)),"Sem categoria"))</f>
        <v/>
      </c>
      <c r="F4540" s="76" t="n"/>
      <c r="G4540" s="74" t="n"/>
      <c r="H4540" s="74" t="n"/>
      <c r="I4540" s="74" t="n"/>
      <c r="J4540" s="77" t="n"/>
      <c r="K4540" s="77" t="n"/>
      <c r="L4540" s="74" t="n"/>
      <c r="M4540" s="74" t="n"/>
      <c r="O4540" s="78">
        <f>IF($A4540="","",YEAR($A4540)*100+MONTH($A4540))</f>
        <v/>
      </c>
      <c r="P4540" s="79">
        <f>IF(OR($F4540="",$D4540=""),"",IF($D4540="Receita",$F4540,IF($D4540="Transferência",0,-$F4540)))</f>
        <v/>
      </c>
    </row>
    <row r="4541">
      <c r="A4541" s="73" t="n"/>
      <c r="B4541" s="74" t="n"/>
      <c r="C4541" s="74" t="n"/>
      <c r="D4541" s="75">
        <f>IF($C4541="","",IFERROR(INDEX(CAT_TIPO,MATCH($C4541,CAT_NOME,0)),"Sem categoria"))</f>
        <v/>
      </c>
      <c r="E4541" s="75">
        <f>IF($C4541="","",IFERROR(INDEX(CAT_GRUPO,MATCH($C4541,CAT_NOME,0)),"Sem categoria"))</f>
        <v/>
      </c>
      <c r="F4541" s="76" t="n"/>
      <c r="G4541" s="74" t="n"/>
      <c r="H4541" s="74" t="n"/>
      <c r="I4541" s="74" t="n"/>
      <c r="J4541" s="77" t="n"/>
      <c r="K4541" s="77" t="n"/>
      <c r="L4541" s="74" t="n"/>
      <c r="M4541" s="74" t="n"/>
      <c r="O4541" s="78">
        <f>IF($A4541="","",YEAR($A4541)*100+MONTH($A4541))</f>
        <v/>
      </c>
      <c r="P4541" s="79">
        <f>IF(OR($F4541="",$D4541=""),"",IF($D4541="Receita",$F4541,IF($D4541="Transferência",0,-$F4541)))</f>
        <v/>
      </c>
    </row>
    <row r="4542">
      <c r="A4542" s="73" t="n"/>
      <c r="B4542" s="74" t="n"/>
      <c r="C4542" s="74" t="n"/>
      <c r="D4542" s="75">
        <f>IF($C4542="","",IFERROR(INDEX(CAT_TIPO,MATCH($C4542,CAT_NOME,0)),"Sem categoria"))</f>
        <v/>
      </c>
      <c r="E4542" s="75">
        <f>IF($C4542="","",IFERROR(INDEX(CAT_GRUPO,MATCH($C4542,CAT_NOME,0)),"Sem categoria"))</f>
        <v/>
      </c>
      <c r="F4542" s="76" t="n"/>
      <c r="G4542" s="74" t="n"/>
      <c r="H4542" s="74" t="n"/>
      <c r="I4542" s="74" t="n"/>
      <c r="J4542" s="77" t="n"/>
      <c r="K4542" s="77" t="n"/>
      <c r="L4542" s="74" t="n"/>
      <c r="M4542" s="74" t="n"/>
      <c r="O4542" s="78">
        <f>IF($A4542="","",YEAR($A4542)*100+MONTH($A4542))</f>
        <v/>
      </c>
      <c r="P4542" s="79">
        <f>IF(OR($F4542="",$D4542=""),"",IF($D4542="Receita",$F4542,IF($D4542="Transferência",0,-$F4542)))</f>
        <v/>
      </c>
    </row>
    <row r="4543">
      <c r="A4543" s="73" t="n"/>
      <c r="B4543" s="74" t="n"/>
      <c r="C4543" s="74" t="n"/>
      <c r="D4543" s="75">
        <f>IF($C4543="","",IFERROR(INDEX(CAT_TIPO,MATCH($C4543,CAT_NOME,0)),"Sem categoria"))</f>
        <v/>
      </c>
      <c r="E4543" s="75">
        <f>IF($C4543="","",IFERROR(INDEX(CAT_GRUPO,MATCH($C4543,CAT_NOME,0)),"Sem categoria"))</f>
        <v/>
      </c>
      <c r="F4543" s="76" t="n"/>
      <c r="G4543" s="74" t="n"/>
      <c r="H4543" s="74" t="n"/>
      <c r="I4543" s="74" t="n"/>
      <c r="J4543" s="77" t="n"/>
      <c r="K4543" s="77" t="n"/>
      <c r="L4543" s="74" t="n"/>
      <c r="M4543" s="74" t="n"/>
      <c r="O4543" s="78">
        <f>IF($A4543="","",YEAR($A4543)*100+MONTH($A4543))</f>
        <v/>
      </c>
      <c r="P4543" s="79">
        <f>IF(OR($F4543="",$D4543=""),"",IF($D4543="Receita",$F4543,IF($D4543="Transferência",0,-$F4543)))</f>
        <v/>
      </c>
    </row>
    <row r="4544">
      <c r="A4544" s="73" t="n"/>
      <c r="B4544" s="74" t="n"/>
      <c r="C4544" s="74" t="n"/>
      <c r="D4544" s="75">
        <f>IF($C4544="","",IFERROR(INDEX(CAT_TIPO,MATCH($C4544,CAT_NOME,0)),"Sem categoria"))</f>
        <v/>
      </c>
      <c r="E4544" s="75">
        <f>IF($C4544="","",IFERROR(INDEX(CAT_GRUPO,MATCH($C4544,CAT_NOME,0)),"Sem categoria"))</f>
        <v/>
      </c>
      <c r="F4544" s="76" t="n"/>
      <c r="G4544" s="74" t="n"/>
      <c r="H4544" s="74" t="n"/>
      <c r="I4544" s="74" t="n"/>
      <c r="J4544" s="77" t="n"/>
      <c r="K4544" s="77" t="n"/>
      <c r="L4544" s="74" t="n"/>
      <c r="M4544" s="74" t="n"/>
      <c r="O4544" s="78">
        <f>IF($A4544="","",YEAR($A4544)*100+MONTH($A4544))</f>
        <v/>
      </c>
      <c r="P4544" s="79">
        <f>IF(OR($F4544="",$D4544=""),"",IF($D4544="Receita",$F4544,IF($D4544="Transferência",0,-$F4544)))</f>
        <v/>
      </c>
    </row>
    <row r="4545">
      <c r="A4545" s="73" t="n"/>
      <c r="B4545" s="74" t="n"/>
      <c r="C4545" s="74" t="n"/>
      <c r="D4545" s="75">
        <f>IF($C4545="","",IFERROR(INDEX(CAT_TIPO,MATCH($C4545,CAT_NOME,0)),"Sem categoria"))</f>
        <v/>
      </c>
      <c r="E4545" s="75">
        <f>IF($C4545="","",IFERROR(INDEX(CAT_GRUPO,MATCH($C4545,CAT_NOME,0)),"Sem categoria"))</f>
        <v/>
      </c>
      <c r="F4545" s="76" t="n"/>
      <c r="G4545" s="74" t="n"/>
      <c r="H4545" s="74" t="n"/>
      <c r="I4545" s="74" t="n"/>
      <c r="J4545" s="77" t="n"/>
      <c r="K4545" s="77" t="n"/>
      <c r="L4545" s="74" t="n"/>
      <c r="M4545" s="74" t="n"/>
      <c r="O4545" s="78">
        <f>IF($A4545="","",YEAR($A4545)*100+MONTH($A4545))</f>
        <v/>
      </c>
      <c r="P4545" s="79">
        <f>IF(OR($F4545="",$D4545=""),"",IF($D4545="Receita",$F4545,IF($D4545="Transferência",0,-$F4545)))</f>
        <v/>
      </c>
    </row>
    <row r="4546">
      <c r="A4546" s="73" t="n"/>
      <c r="B4546" s="74" t="n"/>
      <c r="C4546" s="74" t="n"/>
      <c r="D4546" s="75">
        <f>IF($C4546="","",IFERROR(INDEX(CAT_TIPO,MATCH($C4546,CAT_NOME,0)),"Sem categoria"))</f>
        <v/>
      </c>
      <c r="E4546" s="75">
        <f>IF($C4546="","",IFERROR(INDEX(CAT_GRUPO,MATCH($C4546,CAT_NOME,0)),"Sem categoria"))</f>
        <v/>
      </c>
      <c r="F4546" s="76" t="n"/>
      <c r="G4546" s="74" t="n"/>
      <c r="H4546" s="74" t="n"/>
      <c r="I4546" s="74" t="n"/>
      <c r="J4546" s="77" t="n"/>
      <c r="K4546" s="77" t="n"/>
      <c r="L4546" s="74" t="n"/>
      <c r="M4546" s="74" t="n"/>
      <c r="O4546" s="78">
        <f>IF($A4546="","",YEAR($A4546)*100+MONTH($A4546))</f>
        <v/>
      </c>
      <c r="P4546" s="79">
        <f>IF(OR($F4546="",$D4546=""),"",IF($D4546="Receita",$F4546,IF($D4546="Transferência",0,-$F4546)))</f>
        <v/>
      </c>
    </row>
    <row r="4547">
      <c r="A4547" s="73" t="n"/>
      <c r="B4547" s="74" t="n"/>
      <c r="C4547" s="74" t="n"/>
      <c r="D4547" s="75">
        <f>IF($C4547="","",IFERROR(INDEX(CAT_TIPO,MATCH($C4547,CAT_NOME,0)),"Sem categoria"))</f>
        <v/>
      </c>
      <c r="E4547" s="75">
        <f>IF($C4547="","",IFERROR(INDEX(CAT_GRUPO,MATCH($C4547,CAT_NOME,0)),"Sem categoria"))</f>
        <v/>
      </c>
      <c r="F4547" s="76" t="n"/>
      <c r="G4547" s="74" t="n"/>
      <c r="H4547" s="74" t="n"/>
      <c r="I4547" s="74" t="n"/>
      <c r="J4547" s="77" t="n"/>
      <c r="K4547" s="77" t="n"/>
      <c r="L4547" s="74" t="n"/>
      <c r="M4547" s="74" t="n"/>
      <c r="O4547" s="78">
        <f>IF($A4547="","",YEAR($A4547)*100+MONTH($A4547))</f>
        <v/>
      </c>
      <c r="P4547" s="79">
        <f>IF(OR($F4547="",$D4547=""),"",IF($D4547="Receita",$F4547,IF($D4547="Transferência",0,-$F4547)))</f>
        <v/>
      </c>
    </row>
    <row r="4548">
      <c r="A4548" s="73" t="n"/>
      <c r="B4548" s="74" t="n"/>
      <c r="C4548" s="74" t="n"/>
      <c r="D4548" s="75">
        <f>IF($C4548="","",IFERROR(INDEX(CAT_TIPO,MATCH($C4548,CAT_NOME,0)),"Sem categoria"))</f>
        <v/>
      </c>
      <c r="E4548" s="75">
        <f>IF($C4548="","",IFERROR(INDEX(CAT_GRUPO,MATCH($C4548,CAT_NOME,0)),"Sem categoria"))</f>
        <v/>
      </c>
      <c r="F4548" s="76" t="n"/>
      <c r="G4548" s="74" t="n"/>
      <c r="H4548" s="74" t="n"/>
      <c r="I4548" s="74" t="n"/>
      <c r="J4548" s="77" t="n"/>
      <c r="K4548" s="77" t="n"/>
      <c r="L4548" s="74" t="n"/>
      <c r="M4548" s="74" t="n"/>
      <c r="O4548" s="78">
        <f>IF($A4548="","",YEAR($A4548)*100+MONTH($A4548))</f>
        <v/>
      </c>
      <c r="P4548" s="79">
        <f>IF(OR($F4548="",$D4548=""),"",IF($D4548="Receita",$F4548,IF($D4548="Transferência",0,-$F4548)))</f>
        <v/>
      </c>
    </row>
    <row r="4549">
      <c r="A4549" s="73" t="n"/>
      <c r="B4549" s="74" t="n"/>
      <c r="C4549" s="74" t="n"/>
      <c r="D4549" s="75">
        <f>IF($C4549="","",IFERROR(INDEX(CAT_TIPO,MATCH($C4549,CAT_NOME,0)),"Sem categoria"))</f>
        <v/>
      </c>
      <c r="E4549" s="75">
        <f>IF($C4549="","",IFERROR(INDEX(CAT_GRUPO,MATCH($C4549,CAT_NOME,0)),"Sem categoria"))</f>
        <v/>
      </c>
      <c r="F4549" s="76" t="n"/>
      <c r="G4549" s="74" t="n"/>
      <c r="H4549" s="74" t="n"/>
      <c r="I4549" s="74" t="n"/>
      <c r="J4549" s="77" t="n"/>
      <c r="K4549" s="77" t="n"/>
      <c r="L4549" s="74" t="n"/>
      <c r="M4549" s="74" t="n"/>
      <c r="O4549" s="78">
        <f>IF($A4549="","",YEAR($A4549)*100+MONTH($A4549))</f>
        <v/>
      </c>
      <c r="P4549" s="79">
        <f>IF(OR($F4549="",$D4549=""),"",IF($D4549="Receita",$F4549,IF($D4549="Transferência",0,-$F4549)))</f>
        <v/>
      </c>
    </row>
    <row r="4550">
      <c r="A4550" s="73" t="n"/>
      <c r="B4550" s="74" t="n"/>
      <c r="C4550" s="74" t="n"/>
      <c r="D4550" s="75">
        <f>IF($C4550="","",IFERROR(INDEX(CAT_TIPO,MATCH($C4550,CAT_NOME,0)),"Sem categoria"))</f>
        <v/>
      </c>
      <c r="E4550" s="75">
        <f>IF($C4550="","",IFERROR(INDEX(CAT_GRUPO,MATCH($C4550,CAT_NOME,0)),"Sem categoria"))</f>
        <v/>
      </c>
      <c r="F4550" s="76" t="n"/>
      <c r="G4550" s="74" t="n"/>
      <c r="H4550" s="74" t="n"/>
      <c r="I4550" s="74" t="n"/>
      <c r="J4550" s="77" t="n"/>
      <c r="K4550" s="77" t="n"/>
      <c r="L4550" s="74" t="n"/>
      <c r="M4550" s="74" t="n"/>
      <c r="O4550" s="78">
        <f>IF($A4550="","",YEAR($A4550)*100+MONTH($A4550))</f>
        <v/>
      </c>
      <c r="P4550" s="79">
        <f>IF(OR($F4550="",$D4550=""),"",IF($D4550="Receita",$F4550,IF($D4550="Transferência",0,-$F4550)))</f>
        <v/>
      </c>
    </row>
    <row r="4551">
      <c r="A4551" s="73" t="n"/>
      <c r="B4551" s="74" t="n"/>
      <c r="C4551" s="74" t="n"/>
      <c r="D4551" s="75">
        <f>IF($C4551="","",IFERROR(INDEX(CAT_TIPO,MATCH($C4551,CAT_NOME,0)),"Sem categoria"))</f>
        <v/>
      </c>
      <c r="E4551" s="75">
        <f>IF($C4551="","",IFERROR(INDEX(CAT_GRUPO,MATCH($C4551,CAT_NOME,0)),"Sem categoria"))</f>
        <v/>
      </c>
      <c r="F4551" s="76" t="n"/>
      <c r="G4551" s="74" t="n"/>
      <c r="H4551" s="74" t="n"/>
      <c r="I4551" s="74" t="n"/>
      <c r="J4551" s="77" t="n"/>
      <c r="K4551" s="77" t="n"/>
      <c r="L4551" s="74" t="n"/>
      <c r="M4551" s="74" t="n"/>
      <c r="O4551" s="78">
        <f>IF($A4551="","",YEAR($A4551)*100+MONTH($A4551))</f>
        <v/>
      </c>
      <c r="P4551" s="79">
        <f>IF(OR($F4551="",$D4551=""),"",IF($D4551="Receita",$F4551,IF($D4551="Transferência",0,-$F4551)))</f>
        <v/>
      </c>
    </row>
    <row r="4552">
      <c r="A4552" s="73" t="n"/>
      <c r="B4552" s="74" t="n"/>
      <c r="C4552" s="74" t="n"/>
      <c r="D4552" s="75">
        <f>IF($C4552="","",IFERROR(INDEX(CAT_TIPO,MATCH($C4552,CAT_NOME,0)),"Sem categoria"))</f>
        <v/>
      </c>
      <c r="E4552" s="75">
        <f>IF($C4552="","",IFERROR(INDEX(CAT_GRUPO,MATCH($C4552,CAT_NOME,0)),"Sem categoria"))</f>
        <v/>
      </c>
      <c r="F4552" s="76" t="n"/>
      <c r="G4552" s="74" t="n"/>
      <c r="H4552" s="74" t="n"/>
      <c r="I4552" s="74" t="n"/>
      <c r="J4552" s="77" t="n"/>
      <c r="K4552" s="77" t="n"/>
      <c r="L4552" s="74" t="n"/>
      <c r="M4552" s="74" t="n"/>
      <c r="O4552" s="78">
        <f>IF($A4552="","",YEAR($A4552)*100+MONTH($A4552))</f>
        <v/>
      </c>
      <c r="P4552" s="79">
        <f>IF(OR($F4552="",$D4552=""),"",IF($D4552="Receita",$F4552,IF($D4552="Transferência",0,-$F4552)))</f>
        <v/>
      </c>
    </row>
    <row r="4553">
      <c r="A4553" s="73" t="n"/>
      <c r="B4553" s="74" t="n"/>
      <c r="C4553" s="74" t="n"/>
      <c r="D4553" s="75">
        <f>IF($C4553="","",IFERROR(INDEX(CAT_TIPO,MATCH($C4553,CAT_NOME,0)),"Sem categoria"))</f>
        <v/>
      </c>
      <c r="E4553" s="75">
        <f>IF($C4553="","",IFERROR(INDEX(CAT_GRUPO,MATCH($C4553,CAT_NOME,0)),"Sem categoria"))</f>
        <v/>
      </c>
      <c r="F4553" s="76" t="n"/>
      <c r="G4553" s="74" t="n"/>
      <c r="H4553" s="74" t="n"/>
      <c r="I4553" s="74" t="n"/>
      <c r="J4553" s="77" t="n"/>
      <c r="K4553" s="77" t="n"/>
      <c r="L4553" s="74" t="n"/>
      <c r="M4553" s="74" t="n"/>
      <c r="O4553" s="78">
        <f>IF($A4553="","",YEAR($A4553)*100+MONTH($A4553))</f>
        <v/>
      </c>
      <c r="P4553" s="79">
        <f>IF(OR($F4553="",$D4553=""),"",IF($D4553="Receita",$F4553,IF($D4553="Transferência",0,-$F4553)))</f>
        <v/>
      </c>
    </row>
    <row r="4554">
      <c r="A4554" s="73" t="n"/>
      <c r="B4554" s="74" t="n"/>
      <c r="C4554" s="74" t="n"/>
      <c r="D4554" s="75">
        <f>IF($C4554="","",IFERROR(INDEX(CAT_TIPO,MATCH($C4554,CAT_NOME,0)),"Sem categoria"))</f>
        <v/>
      </c>
      <c r="E4554" s="75">
        <f>IF($C4554="","",IFERROR(INDEX(CAT_GRUPO,MATCH($C4554,CAT_NOME,0)),"Sem categoria"))</f>
        <v/>
      </c>
      <c r="F4554" s="76" t="n"/>
      <c r="G4554" s="74" t="n"/>
      <c r="H4554" s="74" t="n"/>
      <c r="I4554" s="74" t="n"/>
      <c r="J4554" s="77" t="n"/>
      <c r="K4554" s="77" t="n"/>
      <c r="L4554" s="74" t="n"/>
      <c r="M4554" s="74" t="n"/>
      <c r="O4554" s="78">
        <f>IF($A4554="","",YEAR($A4554)*100+MONTH($A4554))</f>
        <v/>
      </c>
      <c r="P4554" s="79">
        <f>IF(OR($F4554="",$D4554=""),"",IF($D4554="Receita",$F4554,IF($D4554="Transferência",0,-$F4554)))</f>
        <v/>
      </c>
    </row>
    <row r="4555">
      <c r="A4555" s="73" t="n"/>
      <c r="B4555" s="74" t="n"/>
      <c r="C4555" s="74" t="n"/>
      <c r="D4555" s="75">
        <f>IF($C4555="","",IFERROR(INDEX(CAT_TIPO,MATCH($C4555,CAT_NOME,0)),"Sem categoria"))</f>
        <v/>
      </c>
      <c r="E4555" s="75">
        <f>IF($C4555="","",IFERROR(INDEX(CAT_GRUPO,MATCH($C4555,CAT_NOME,0)),"Sem categoria"))</f>
        <v/>
      </c>
      <c r="F4555" s="76" t="n"/>
      <c r="G4555" s="74" t="n"/>
      <c r="H4555" s="74" t="n"/>
      <c r="I4555" s="74" t="n"/>
      <c r="J4555" s="77" t="n"/>
      <c r="K4555" s="77" t="n"/>
      <c r="L4555" s="74" t="n"/>
      <c r="M4555" s="74" t="n"/>
      <c r="O4555" s="78">
        <f>IF($A4555="","",YEAR($A4555)*100+MONTH($A4555))</f>
        <v/>
      </c>
      <c r="P4555" s="79">
        <f>IF(OR($F4555="",$D4555=""),"",IF($D4555="Receita",$F4555,IF($D4555="Transferência",0,-$F4555)))</f>
        <v/>
      </c>
    </row>
    <row r="4556">
      <c r="A4556" s="73" t="n"/>
      <c r="B4556" s="74" t="n"/>
      <c r="C4556" s="74" t="n"/>
      <c r="D4556" s="75">
        <f>IF($C4556="","",IFERROR(INDEX(CAT_TIPO,MATCH($C4556,CAT_NOME,0)),"Sem categoria"))</f>
        <v/>
      </c>
      <c r="E4556" s="75">
        <f>IF($C4556="","",IFERROR(INDEX(CAT_GRUPO,MATCH($C4556,CAT_NOME,0)),"Sem categoria"))</f>
        <v/>
      </c>
      <c r="F4556" s="76" t="n"/>
      <c r="G4556" s="74" t="n"/>
      <c r="H4556" s="74" t="n"/>
      <c r="I4556" s="74" t="n"/>
      <c r="J4556" s="77" t="n"/>
      <c r="K4556" s="77" t="n"/>
      <c r="L4556" s="74" t="n"/>
      <c r="M4556" s="74" t="n"/>
      <c r="O4556" s="78">
        <f>IF($A4556="","",YEAR($A4556)*100+MONTH($A4556))</f>
        <v/>
      </c>
      <c r="P4556" s="79">
        <f>IF(OR($F4556="",$D4556=""),"",IF($D4556="Receita",$F4556,IF($D4556="Transferência",0,-$F4556)))</f>
        <v/>
      </c>
    </row>
    <row r="4557">
      <c r="A4557" s="73" t="n"/>
      <c r="B4557" s="74" t="n"/>
      <c r="C4557" s="74" t="n"/>
      <c r="D4557" s="75">
        <f>IF($C4557="","",IFERROR(INDEX(CAT_TIPO,MATCH($C4557,CAT_NOME,0)),"Sem categoria"))</f>
        <v/>
      </c>
      <c r="E4557" s="75">
        <f>IF($C4557="","",IFERROR(INDEX(CAT_GRUPO,MATCH($C4557,CAT_NOME,0)),"Sem categoria"))</f>
        <v/>
      </c>
      <c r="F4557" s="76" t="n"/>
      <c r="G4557" s="74" t="n"/>
      <c r="H4557" s="74" t="n"/>
      <c r="I4557" s="74" t="n"/>
      <c r="J4557" s="77" t="n"/>
      <c r="K4557" s="77" t="n"/>
      <c r="L4557" s="74" t="n"/>
      <c r="M4557" s="74" t="n"/>
      <c r="O4557" s="78">
        <f>IF($A4557="","",YEAR($A4557)*100+MONTH($A4557))</f>
        <v/>
      </c>
      <c r="P4557" s="79">
        <f>IF(OR($F4557="",$D4557=""),"",IF($D4557="Receita",$F4557,IF($D4557="Transferência",0,-$F4557)))</f>
        <v/>
      </c>
    </row>
    <row r="4558">
      <c r="A4558" s="73" t="n"/>
      <c r="B4558" s="74" t="n"/>
      <c r="C4558" s="74" t="n"/>
      <c r="D4558" s="75">
        <f>IF($C4558="","",IFERROR(INDEX(CAT_TIPO,MATCH($C4558,CAT_NOME,0)),"Sem categoria"))</f>
        <v/>
      </c>
      <c r="E4558" s="75">
        <f>IF($C4558="","",IFERROR(INDEX(CAT_GRUPO,MATCH($C4558,CAT_NOME,0)),"Sem categoria"))</f>
        <v/>
      </c>
      <c r="F4558" s="76" t="n"/>
      <c r="G4558" s="74" t="n"/>
      <c r="H4558" s="74" t="n"/>
      <c r="I4558" s="74" t="n"/>
      <c r="J4558" s="77" t="n"/>
      <c r="K4558" s="77" t="n"/>
      <c r="L4558" s="74" t="n"/>
      <c r="M4558" s="74" t="n"/>
      <c r="O4558" s="78">
        <f>IF($A4558="","",YEAR($A4558)*100+MONTH($A4558))</f>
        <v/>
      </c>
      <c r="P4558" s="79">
        <f>IF(OR($F4558="",$D4558=""),"",IF($D4558="Receita",$F4558,IF($D4558="Transferência",0,-$F4558)))</f>
        <v/>
      </c>
    </row>
    <row r="4559">
      <c r="A4559" s="73" t="n"/>
      <c r="B4559" s="74" t="n"/>
      <c r="C4559" s="74" t="n"/>
      <c r="D4559" s="75">
        <f>IF($C4559="","",IFERROR(INDEX(CAT_TIPO,MATCH($C4559,CAT_NOME,0)),"Sem categoria"))</f>
        <v/>
      </c>
      <c r="E4559" s="75">
        <f>IF($C4559="","",IFERROR(INDEX(CAT_GRUPO,MATCH($C4559,CAT_NOME,0)),"Sem categoria"))</f>
        <v/>
      </c>
      <c r="F4559" s="76" t="n"/>
      <c r="G4559" s="74" t="n"/>
      <c r="H4559" s="74" t="n"/>
      <c r="I4559" s="74" t="n"/>
      <c r="J4559" s="77" t="n"/>
      <c r="K4559" s="77" t="n"/>
      <c r="L4559" s="74" t="n"/>
      <c r="M4559" s="74" t="n"/>
      <c r="O4559" s="78">
        <f>IF($A4559="","",YEAR($A4559)*100+MONTH($A4559))</f>
        <v/>
      </c>
      <c r="P4559" s="79">
        <f>IF(OR($F4559="",$D4559=""),"",IF($D4559="Receita",$F4559,IF($D4559="Transferência",0,-$F4559)))</f>
        <v/>
      </c>
    </row>
    <row r="4560">
      <c r="A4560" s="73" t="n"/>
      <c r="B4560" s="74" t="n"/>
      <c r="C4560" s="74" t="n"/>
      <c r="D4560" s="75">
        <f>IF($C4560="","",IFERROR(INDEX(CAT_TIPO,MATCH($C4560,CAT_NOME,0)),"Sem categoria"))</f>
        <v/>
      </c>
      <c r="E4560" s="75">
        <f>IF($C4560="","",IFERROR(INDEX(CAT_GRUPO,MATCH($C4560,CAT_NOME,0)),"Sem categoria"))</f>
        <v/>
      </c>
      <c r="F4560" s="76" t="n"/>
      <c r="G4560" s="74" t="n"/>
      <c r="H4560" s="74" t="n"/>
      <c r="I4560" s="74" t="n"/>
      <c r="J4560" s="77" t="n"/>
      <c r="K4560" s="77" t="n"/>
      <c r="L4560" s="74" t="n"/>
      <c r="M4560" s="74" t="n"/>
      <c r="O4560" s="78">
        <f>IF($A4560="","",YEAR($A4560)*100+MONTH($A4560))</f>
        <v/>
      </c>
      <c r="P4560" s="79">
        <f>IF(OR($F4560="",$D4560=""),"",IF($D4560="Receita",$F4560,IF($D4560="Transferência",0,-$F4560)))</f>
        <v/>
      </c>
    </row>
    <row r="4561">
      <c r="A4561" s="73" t="n"/>
      <c r="B4561" s="74" t="n"/>
      <c r="C4561" s="74" t="n"/>
      <c r="D4561" s="75">
        <f>IF($C4561="","",IFERROR(INDEX(CAT_TIPO,MATCH($C4561,CAT_NOME,0)),"Sem categoria"))</f>
        <v/>
      </c>
      <c r="E4561" s="75">
        <f>IF($C4561="","",IFERROR(INDEX(CAT_GRUPO,MATCH($C4561,CAT_NOME,0)),"Sem categoria"))</f>
        <v/>
      </c>
      <c r="F4561" s="76" t="n"/>
      <c r="G4561" s="74" t="n"/>
      <c r="H4561" s="74" t="n"/>
      <c r="I4561" s="74" t="n"/>
      <c r="J4561" s="77" t="n"/>
      <c r="K4561" s="77" t="n"/>
      <c r="L4561" s="74" t="n"/>
      <c r="M4561" s="74" t="n"/>
      <c r="O4561" s="78">
        <f>IF($A4561="","",YEAR($A4561)*100+MONTH($A4561))</f>
        <v/>
      </c>
      <c r="P4561" s="79">
        <f>IF(OR($F4561="",$D4561=""),"",IF($D4561="Receita",$F4561,IF($D4561="Transferência",0,-$F4561)))</f>
        <v/>
      </c>
    </row>
    <row r="4562">
      <c r="A4562" s="73" t="n"/>
      <c r="B4562" s="74" t="n"/>
      <c r="C4562" s="74" t="n"/>
      <c r="D4562" s="75">
        <f>IF($C4562="","",IFERROR(INDEX(CAT_TIPO,MATCH($C4562,CAT_NOME,0)),"Sem categoria"))</f>
        <v/>
      </c>
      <c r="E4562" s="75">
        <f>IF($C4562="","",IFERROR(INDEX(CAT_GRUPO,MATCH($C4562,CAT_NOME,0)),"Sem categoria"))</f>
        <v/>
      </c>
      <c r="F4562" s="76" t="n"/>
      <c r="G4562" s="74" t="n"/>
      <c r="H4562" s="74" t="n"/>
      <c r="I4562" s="74" t="n"/>
      <c r="J4562" s="77" t="n"/>
      <c r="K4562" s="77" t="n"/>
      <c r="L4562" s="74" t="n"/>
      <c r="M4562" s="74" t="n"/>
      <c r="O4562" s="78">
        <f>IF($A4562="","",YEAR($A4562)*100+MONTH($A4562))</f>
        <v/>
      </c>
      <c r="P4562" s="79">
        <f>IF(OR($F4562="",$D4562=""),"",IF($D4562="Receita",$F4562,IF($D4562="Transferência",0,-$F4562)))</f>
        <v/>
      </c>
    </row>
    <row r="4563">
      <c r="A4563" s="73" t="n"/>
      <c r="B4563" s="74" t="n"/>
      <c r="C4563" s="74" t="n"/>
      <c r="D4563" s="75">
        <f>IF($C4563="","",IFERROR(INDEX(CAT_TIPO,MATCH($C4563,CAT_NOME,0)),"Sem categoria"))</f>
        <v/>
      </c>
      <c r="E4563" s="75">
        <f>IF($C4563="","",IFERROR(INDEX(CAT_GRUPO,MATCH($C4563,CAT_NOME,0)),"Sem categoria"))</f>
        <v/>
      </c>
      <c r="F4563" s="76" t="n"/>
      <c r="G4563" s="74" t="n"/>
      <c r="H4563" s="74" t="n"/>
      <c r="I4563" s="74" t="n"/>
      <c r="J4563" s="77" t="n"/>
      <c r="K4563" s="77" t="n"/>
      <c r="L4563" s="74" t="n"/>
      <c r="M4563" s="74" t="n"/>
      <c r="O4563" s="78">
        <f>IF($A4563="","",YEAR($A4563)*100+MONTH($A4563))</f>
        <v/>
      </c>
      <c r="P4563" s="79">
        <f>IF(OR($F4563="",$D4563=""),"",IF($D4563="Receita",$F4563,IF($D4563="Transferência",0,-$F4563)))</f>
        <v/>
      </c>
    </row>
    <row r="4564">
      <c r="A4564" s="73" t="n"/>
      <c r="B4564" s="74" t="n"/>
      <c r="C4564" s="74" t="n"/>
      <c r="D4564" s="75">
        <f>IF($C4564="","",IFERROR(INDEX(CAT_TIPO,MATCH($C4564,CAT_NOME,0)),"Sem categoria"))</f>
        <v/>
      </c>
      <c r="E4564" s="75">
        <f>IF($C4564="","",IFERROR(INDEX(CAT_GRUPO,MATCH($C4564,CAT_NOME,0)),"Sem categoria"))</f>
        <v/>
      </c>
      <c r="F4564" s="76" t="n"/>
      <c r="G4564" s="74" t="n"/>
      <c r="H4564" s="74" t="n"/>
      <c r="I4564" s="74" t="n"/>
      <c r="J4564" s="77" t="n"/>
      <c r="K4564" s="77" t="n"/>
      <c r="L4564" s="74" t="n"/>
      <c r="M4564" s="74" t="n"/>
      <c r="O4564" s="78">
        <f>IF($A4564="","",YEAR($A4564)*100+MONTH($A4564))</f>
        <v/>
      </c>
      <c r="P4564" s="79">
        <f>IF(OR($F4564="",$D4564=""),"",IF($D4564="Receita",$F4564,IF($D4564="Transferência",0,-$F4564)))</f>
        <v/>
      </c>
    </row>
    <row r="4565">
      <c r="A4565" s="73" t="n"/>
      <c r="B4565" s="74" t="n"/>
      <c r="C4565" s="74" t="n"/>
      <c r="D4565" s="75">
        <f>IF($C4565="","",IFERROR(INDEX(CAT_TIPO,MATCH($C4565,CAT_NOME,0)),"Sem categoria"))</f>
        <v/>
      </c>
      <c r="E4565" s="75">
        <f>IF($C4565="","",IFERROR(INDEX(CAT_GRUPO,MATCH($C4565,CAT_NOME,0)),"Sem categoria"))</f>
        <v/>
      </c>
      <c r="F4565" s="76" t="n"/>
      <c r="G4565" s="74" t="n"/>
      <c r="H4565" s="74" t="n"/>
      <c r="I4565" s="74" t="n"/>
      <c r="J4565" s="77" t="n"/>
      <c r="K4565" s="77" t="n"/>
      <c r="L4565" s="74" t="n"/>
      <c r="M4565" s="74" t="n"/>
      <c r="O4565" s="78">
        <f>IF($A4565="","",YEAR($A4565)*100+MONTH($A4565))</f>
        <v/>
      </c>
      <c r="P4565" s="79">
        <f>IF(OR($F4565="",$D4565=""),"",IF($D4565="Receita",$F4565,IF($D4565="Transferência",0,-$F4565)))</f>
        <v/>
      </c>
    </row>
    <row r="4566">
      <c r="A4566" s="73" t="n"/>
      <c r="B4566" s="74" t="n"/>
      <c r="C4566" s="74" t="n"/>
      <c r="D4566" s="75">
        <f>IF($C4566="","",IFERROR(INDEX(CAT_TIPO,MATCH($C4566,CAT_NOME,0)),"Sem categoria"))</f>
        <v/>
      </c>
      <c r="E4566" s="75">
        <f>IF($C4566="","",IFERROR(INDEX(CAT_GRUPO,MATCH($C4566,CAT_NOME,0)),"Sem categoria"))</f>
        <v/>
      </c>
      <c r="F4566" s="76" t="n"/>
      <c r="G4566" s="74" t="n"/>
      <c r="H4566" s="74" t="n"/>
      <c r="I4566" s="74" t="n"/>
      <c r="J4566" s="77" t="n"/>
      <c r="K4566" s="77" t="n"/>
      <c r="L4566" s="74" t="n"/>
      <c r="M4566" s="74" t="n"/>
      <c r="O4566" s="78">
        <f>IF($A4566="","",YEAR($A4566)*100+MONTH($A4566))</f>
        <v/>
      </c>
      <c r="P4566" s="79">
        <f>IF(OR($F4566="",$D4566=""),"",IF($D4566="Receita",$F4566,IF($D4566="Transferência",0,-$F4566)))</f>
        <v/>
      </c>
    </row>
    <row r="4567">
      <c r="A4567" s="73" t="n"/>
      <c r="B4567" s="74" t="n"/>
      <c r="C4567" s="74" t="n"/>
      <c r="D4567" s="75">
        <f>IF($C4567="","",IFERROR(INDEX(CAT_TIPO,MATCH($C4567,CAT_NOME,0)),"Sem categoria"))</f>
        <v/>
      </c>
      <c r="E4567" s="75">
        <f>IF($C4567="","",IFERROR(INDEX(CAT_GRUPO,MATCH($C4567,CAT_NOME,0)),"Sem categoria"))</f>
        <v/>
      </c>
      <c r="F4567" s="76" t="n"/>
      <c r="G4567" s="74" t="n"/>
      <c r="H4567" s="74" t="n"/>
      <c r="I4567" s="74" t="n"/>
      <c r="J4567" s="77" t="n"/>
      <c r="K4567" s="77" t="n"/>
      <c r="L4567" s="74" t="n"/>
      <c r="M4567" s="74" t="n"/>
      <c r="O4567" s="78">
        <f>IF($A4567="","",YEAR($A4567)*100+MONTH($A4567))</f>
        <v/>
      </c>
      <c r="P4567" s="79">
        <f>IF(OR($F4567="",$D4567=""),"",IF($D4567="Receita",$F4567,IF($D4567="Transferência",0,-$F4567)))</f>
        <v/>
      </c>
    </row>
    <row r="4568">
      <c r="A4568" s="73" t="n"/>
      <c r="B4568" s="74" t="n"/>
      <c r="C4568" s="74" t="n"/>
      <c r="D4568" s="75">
        <f>IF($C4568="","",IFERROR(INDEX(CAT_TIPO,MATCH($C4568,CAT_NOME,0)),"Sem categoria"))</f>
        <v/>
      </c>
      <c r="E4568" s="75">
        <f>IF($C4568="","",IFERROR(INDEX(CAT_GRUPO,MATCH($C4568,CAT_NOME,0)),"Sem categoria"))</f>
        <v/>
      </c>
      <c r="F4568" s="76" t="n"/>
      <c r="G4568" s="74" t="n"/>
      <c r="H4568" s="74" t="n"/>
      <c r="I4568" s="74" t="n"/>
      <c r="J4568" s="77" t="n"/>
      <c r="K4568" s="77" t="n"/>
      <c r="L4568" s="74" t="n"/>
      <c r="M4568" s="74" t="n"/>
      <c r="O4568" s="78">
        <f>IF($A4568="","",YEAR($A4568)*100+MONTH($A4568))</f>
        <v/>
      </c>
      <c r="P4568" s="79">
        <f>IF(OR($F4568="",$D4568=""),"",IF($D4568="Receita",$F4568,IF($D4568="Transferência",0,-$F4568)))</f>
        <v/>
      </c>
    </row>
    <row r="4569">
      <c r="A4569" s="73" t="n"/>
      <c r="B4569" s="74" t="n"/>
      <c r="C4569" s="74" t="n"/>
      <c r="D4569" s="75">
        <f>IF($C4569="","",IFERROR(INDEX(CAT_TIPO,MATCH($C4569,CAT_NOME,0)),"Sem categoria"))</f>
        <v/>
      </c>
      <c r="E4569" s="75">
        <f>IF($C4569="","",IFERROR(INDEX(CAT_GRUPO,MATCH($C4569,CAT_NOME,0)),"Sem categoria"))</f>
        <v/>
      </c>
      <c r="F4569" s="76" t="n"/>
      <c r="G4569" s="74" t="n"/>
      <c r="H4569" s="74" t="n"/>
      <c r="I4569" s="74" t="n"/>
      <c r="J4569" s="77" t="n"/>
      <c r="K4569" s="77" t="n"/>
      <c r="L4569" s="74" t="n"/>
      <c r="M4569" s="74" t="n"/>
      <c r="O4569" s="78">
        <f>IF($A4569="","",YEAR($A4569)*100+MONTH($A4569))</f>
        <v/>
      </c>
      <c r="P4569" s="79">
        <f>IF(OR($F4569="",$D4569=""),"",IF($D4569="Receita",$F4569,IF($D4569="Transferência",0,-$F4569)))</f>
        <v/>
      </c>
    </row>
    <row r="4570">
      <c r="A4570" s="73" t="n"/>
      <c r="B4570" s="74" t="n"/>
      <c r="C4570" s="74" t="n"/>
      <c r="D4570" s="75">
        <f>IF($C4570="","",IFERROR(INDEX(CAT_TIPO,MATCH($C4570,CAT_NOME,0)),"Sem categoria"))</f>
        <v/>
      </c>
      <c r="E4570" s="75">
        <f>IF($C4570="","",IFERROR(INDEX(CAT_GRUPO,MATCH($C4570,CAT_NOME,0)),"Sem categoria"))</f>
        <v/>
      </c>
      <c r="F4570" s="76" t="n"/>
      <c r="G4570" s="74" t="n"/>
      <c r="H4570" s="74" t="n"/>
      <c r="I4570" s="74" t="n"/>
      <c r="J4570" s="77" t="n"/>
      <c r="K4570" s="77" t="n"/>
      <c r="L4570" s="74" t="n"/>
      <c r="M4570" s="74" t="n"/>
      <c r="O4570" s="78">
        <f>IF($A4570="","",YEAR($A4570)*100+MONTH($A4570))</f>
        <v/>
      </c>
      <c r="P4570" s="79">
        <f>IF(OR($F4570="",$D4570=""),"",IF($D4570="Receita",$F4570,IF($D4570="Transferência",0,-$F4570)))</f>
        <v/>
      </c>
    </row>
    <row r="4571">
      <c r="A4571" s="73" t="n"/>
      <c r="B4571" s="74" t="n"/>
      <c r="C4571" s="74" t="n"/>
      <c r="D4571" s="75">
        <f>IF($C4571="","",IFERROR(INDEX(CAT_TIPO,MATCH($C4571,CAT_NOME,0)),"Sem categoria"))</f>
        <v/>
      </c>
      <c r="E4571" s="75">
        <f>IF($C4571="","",IFERROR(INDEX(CAT_GRUPO,MATCH($C4571,CAT_NOME,0)),"Sem categoria"))</f>
        <v/>
      </c>
      <c r="F4571" s="76" t="n"/>
      <c r="G4571" s="74" t="n"/>
      <c r="H4571" s="74" t="n"/>
      <c r="I4571" s="74" t="n"/>
      <c r="J4571" s="77" t="n"/>
      <c r="K4571" s="77" t="n"/>
      <c r="L4571" s="74" t="n"/>
      <c r="M4571" s="74" t="n"/>
      <c r="O4571" s="78">
        <f>IF($A4571="","",YEAR($A4571)*100+MONTH($A4571))</f>
        <v/>
      </c>
      <c r="P4571" s="79">
        <f>IF(OR($F4571="",$D4571=""),"",IF($D4571="Receita",$F4571,IF($D4571="Transferência",0,-$F4571)))</f>
        <v/>
      </c>
    </row>
    <row r="4572">
      <c r="A4572" s="73" t="n"/>
      <c r="B4572" s="74" t="n"/>
      <c r="C4572" s="74" t="n"/>
      <c r="D4572" s="75">
        <f>IF($C4572="","",IFERROR(INDEX(CAT_TIPO,MATCH($C4572,CAT_NOME,0)),"Sem categoria"))</f>
        <v/>
      </c>
      <c r="E4572" s="75">
        <f>IF($C4572="","",IFERROR(INDEX(CAT_GRUPO,MATCH($C4572,CAT_NOME,0)),"Sem categoria"))</f>
        <v/>
      </c>
      <c r="F4572" s="76" t="n"/>
      <c r="G4572" s="74" t="n"/>
      <c r="H4572" s="74" t="n"/>
      <c r="I4572" s="74" t="n"/>
      <c r="J4572" s="77" t="n"/>
      <c r="K4572" s="77" t="n"/>
      <c r="L4572" s="74" t="n"/>
      <c r="M4572" s="74" t="n"/>
      <c r="O4572" s="78">
        <f>IF($A4572="","",YEAR($A4572)*100+MONTH($A4572))</f>
        <v/>
      </c>
      <c r="P4572" s="79">
        <f>IF(OR($F4572="",$D4572=""),"",IF($D4572="Receita",$F4572,IF($D4572="Transferência",0,-$F4572)))</f>
        <v/>
      </c>
    </row>
    <row r="4573">
      <c r="A4573" s="73" t="n"/>
      <c r="B4573" s="74" t="n"/>
      <c r="C4573" s="74" t="n"/>
      <c r="D4573" s="75">
        <f>IF($C4573="","",IFERROR(INDEX(CAT_TIPO,MATCH($C4573,CAT_NOME,0)),"Sem categoria"))</f>
        <v/>
      </c>
      <c r="E4573" s="75">
        <f>IF($C4573="","",IFERROR(INDEX(CAT_GRUPO,MATCH($C4573,CAT_NOME,0)),"Sem categoria"))</f>
        <v/>
      </c>
      <c r="F4573" s="76" t="n"/>
      <c r="G4573" s="74" t="n"/>
      <c r="H4573" s="74" t="n"/>
      <c r="I4573" s="74" t="n"/>
      <c r="J4573" s="77" t="n"/>
      <c r="K4573" s="77" t="n"/>
      <c r="L4573" s="74" t="n"/>
      <c r="M4573" s="74" t="n"/>
      <c r="O4573" s="78">
        <f>IF($A4573="","",YEAR($A4573)*100+MONTH($A4573))</f>
        <v/>
      </c>
      <c r="P4573" s="79">
        <f>IF(OR($F4573="",$D4573=""),"",IF($D4573="Receita",$F4573,IF($D4573="Transferência",0,-$F4573)))</f>
        <v/>
      </c>
    </row>
    <row r="4574">
      <c r="A4574" s="73" t="n"/>
      <c r="B4574" s="74" t="n"/>
      <c r="C4574" s="74" t="n"/>
      <c r="D4574" s="75">
        <f>IF($C4574="","",IFERROR(INDEX(CAT_TIPO,MATCH($C4574,CAT_NOME,0)),"Sem categoria"))</f>
        <v/>
      </c>
      <c r="E4574" s="75">
        <f>IF($C4574="","",IFERROR(INDEX(CAT_GRUPO,MATCH($C4574,CAT_NOME,0)),"Sem categoria"))</f>
        <v/>
      </c>
      <c r="F4574" s="76" t="n"/>
      <c r="G4574" s="74" t="n"/>
      <c r="H4574" s="74" t="n"/>
      <c r="I4574" s="74" t="n"/>
      <c r="J4574" s="77" t="n"/>
      <c r="K4574" s="77" t="n"/>
      <c r="L4574" s="74" t="n"/>
      <c r="M4574" s="74" t="n"/>
      <c r="O4574" s="78">
        <f>IF($A4574="","",YEAR($A4574)*100+MONTH($A4574))</f>
        <v/>
      </c>
      <c r="P4574" s="79">
        <f>IF(OR($F4574="",$D4574=""),"",IF($D4574="Receita",$F4574,IF($D4574="Transferência",0,-$F4574)))</f>
        <v/>
      </c>
    </row>
    <row r="4575">
      <c r="A4575" s="73" t="n"/>
      <c r="B4575" s="74" t="n"/>
      <c r="C4575" s="74" t="n"/>
      <c r="D4575" s="75">
        <f>IF($C4575="","",IFERROR(INDEX(CAT_TIPO,MATCH($C4575,CAT_NOME,0)),"Sem categoria"))</f>
        <v/>
      </c>
      <c r="E4575" s="75">
        <f>IF($C4575="","",IFERROR(INDEX(CAT_GRUPO,MATCH($C4575,CAT_NOME,0)),"Sem categoria"))</f>
        <v/>
      </c>
      <c r="F4575" s="76" t="n"/>
      <c r="G4575" s="74" t="n"/>
      <c r="H4575" s="74" t="n"/>
      <c r="I4575" s="74" t="n"/>
      <c r="J4575" s="77" t="n"/>
      <c r="K4575" s="77" t="n"/>
      <c r="L4575" s="74" t="n"/>
      <c r="M4575" s="74" t="n"/>
      <c r="O4575" s="78">
        <f>IF($A4575="","",YEAR($A4575)*100+MONTH($A4575))</f>
        <v/>
      </c>
      <c r="P4575" s="79">
        <f>IF(OR($F4575="",$D4575=""),"",IF($D4575="Receita",$F4575,IF($D4575="Transferência",0,-$F4575)))</f>
        <v/>
      </c>
    </row>
    <row r="4576">
      <c r="A4576" s="73" t="n"/>
      <c r="B4576" s="74" t="n"/>
      <c r="C4576" s="74" t="n"/>
      <c r="D4576" s="75">
        <f>IF($C4576="","",IFERROR(INDEX(CAT_TIPO,MATCH($C4576,CAT_NOME,0)),"Sem categoria"))</f>
        <v/>
      </c>
      <c r="E4576" s="75">
        <f>IF($C4576="","",IFERROR(INDEX(CAT_GRUPO,MATCH($C4576,CAT_NOME,0)),"Sem categoria"))</f>
        <v/>
      </c>
      <c r="F4576" s="76" t="n"/>
      <c r="G4576" s="74" t="n"/>
      <c r="H4576" s="74" t="n"/>
      <c r="I4576" s="74" t="n"/>
      <c r="J4576" s="77" t="n"/>
      <c r="K4576" s="77" t="n"/>
      <c r="L4576" s="74" t="n"/>
      <c r="M4576" s="74" t="n"/>
      <c r="O4576" s="78">
        <f>IF($A4576="","",YEAR($A4576)*100+MONTH($A4576))</f>
        <v/>
      </c>
      <c r="P4576" s="79">
        <f>IF(OR($F4576="",$D4576=""),"",IF($D4576="Receita",$F4576,IF($D4576="Transferência",0,-$F4576)))</f>
        <v/>
      </c>
    </row>
    <row r="4577">
      <c r="A4577" s="73" t="n"/>
      <c r="B4577" s="74" t="n"/>
      <c r="C4577" s="74" t="n"/>
      <c r="D4577" s="75">
        <f>IF($C4577="","",IFERROR(INDEX(CAT_TIPO,MATCH($C4577,CAT_NOME,0)),"Sem categoria"))</f>
        <v/>
      </c>
      <c r="E4577" s="75">
        <f>IF($C4577="","",IFERROR(INDEX(CAT_GRUPO,MATCH($C4577,CAT_NOME,0)),"Sem categoria"))</f>
        <v/>
      </c>
      <c r="F4577" s="76" t="n"/>
      <c r="G4577" s="74" t="n"/>
      <c r="H4577" s="74" t="n"/>
      <c r="I4577" s="74" t="n"/>
      <c r="J4577" s="77" t="n"/>
      <c r="K4577" s="77" t="n"/>
      <c r="L4577" s="74" t="n"/>
      <c r="M4577" s="74" t="n"/>
      <c r="O4577" s="78">
        <f>IF($A4577="","",YEAR($A4577)*100+MONTH($A4577))</f>
        <v/>
      </c>
      <c r="P4577" s="79">
        <f>IF(OR($F4577="",$D4577=""),"",IF($D4577="Receita",$F4577,IF($D4577="Transferência",0,-$F4577)))</f>
        <v/>
      </c>
    </row>
    <row r="4578">
      <c r="A4578" s="73" t="n"/>
      <c r="B4578" s="74" t="n"/>
      <c r="C4578" s="74" t="n"/>
      <c r="D4578" s="75">
        <f>IF($C4578="","",IFERROR(INDEX(CAT_TIPO,MATCH($C4578,CAT_NOME,0)),"Sem categoria"))</f>
        <v/>
      </c>
      <c r="E4578" s="75">
        <f>IF($C4578="","",IFERROR(INDEX(CAT_GRUPO,MATCH($C4578,CAT_NOME,0)),"Sem categoria"))</f>
        <v/>
      </c>
      <c r="F4578" s="76" t="n"/>
      <c r="G4578" s="74" t="n"/>
      <c r="H4578" s="74" t="n"/>
      <c r="I4578" s="74" t="n"/>
      <c r="J4578" s="77" t="n"/>
      <c r="K4578" s="77" t="n"/>
      <c r="L4578" s="74" t="n"/>
      <c r="M4578" s="74" t="n"/>
      <c r="O4578" s="78">
        <f>IF($A4578="","",YEAR($A4578)*100+MONTH($A4578))</f>
        <v/>
      </c>
      <c r="P4578" s="79">
        <f>IF(OR($F4578="",$D4578=""),"",IF($D4578="Receita",$F4578,IF($D4578="Transferência",0,-$F4578)))</f>
        <v/>
      </c>
    </row>
    <row r="4579">
      <c r="A4579" s="73" t="n"/>
      <c r="B4579" s="74" t="n"/>
      <c r="C4579" s="74" t="n"/>
      <c r="D4579" s="75">
        <f>IF($C4579="","",IFERROR(INDEX(CAT_TIPO,MATCH($C4579,CAT_NOME,0)),"Sem categoria"))</f>
        <v/>
      </c>
      <c r="E4579" s="75">
        <f>IF($C4579="","",IFERROR(INDEX(CAT_GRUPO,MATCH($C4579,CAT_NOME,0)),"Sem categoria"))</f>
        <v/>
      </c>
      <c r="F4579" s="76" t="n"/>
      <c r="G4579" s="74" t="n"/>
      <c r="H4579" s="74" t="n"/>
      <c r="I4579" s="74" t="n"/>
      <c r="J4579" s="77" t="n"/>
      <c r="K4579" s="77" t="n"/>
      <c r="L4579" s="74" t="n"/>
      <c r="M4579" s="74" t="n"/>
      <c r="O4579" s="78">
        <f>IF($A4579="","",YEAR($A4579)*100+MONTH($A4579))</f>
        <v/>
      </c>
      <c r="P4579" s="79">
        <f>IF(OR($F4579="",$D4579=""),"",IF($D4579="Receita",$F4579,IF($D4579="Transferência",0,-$F4579)))</f>
        <v/>
      </c>
    </row>
    <row r="4580">
      <c r="A4580" s="73" t="n"/>
      <c r="B4580" s="74" t="n"/>
      <c r="C4580" s="74" t="n"/>
      <c r="D4580" s="75">
        <f>IF($C4580="","",IFERROR(INDEX(CAT_TIPO,MATCH($C4580,CAT_NOME,0)),"Sem categoria"))</f>
        <v/>
      </c>
      <c r="E4580" s="75">
        <f>IF($C4580="","",IFERROR(INDEX(CAT_GRUPO,MATCH($C4580,CAT_NOME,0)),"Sem categoria"))</f>
        <v/>
      </c>
      <c r="F4580" s="76" t="n"/>
      <c r="G4580" s="74" t="n"/>
      <c r="H4580" s="74" t="n"/>
      <c r="I4580" s="74" t="n"/>
      <c r="J4580" s="77" t="n"/>
      <c r="K4580" s="77" t="n"/>
      <c r="L4580" s="74" t="n"/>
      <c r="M4580" s="74" t="n"/>
      <c r="O4580" s="78">
        <f>IF($A4580="","",YEAR($A4580)*100+MONTH($A4580))</f>
        <v/>
      </c>
      <c r="P4580" s="79">
        <f>IF(OR($F4580="",$D4580=""),"",IF($D4580="Receita",$F4580,IF($D4580="Transferência",0,-$F4580)))</f>
        <v/>
      </c>
    </row>
    <row r="4581">
      <c r="A4581" s="73" t="n"/>
      <c r="B4581" s="74" t="n"/>
      <c r="C4581" s="74" t="n"/>
      <c r="D4581" s="75">
        <f>IF($C4581="","",IFERROR(INDEX(CAT_TIPO,MATCH($C4581,CAT_NOME,0)),"Sem categoria"))</f>
        <v/>
      </c>
      <c r="E4581" s="75">
        <f>IF($C4581="","",IFERROR(INDEX(CAT_GRUPO,MATCH($C4581,CAT_NOME,0)),"Sem categoria"))</f>
        <v/>
      </c>
      <c r="F4581" s="76" t="n"/>
      <c r="G4581" s="74" t="n"/>
      <c r="H4581" s="74" t="n"/>
      <c r="I4581" s="74" t="n"/>
      <c r="J4581" s="77" t="n"/>
      <c r="K4581" s="77" t="n"/>
      <c r="L4581" s="74" t="n"/>
      <c r="M4581" s="74" t="n"/>
      <c r="O4581" s="78">
        <f>IF($A4581="","",YEAR($A4581)*100+MONTH($A4581))</f>
        <v/>
      </c>
      <c r="P4581" s="79">
        <f>IF(OR($F4581="",$D4581=""),"",IF($D4581="Receita",$F4581,IF($D4581="Transferência",0,-$F4581)))</f>
        <v/>
      </c>
    </row>
    <row r="4582">
      <c r="A4582" s="73" t="n"/>
      <c r="B4582" s="74" t="n"/>
      <c r="C4582" s="74" t="n"/>
      <c r="D4582" s="75">
        <f>IF($C4582="","",IFERROR(INDEX(CAT_TIPO,MATCH($C4582,CAT_NOME,0)),"Sem categoria"))</f>
        <v/>
      </c>
      <c r="E4582" s="75">
        <f>IF($C4582="","",IFERROR(INDEX(CAT_GRUPO,MATCH($C4582,CAT_NOME,0)),"Sem categoria"))</f>
        <v/>
      </c>
      <c r="F4582" s="76" t="n"/>
      <c r="G4582" s="74" t="n"/>
      <c r="H4582" s="74" t="n"/>
      <c r="I4582" s="74" t="n"/>
      <c r="J4582" s="77" t="n"/>
      <c r="K4582" s="77" t="n"/>
      <c r="L4582" s="74" t="n"/>
      <c r="M4582" s="74" t="n"/>
      <c r="O4582" s="78">
        <f>IF($A4582="","",YEAR($A4582)*100+MONTH($A4582))</f>
        <v/>
      </c>
      <c r="P4582" s="79">
        <f>IF(OR($F4582="",$D4582=""),"",IF($D4582="Receita",$F4582,IF($D4582="Transferência",0,-$F4582)))</f>
        <v/>
      </c>
    </row>
    <row r="4583">
      <c r="A4583" s="73" t="n"/>
      <c r="B4583" s="74" t="n"/>
      <c r="C4583" s="74" t="n"/>
      <c r="D4583" s="75">
        <f>IF($C4583="","",IFERROR(INDEX(CAT_TIPO,MATCH($C4583,CAT_NOME,0)),"Sem categoria"))</f>
        <v/>
      </c>
      <c r="E4583" s="75">
        <f>IF($C4583="","",IFERROR(INDEX(CAT_GRUPO,MATCH($C4583,CAT_NOME,0)),"Sem categoria"))</f>
        <v/>
      </c>
      <c r="F4583" s="76" t="n"/>
      <c r="G4583" s="74" t="n"/>
      <c r="H4583" s="74" t="n"/>
      <c r="I4583" s="74" t="n"/>
      <c r="J4583" s="77" t="n"/>
      <c r="K4583" s="77" t="n"/>
      <c r="L4583" s="74" t="n"/>
      <c r="M4583" s="74" t="n"/>
      <c r="O4583" s="78">
        <f>IF($A4583="","",YEAR($A4583)*100+MONTH($A4583))</f>
        <v/>
      </c>
      <c r="P4583" s="79">
        <f>IF(OR($F4583="",$D4583=""),"",IF($D4583="Receita",$F4583,IF($D4583="Transferência",0,-$F4583)))</f>
        <v/>
      </c>
    </row>
    <row r="4584">
      <c r="A4584" s="73" t="n"/>
      <c r="B4584" s="74" t="n"/>
      <c r="C4584" s="74" t="n"/>
      <c r="D4584" s="75">
        <f>IF($C4584="","",IFERROR(INDEX(CAT_TIPO,MATCH($C4584,CAT_NOME,0)),"Sem categoria"))</f>
        <v/>
      </c>
      <c r="E4584" s="75">
        <f>IF($C4584="","",IFERROR(INDEX(CAT_GRUPO,MATCH($C4584,CAT_NOME,0)),"Sem categoria"))</f>
        <v/>
      </c>
      <c r="F4584" s="76" t="n"/>
      <c r="G4584" s="74" t="n"/>
      <c r="H4584" s="74" t="n"/>
      <c r="I4584" s="74" t="n"/>
      <c r="J4584" s="77" t="n"/>
      <c r="K4584" s="77" t="n"/>
      <c r="L4584" s="74" t="n"/>
      <c r="M4584" s="74" t="n"/>
      <c r="O4584" s="78">
        <f>IF($A4584="","",YEAR($A4584)*100+MONTH($A4584))</f>
        <v/>
      </c>
      <c r="P4584" s="79">
        <f>IF(OR($F4584="",$D4584=""),"",IF($D4584="Receita",$F4584,IF($D4584="Transferência",0,-$F4584)))</f>
        <v/>
      </c>
    </row>
    <row r="4585">
      <c r="A4585" s="73" t="n"/>
      <c r="B4585" s="74" t="n"/>
      <c r="C4585" s="74" t="n"/>
      <c r="D4585" s="75">
        <f>IF($C4585="","",IFERROR(INDEX(CAT_TIPO,MATCH($C4585,CAT_NOME,0)),"Sem categoria"))</f>
        <v/>
      </c>
      <c r="E4585" s="75">
        <f>IF($C4585="","",IFERROR(INDEX(CAT_GRUPO,MATCH($C4585,CAT_NOME,0)),"Sem categoria"))</f>
        <v/>
      </c>
      <c r="F4585" s="76" t="n"/>
      <c r="G4585" s="74" t="n"/>
      <c r="H4585" s="74" t="n"/>
      <c r="I4585" s="74" t="n"/>
      <c r="J4585" s="77" t="n"/>
      <c r="K4585" s="77" t="n"/>
      <c r="L4585" s="74" t="n"/>
      <c r="M4585" s="74" t="n"/>
      <c r="O4585" s="78">
        <f>IF($A4585="","",YEAR($A4585)*100+MONTH($A4585))</f>
        <v/>
      </c>
      <c r="P4585" s="79">
        <f>IF(OR($F4585="",$D4585=""),"",IF($D4585="Receita",$F4585,IF($D4585="Transferência",0,-$F4585)))</f>
        <v/>
      </c>
    </row>
    <row r="4586">
      <c r="A4586" s="73" t="n"/>
      <c r="B4586" s="74" t="n"/>
      <c r="C4586" s="74" t="n"/>
      <c r="D4586" s="75">
        <f>IF($C4586="","",IFERROR(INDEX(CAT_TIPO,MATCH($C4586,CAT_NOME,0)),"Sem categoria"))</f>
        <v/>
      </c>
      <c r="E4586" s="75">
        <f>IF($C4586="","",IFERROR(INDEX(CAT_GRUPO,MATCH($C4586,CAT_NOME,0)),"Sem categoria"))</f>
        <v/>
      </c>
      <c r="F4586" s="76" t="n"/>
      <c r="G4586" s="74" t="n"/>
      <c r="H4586" s="74" t="n"/>
      <c r="I4586" s="74" t="n"/>
      <c r="J4586" s="77" t="n"/>
      <c r="K4586" s="77" t="n"/>
      <c r="L4586" s="74" t="n"/>
      <c r="M4586" s="74" t="n"/>
      <c r="O4586" s="78">
        <f>IF($A4586="","",YEAR($A4586)*100+MONTH($A4586))</f>
        <v/>
      </c>
      <c r="P4586" s="79">
        <f>IF(OR($F4586="",$D4586=""),"",IF($D4586="Receita",$F4586,IF($D4586="Transferência",0,-$F4586)))</f>
        <v/>
      </c>
    </row>
    <row r="4587">
      <c r="A4587" s="73" t="n"/>
      <c r="B4587" s="74" t="n"/>
      <c r="C4587" s="74" t="n"/>
      <c r="D4587" s="75">
        <f>IF($C4587="","",IFERROR(INDEX(CAT_TIPO,MATCH($C4587,CAT_NOME,0)),"Sem categoria"))</f>
        <v/>
      </c>
      <c r="E4587" s="75">
        <f>IF($C4587="","",IFERROR(INDEX(CAT_GRUPO,MATCH($C4587,CAT_NOME,0)),"Sem categoria"))</f>
        <v/>
      </c>
      <c r="F4587" s="76" t="n"/>
      <c r="G4587" s="74" t="n"/>
      <c r="H4587" s="74" t="n"/>
      <c r="I4587" s="74" t="n"/>
      <c r="J4587" s="77" t="n"/>
      <c r="K4587" s="77" t="n"/>
      <c r="L4587" s="74" t="n"/>
      <c r="M4587" s="74" t="n"/>
      <c r="O4587" s="78">
        <f>IF($A4587="","",YEAR($A4587)*100+MONTH($A4587))</f>
        <v/>
      </c>
      <c r="P4587" s="79">
        <f>IF(OR($F4587="",$D4587=""),"",IF($D4587="Receita",$F4587,IF($D4587="Transferência",0,-$F4587)))</f>
        <v/>
      </c>
    </row>
    <row r="4588">
      <c r="A4588" s="73" t="n"/>
      <c r="B4588" s="74" t="n"/>
      <c r="C4588" s="74" t="n"/>
      <c r="D4588" s="75">
        <f>IF($C4588="","",IFERROR(INDEX(CAT_TIPO,MATCH($C4588,CAT_NOME,0)),"Sem categoria"))</f>
        <v/>
      </c>
      <c r="E4588" s="75">
        <f>IF($C4588="","",IFERROR(INDEX(CAT_GRUPO,MATCH($C4588,CAT_NOME,0)),"Sem categoria"))</f>
        <v/>
      </c>
      <c r="F4588" s="76" t="n"/>
      <c r="G4588" s="74" t="n"/>
      <c r="H4588" s="74" t="n"/>
      <c r="I4588" s="74" t="n"/>
      <c r="J4588" s="77" t="n"/>
      <c r="K4588" s="77" t="n"/>
      <c r="L4588" s="74" t="n"/>
      <c r="M4588" s="74" t="n"/>
      <c r="O4588" s="78">
        <f>IF($A4588="","",YEAR($A4588)*100+MONTH($A4588))</f>
        <v/>
      </c>
      <c r="P4588" s="79">
        <f>IF(OR($F4588="",$D4588=""),"",IF($D4588="Receita",$F4588,IF($D4588="Transferência",0,-$F4588)))</f>
        <v/>
      </c>
    </row>
    <row r="4589">
      <c r="A4589" s="73" t="n"/>
      <c r="B4589" s="74" t="n"/>
      <c r="C4589" s="74" t="n"/>
      <c r="D4589" s="75">
        <f>IF($C4589="","",IFERROR(INDEX(CAT_TIPO,MATCH($C4589,CAT_NOME,0)),"Sem categoria"))</f>
        <v/>
      </c>
      <c r="E4589" s="75">
        <f>IF($C4589="","",IFERROR(INDEX(CAT_GRUPO,MATCH($C4589,CAT_NOME,0)),"Sem categoria"))</f>
        <v/>
      </c>
      <c r="F4589" s="76" t="n"/>
      <c r="G4589" s="74" t="n"/>
      <c r="H4589" s="74" t="n"/>
      <c r="I4589" s="74" t="n"/>
      <c r="J4589" s="77" t="n"/>
      <c r="K4589" s="77" t="n"/>
      <c r="L4589" s="74" t="n"/>
      <c r="M4589" s="74" t="n"/>
      <c r="O4589" s="78">
        <f>IF($A4589="","",YEAR($A4589)*100+MONTH($A4589))</f>
        <v/>
      </c>
      <c r="P4589" s="79">
        <f>IF(OR($F4589="",$D4589=""),"",IF($D4589="Receita",$F4589,IF($D4589="Transferência",0,-$F4589)))</f>
        <v/>
      </c>
    </row>
    <row r="4590">
      <c r="A4590" s="73" t="n"/>
      <c r="B4590" s="74" t="n"/>
      <c r="C4590" s="74" t="n"/>
      <c r="D4590" s="75">
        <f>IF($C4590="","",IFERROR(INDEX(CAT_TIPO,MATCH($C4590,CAT_NOME,0)),"Sem categoria"))</f>
        <v/>
      </c>
      <c r="E4590" s="75">
        <f>IF($C4590="","",IFERROR(INDEX(CAT_GRUPO,MATCH($C4590,CAT_NOME,0)),"Sem categoria"))</f>
        <v/>
      </c>
      <c r="F4590" s="76" t="n"/>
      <c r="G4590" s="74" t="n"/>
      <c r="H4590" s="74" t="n"/>
      <c r="I4590" s="74" t="n"/>
      <c r="J4590" s="77" t="n"/>
      <c r="K4590" s="77" t="n"/>
      <c r="L4590" s="74" t="n"/>
      <c r="M4590" s="74" t="n"/>
      <c r="O4590" s="78">
        <f>IF($A4590="","",YEAR($A4590)*100+MONTH($A4590))</f>
        <v/>
      </c>
      <c r="P4590" s="79">
        <f>IF(OR($F4590="",$D4590=""),"",IF($D4590="Receita",$F4590,IF($D4590="Transferência",0,-$F4590)))</f>
        <v/>
      </c>
    </row>
    <row r="4591">
      <c r="A4591" s="73" t="n"/>
      <c r="B4591" s="74" t="n"/>
      <c r="C4591" s="74" t="n"/>
      <c r="D4591" s="75">
        <f>IF($C4591="","",IFERROR(INDEX(CAT_TIPO,MATCH($C4591,CAT_NOME,0)),"Sem categoria"))</f>
        <v/>
      </c>
      <c r="E4591" s="75">
        <f>IF($C4591="","",IFERROR(INDEX(CAT_GRUPO,MATCH($C4591,CAT_NOME,0)),"Sem categoria"))</f>
        <v/>
      </c>
      <c r="F4591" s="76" t="n"/>
      <c r="G4591" s="74" t="n"/>
      <c r="H4591" s="74" t="n"/>
      <c r="I4591" s="74" t="n"/>
      <c r="J4591" s="77" t="n"/>
      <c r="K4591" s="77" t="n"/>
      <c r="L4591" s="74" t="n"/>
      <c r="M4591" s="74" t="n"/>
      <c r="O4591" s="78">
        <f>IF($A4591="","",YEAR($A4591)*100+MONTH($A4591))</f>
        <v/>
      </c>
      <c r="P4591" s="79">
        <f>IF(OR($F4591="",$D4591=""),"",IF($D4591="Receita",$F4591,IF($D4591="Transferência",0,-$F4591)))</f>
        <v/>
      </c>
    </row>
    <row r="4592">
      <c r="A4592" s="73" t="n"/>
      <c r="B4592" s="74" t="n"/>
      <c r="C4592" s="74" t="n"/>
      <c r="D4592" s="75">
        <f>IF($C4592="","",IFERROR(INDEX(CAT_TIPO,MATCH($C4592,CAT_NOME,0)),"Sem categoria"))</f>
        <v/>
      </c>
      <c r="E4592" s="75">
        <f>IF($C4592="","",IFERROR(INDEX(CAT_GRUPO,MATCH($C4592,CAT_NOME,0)),"Sem categoria"))</f>
        <v/>
      </c>
      <c r="F4592" s="76" t="n"/>
      <c r="G4592" s="74" t="n"/>
      <c r="H4592" s="74" t="n"/>
      <c r="I4592" s="74" t="n"/>
      <c r="J4592" s="77" t="n"/>
      <c r="K4592" s="77" t="n"/>
      <c r="L4592" s="74" t="n"/>
      <c r="M4592" s="74" t="n"/>
      <c r="O4592" s="78">
        <f>IF($A4592="","",YEAR($A4592)*100+MONTH($A4592))</f>
        <v/>
      </c>
      <c r="P4592" s="79">
        <f>IF(OR($F4592="",$D4592=""),"",IF($D4592="Receita",$F4592,IF($D4592="Transferência",0,-$F4592)))</f>
        <v/>
      </c>
    </row>
    <row r="4593">
      <c r="A4593" s="73" t="n"/>
      <c r="B4593" s="74" t="n"/>
      <c r="C4593" s="74" t="n"/>
      <c r="D4593" s="75">
        <f>IF($C4593="","",IFERROR(INDEX(CAT_TIPO,MATCH($C4593,CAT_NOME,0)),"Sem categoria"))</f>
        <v/>
      </c>
      <c r="E4593" s="75">
        <f>IF($C4593="","",IFERROR(INDEX(CAT_GRUPO,MATCH($C4593,CAT_NOME,0)),"Sem categoria"))</f>
        <v/>
      </c>
      <c r="F4593" s="76" t="n"/>
      <c r="G4593" s="74" t="n"/>
      <c r="H4593" s="74" t="n"/>
      <c r="I4593" s="74" t="n"/>
      <c r="J4593" s="77" t="n"/>
      <c r="K4593" s="77" t="n"/>
      <c r="L4593" s="74" t="n"/>
      <c r="M4593" s="74" t="n"/>
      <c r="O4593" s="78">
        <f>IF($A4593="","",YEAR($A4593)*100+MONTH($A4593))</f>
        <v/>
      </c>
      <c r="P4593" s="79">
        <f>IF(OR($F4593="",$D4593=""),"",IF($D4593="Receita",$F4593,IF($D4593="Transferência",0,-$F4593)))</f>
        <v/>
      </c>
    </row>
    <row r="4594">
      <c r="A4594" s="73" t="n"/>
      <c r="B4594" s="74" t="n"/>
      <c r="C4594" s="74" t="n"/>
      <c r="D4594" s="75">
        <f>IF($C4594="","",IFERROR(INDEX(CAT_TIPO,MATCH($C4594,CAT_NOME,0)),"Sem categoria"))</f>
        <v/>
      </c>
      <c r="E4594" s="75">
        <f>IF($C4594="","",IFERROR(INDEX(CAT_GRUPO,MATCH($C4594,CAT_NOME,0)),"Sem categoria"))</f>
        <v/>
      </c>
      <c r="F4594" s="76" t="n"/>
      <c r="G4594" s="74" t="n"/>
      <c r="H4594" s="74" t="n"/>
      <c r="I4594" s="74" t="n"/>
      <c r="J4594" s="77" t="n"/>
      <c r="K4594" s="77" t="n"/>
      <c r="L4594" s="74" t="n"/>
      <c r="M4594" s="74" t="n"/>
      <c r="O4594" s="78">
        <f>IF($A4594="","",YEAR($A4594)*100+MONTH($A4594))</f>
        <v/>
      </c>
      <c r="P4594" s="79">
        <f>IF(OR($F4594="",$D4594=""),"",IF($D4594="Receita",$F4594,IF($D4594="Transferência",0,-$F4594)))</f>
        <v/>
      </c>
    </row>
    <row r="4595">
      <c r="A4595" s="73" t="n"/>
      <c r="B4595" s="74" t="n"/>
      <c r="C4595" s="74" t="n"/>
      <c r="D4595" s="75">
        <f>IF($C4595="","",IFERROR(INDEX(CAT_TIPO,MATCH($C4595,CAT_NOME,0)),"Sem categoria"))</f>
        <v/>
      </c>
      <c r="E4595" s="75">
        <f>IF($C4595="","",IFERROR(INDEX(CAT_GRUPO,MATCH($C4595,CAT_NOME,0)),"Sem categoria"))</f>
        <v/>
      </c>
      <c r="F4595" s="76" t="n"/>
      <c r="G4595" s="74" t="n"/>
      <c r="H4595" s="74" t="n"/>
      <c r="I4595" s="74" t="n"/>
      <c r="J4595" s="77" t="n"/>
      <c r="K4595" s="77" t="n"/>
      <c r="L4595" s="74" t="n"/>
      <c r="M4595" s="74" t="n"/>
      <c r="O4595" s="78">
        <f>IF($A4595="","",YEAR($A4595)*100+MONTH($A4595))</f>
        <v/>
      </c>
      <c r="P4595" s="79">
        <f>IF(OR($F4595="",$D4595=""),"",IF($D4595="Receita",$F4595,IF($D4595="Transferência",0,-$F4595)))</f>
        <v/>
      </c>
    </row>
    <row r="4596">
      <c r="A4596" s="73" t="n"/>
      <c r="B4596" s="74" t="n"/>
      <c r="C4596" s="74" t="n"/>
      <c r="D4596" s="75">
        <f>IF($C4596="","",IFERROR(INDEX(CAT_TIPO,MATCH($C4596,CAT_NOME,0)),"Sem categoria"))</f>
        <v/>
      </c>
      <c r="E4596" s="75">
        <f>IF($C4596="","",IFERROR(INDEX(CAT_GRUPO,MATCH($C4596,CAT_NOME,0)),"Sem categoria"))</f>
        <v/>
      </c>
      <c r="F4596" s="76" t="n"/>
      <c r="G4596" s="74" t="n"/>
      <c r="H4596" s="74" t="n"/>
      <c r="I4596" s="74" t="n"/>
      <c r="J4596" s="77" t="n"/>
      <c r="K4596" s="77" t="n"/>
      <c r="L4596" s="74" t="n"/>
      <c r="M4596" s="74" t="n"/>
      <c r="O4596" s="78">
        <f>IF($A4596="","",YEAR($A4596)*100+MONTH($A4596))</f>
        <v/>
      </c>
      <c r="P4596" s="79">
        <f>IF(OR($F4596="",$D4596=""),"",IF($D4596="Receita",$F4596,IF($D4596="Transferência",0,-$F4596)))</f>
        <v/>
      </c>
    </row>
    <row r="4597">
      <c r="A4597" s="73" t="n"/>
      <c r="B4597" s="74" t="n"/>
      <c r="C4597" s="74" t="n"/>
      <c r="D4597" s="75">
        <f>IF($C4597="","",IFERROR(INDEX(CAT_TIPO,MATCH($C4597,CAT_NOME,0)),"Sem categoria"))</f>
        <v/>
      </c>
      <c r="E4597" s="75">
        <f>IF($C4597="","",IFERROR(INDEX(CAT_GRUPO,MATCH($C4597,CAT_NOME,0)),"Sem categoria"))</f>
        <v/>
      </c>
      <c r="F4597" s="76" t="n"/>
      <c r="G4597" s="74" t="n"/>
      <c r="H4597" s="74" t="n"/>
      <c r="I4597" s="74" t="n"/>
      <c r="J4597" s="77" t="n"/>
      <c r="K4597" s="77" t="n"/>
      <c r="L4597" s="74" t="n"/>
      <c r="M4597" s="74" t="n"/>
      <c r="O4597" s="78">
        <f>IF($A4597="","",YEAR($A4597)*100+MONTH($A4597))</f>
        <v/>
      </c>
      <c r="P4597" s="79">
        <f>IF(OR($F4597="",$D4597=""),"",IF($D4597="Receita",$F4597,IF($D4597="Transferência",0,-$F4597)))</f>
        <v/>
      </c>
    </row>
    <row r="4598">
      <c r="A4598" s="73" t="n"/>
      <c r="B4598" s="74" t="n"/>
      <c r="C4598" s="74" t="n"/>
      <c r="D4598" s="75">
        <f>IF($C4598="","",IFERROR(INDEX(CAT_TIPO,MATCH($C4598,CAT_NOME,0)),"Sem categoria"))</f>
        <v/>
      </c>
      <c r="E4598" s="75">
        <f>IF($C4598="","",IFERROR(INDEX(CAT_GRUPO,MATCH($C4598,CAT_NOME,0)),"Sem categoria"))</f>
        <v/>
      </c>
      <c r="F4598" s="76" t="n"/>
      <c r="G4598" s="74" t="n"/>
      <c r="H4598" s="74" t="n"/>
      <c r="I4598" s="74" t="n"/>
      <c r="J4598" s="77" t="n"/>
      <c r="K4598" s="77" t="n"/>
      <c r="L4598" s="74" t="n"/>
      <c r="M4598" s="74" t="n"/>
      <c r="O4598" s="78">
        <f>IF($A4598="","",YEAR($A4598)*100+MONTH($A4598))</f>
        <v/>
      </c>
      <c r="P4598" s="79">
        <f>IF(OR($F4598="",$D4598=""),"",IF($D4598="Receita",$F4598,IF($D4598="Transferência",0,-$F4598)))</f>
        <v/>
      </c>
    </row>
    <row r="4599">
      <c r="A4599" s="73" t="n"/>
      <c r="B4599" s="74" t="n"/>
      <c r="C4599" s="74" t="n"/>
      <c r="D4599" s="75">
        <f>IF($C4599="","",IFERROR(INDEX(CAT_TIPO,MATCH($C4599,CAT_NOME,0)),"Sem categoria"))</f>
        <v/>
      </c>
      <c r="E4599" s="75">
        <f>IF($C4599="","",IFERROR(INDEX(CAT_GRUPO,MATCH($C4599,CAT_NOME,0)),"Sem categoria"))</f>
        <v/>
      </c>
      <c r="F4599" s="76" t="n"/>
      <c r="G4599" s="74" t="n"/>
      <c r="H4599" s="74" t="n"/>
      <c r="I4599" s="74" t="n"/>
      <c r="J4599" s="77" t="n"/>
      <c r="K4599" s="77" t="n"/>
      <c r="L4599" s="74" t="n"/>
      <c r="M4599" s="74" t="n"/>
      <c r="O4599" s="78">
        <f>IF($A4599="","",YEAR($A4599)*100+MONTH($A4599))</f>
        <v/>
      </c>
      <c r="P4599" s="79">
        <f>IF(OR($F4599="",$D4599=""),"",IF($D4599="Receita",$F4599,IF($D4599="Transferência",0,-$F4599)))</f>
        <v/>
      </c>
    </row>
    <row r="4600">
      <c r="A4600" s="73" t="n"/>
      <c r="B4600" s="74" t="n"/>
      <c r="C4600" s="74" t="n"/>
      <c r="D4600" s="75">
        <f>IF($C4600="","",IFERROR(INDEX(CAT_TIPO,MATCH($C4600,CAT_NOME,0)),"Sem categoria"))</f>
        <v/>
      </c>
      <c r="E4600" s="75">
        <f>IF($C4600="","",IFERROR(INDEX(CAT_GRUPO,MATCH($C4600,CAT_NOME,0)),"Sem categoria"))</f>
        <v/>
      </c>
      <c r="F4600" s="76" t="n"/>
      <c r="G4600" s="74" t="n"/>
      <c r="H4600" s="74" t="n"/>
      <c r="I4600" s="74" t="n"/>
      <c r="J4600" s="77" t="n"/>
      <c r="K4600" s="77" t="n"/>
      <c r="L4600" s="74" t="n"/>
      <c r="M4600" s="74" t="n"/>
      <c r="O4600" s="78">
        <f>IF($A4600="","",YEAR($A4600)*100+MONTH($A4600))</f>
        <v/>
      </c>
      <c r="P4600" s="79">
        <f>IF(OR($F4600="",$D4600=""),"",IF($D4600="Receita",$F4600,IF($D4600="Transferência",0,-$F4600)))</f>
        <v/>
      </c>
    </row>
    <row r="4601">
      <c r="A4601" s="73" t="n"/>
      <c r="B4601" s="74" t="n"/>
      <c r="C4601" s="74" t="n"/>
      <c r="D4601" s="75">
        <f>IF($C4601="","",IFERROR(INDEX(CAT_TIPO,MATCH($C4601,CAT_NOME,0)),"Sem categoria"))</f>
        <v/>
      </c>
      <c r="E4601" s="75">
        <f>IF($C4601="","",IFERROR(INDEX(CAT_GRUPO,MATCH($C4601,CAT_NOME,0)),"Sem categoria"))</f>
        <v/>
      </c>
      <c r="F4601" s="76" t="n"/>
      <c r="G4601" s="74" t="n"/>
      <c r="H4601" s="74" t="n"/>
      <c r="I4601" s="74" t="n"/>
      <c r="J4601" s="77" t="n"/>
      <c r="K4601" s="77" t="n"/>
      <c r="L4601" s="74" t="n"/>
      <c r="M4601" s="74" t="n"/>
      <c r="O4601" s="78">
        <f>IF($A4601="","",YEAR($A4601)*100+MONTH($A4601))</f>
        <v/>
      </c>
      <c r="P4601" s="79">
        <f>IF(OR($F4601="",$D4601=""),"",IF($D4601="Receita",$F4601,IF($D4601="Transferência",0,-$F4601)))</f>
        <v/>
      </c>
    </row>
    <row r="4602">
      <c r="A4602" s="73" t="n"/>
      <c r="B4602" s="74" t="n"/>
      <c r="C4602" s="74" t="n"/>
      <c r="D4602" s="75">
        <f>IF($C4602="","",IFERROR(INDEX(CAT_TIPO,MATCH($C4602,CAT_NOME,0)),"Sem categoria"))</f>
        <v/>
      </c>
      <c r="E4602" s="75">
        <f>IF($C4602="","",IFERROR(INDEX(CAT_GRUPO,MATCH($C4602,CAT_NOME,0)),"Sem categoria"))</f>
        <v/>
      </c>
      <c r="F4602" s="76" t="n"/>
      <c r="G4602" s="74" t="n"/>
      <c r="H4602" s="74" t="n"/>
      <c r="I4602" s="74" t="n"/>
      <c r="J4602" s="77" t="n"/>
      <c r="K4602" s="77" t="n"/>
      <c r="L4602" s="74" t="n"/>
      <c r="M4602" s="74" t="n"/>
      <c r="O4602" s="78">
        <f>IF($A4602="","",YEAR($A4602)*100+MONTH($A4602))</f>
        <v/>
      </c>
      <c r="P4602" s="79">
        <f>IF(OR($F4602="",$D4602=""),"",IF($D4602="Receita",$F4602,IF($D4602="Transferência",0,-$F4602)))</f>
        <v/>
      </c>
    </row>
    <row r="4603">
      <c r="A4603" s="73" t="n"/>
      <c r="B4603" s="74" t="n"/>
      <c r="C4603" s="74" t="n"/>
      <c r="D4603" s="75">
        <f>IF($C4603="","",IFERROR(INDEX(CAT_TIPO,MATCH($C4603,CAT_NOME,0)),"Sem categoria"))</f>
        <v/>
      </c>
      <c r="E4603" s="75">
        <f>IF($C4603="","",IFERROR(INDEX(CAT_GRUPO,MATCH($C4603,CAT_NOME,0)),"Sem categoria"))</f>
        <v/>
      </c>
      <c r="F4603" s="76" t="n"/>
      <c r="G4603" s="74" t="n"/>
      <c r="H4603" s="74" t="n"/>
      <c r="I4603" s="74" t="n"/>
      <c r="J4603" s="77" t="n"/>
      <c r="K4603" s="77" t="n"/>
      <c r="L4603" s="74" t="n"/>
      <c r="M4603" s="74" t="n"/>
      <c r="O4603" s="78">
        <f>IF($A4603="","",YEAR($A4603)*100+MONTH($A4603))</f>
        <v/>
      </c>
      <c r="P4603" s="79">
        <f>IF(OR($F4603="",$D4603=""),"",IF($D4603="Receita",$F4603,IF($D4603="Transferência",0,-$F4603)))</f>
        <v/>
      </c>
    </row>
    <row r="4604">
      <c r="A4604" s="73" t="n"/>
      <c r="B4604" s="74" t="n"/>
      <c r="C4604" s="74" t="n"/>
      <c r="D4604" s="75">
        <f>IF($C4604="","",IFERROR(INDEX(CAT_TIPO,MATCH($C4604,CAT_NOME,0)),"Sem categoria"))</f>
        <v/>
      </c>
      <c r="E4604" s="75">
        <f>IF($C4604="","",IFERROR(INDEX(CAT_GRUPO,MATCH($C4604,CAT_NOME,0)),"Sem categoria"))</f>
        <v/>
      </c>
      <c r="F4604" s="76" t="n"/>
      <c r="G4604" s="74" t="n"/>
      <c r="H4604" s="74" t="n"/>
      <c r="I4604" s="74" t="n"/>
      <c r="J4604" s="77" t="n"/>
      <c r="K4604" s="77" t="n"/>
      <c r="L4604" s="74" t="n"/>
      <c r="M4604" s="74" t="n"/>
      <c r="O4604" s="78">
        <f>IF($A4604="","",YEAR($A4604)*100+MONTH($A4604))</f>
        <v/>
      </c>
      <c r="P4604" s="79">
        <f>IF(OR($F4604="",$D4604=""),"",IF($D4604="Receita",$F4604,IF($D4604="Transferência",0,-$F4604)))</f>
        <v/>
      </c>
    </row>
    <row r="4605">
      <c r="A4605" s="73" t="n"/>
      <c r="B4605" s="74" t="n"/>
      <c r="C4605" s="74" t="n"/>
      <c r="D4605" s="75">
        <f>IF($C4605="","",IFERROR(INDEX(CAT_TIPO,MATCH($C4605,CAT_NOME,0)),"Sem categoria"))</f>
        <v/>
      </c>
      <c r="E4605" s="75">
        <f>IF($C4605="","",IFERROR(INDEX(CAT_GRUPO,MATCH($C4605,CAT_NOME,0)),"Sem categoria"))</f>
        <v/>
      </c>
      <c r="F4605" s="76" t="n"/>
      <c r="G4605" s="74" t="n"/>
      <c r="H4605" s="74" t="n"/>
      <c r="I4605" s="74" t="n"/>
      <c r="J4605" s="77" t="n"/>
      <c r="K4605" s="77" t="n"/>
      <c r="L4605" s="74" t="n"/>
      <c r="M4605" s="74" t="n"/>
      <c r="O4605" s="78">
        <f>IF($A4605="","",YEAR($A4605)*100+MONTH($A4605))</f>
        <v/>
      </c>
      <c r="P4605" s="79">
        <f>IF(OR($F4605="",$D4605=""),"",IF($D4605="Receita",$F4605,IF($D4605="Transferência",0,-$F4605)))</f>
        <v/>
      </c>
    </row>
    <row r="4606">
      <c r="A4606" s="73" t="n"/>
      <c r="B4606" s="74" t="n"/>
      <c r="C4606" s="74" t="n"/>
      <c r="D4606" s="75">
        <f>IF($C4606="","",IFERROR(INDEX(CAT_TIPO,MATCH($C4606,CAT_NOME,0)),"Sem categoria"))</f>
        <v/>
      </c>
      <c r="E4606" s="75">
        <f>IF($C4606="","",IFERROR(INDEX(CAT_GRUPO,MATCH($C4606,CAT_NOME,0)),"Sem categoria"))</f>
        <v/>
      </c>
      <c r="F4606" s="76" t="n"/>
      <c r="G4606" s="74" t="n"/>
      <c r="H4606" s="74" t="n"/>
      <c r="I4606" s="74" t="n"/>
      <c r="J4606" s="77" t="n"/>
      <c r="K4606" s="77" t="n"/>
      <c r="L4606" s="74" t="n"/>
      <c r="M4606" s="74" t="n"/>
      <c r="O4606" s="78">
        <f>IF($A4606="","",YEAR($A4606)*100+MONTH($A4606))</f>
        <v/>
      </c>
      <c r="P4606" s="79">
        <f>IF(OR($F4606="",$D4606=""),"",IF($D4606="Receita",$F4606,IF($D4606="Transferência",0,-$F4606)))</f>
        <v/>
      </c>
    </row>
    <row r="4607">
      <c r="A4607" s="73" t="n"/>
      <c r="B4607" s="74" t="n"/>
      <c r="C4607" s="74" t="n"/>
      <c r="D4607" s="75">
        <f>IF($C4607="","",IFERROR(INDEX(CAT_TIPO,MATCH($C4607,CAT_NOME,0)),"Sem categoria"))</f>
        <v/>
      </c>
      <c r="E4607" s="75">
        <f>IF($C4607="","",IFERROR(INDEX(CAT_GRUPO,MATCH($C4607,CAT_NOME,0)),"Sem categoria"))</f>
        <v/>
      </c>
      <c r="F4607" s="76" t="n"/>
      <c r="G4607" s="74" t="n"/>
      <c r="H4607" s="74" t="n"/>
      <c r="I4607" s="74" t="n"/>
      <c r="J4607" s="77" t="n"/>
      <c r="K4607" s="77" t="n"/>
      <c r="L4607" s="74" t="n"/>
      <c r="M4607" s="74" t="n"/>
      <c r="O4607" s="78">
        <f>IF($A4607="","",YEAR($A4607)*100+MONTH($A4607))</f>
        <v/>
      </c>
      <c r="P4607" s="79">
        <f>IF(OR($F4607="",$D4607=""),"",IF($D4607="Receita",$F4607,IF($D4607="Transferência",0,-$F4607)))</f>
        <v/>
      </c>
    </row>
    <row r="4608">
      <c r="A4608" s="73" t="n"/>
      <c r="B4608" s="74" t="n"/>
      <c r="C4608" s="74" t="n"/>
      <c r="D4608" s="75">
        <f>IF($C4608="","",IFERROR(INDEX(CAT_TIPO,MATCH($C4608,CAT_NOME,0)),"Sem categoria"))</f>
        <v/>
      </c>
      <c r="E4608" s="75">
        <f>IF($C4608="","",IFERROR(INDEX(CAT_GRUPO,MATCH($C4608,CAT_NOME,0)),"Sem categoria"))</f>
        <v/>
      </c>
      <c r="F4608" s="76" t="n"/>
      <c r="G4608" s="74" t="n"/>
      <c r="H4608" s="74" t="n"/>
      <c r="I4608" s="74" t="n"/>
      <c r="J4608" s="77" t="n"/>
      <c r="K4608" s="77" t="n"/>
      <c r="L4608" s="74" t="n"/>
      <c r="M4608" s="74" t="n"/>
      <c r="O4608" s="78">
        <f>IF($A4608="","",YEAR($A4608)*100+MONTH($A4608))</f>
        <v/>
      </c>
      <c r="P4608" s="79">
        <f>IF(OR($F4608="",$D4608=""),"",IF($D4608="Receita",$F4608,IF($D4608="Transferência",0,-$F4608)))</f>
        <v/>
      </c>
    </row>
    <row r="4609">
      <c r="A4609" s="73" t="n"/>
      <c r="B4609" s="74" t="n"/>
      <c r="C4609" s="74" t="n"/>
      <c r="D4609" s="75">
        <f>IF($C4609="","",IFERROR(INDEX(CAT_TIPO,MATCH($C4609,CAT_NOME,0)),"Sem categoria"))</f>
        <v/>
      </c>
      <c r="E4609" s="75">
        <f>IF($C4609="","",IFERROR(INDEX(CAT_GRUPO,MATCH($C4609,CAT_NOME,0)),"Sem categoria"))</f>
        <v/>
      </c>
      <c r="F4609" s="76" t="n"/>
      <c r="G4609" s="74" t="n"/>
      <c r="H4609" s="74" t="n"/>
      <c r="I4609" s="74" t="n"/>
      <c r="J4609" s="77" t="n"/>
      <c r="K4609" s="77" t="n"/>
      <c r="L4609" s="74" t="n"/>
      <c r="M4609" s="74" t="n"/>
      <c r="O4609" s="78">
        <f>IF($A4609="","",YEAR($A4609)*100+MONTH($A4609))</f>
        <v/>
      </c>
      <c r="P4609" s="79">
        <f>IF(OR($F4609="",$D4609=""),"",IF($D4609="Receita",$F4609,IF($D4609="Transferência",0,-$F4609)))</f>
        <v/>
      </c>
    </row>
    <row r="4610">
      <c r="A4610" s="73" t="n"/>
      <c r="B4610" s="74" t="n"/>
      <c r="C4610" s="74" t="n"/>
      <c r="D4610" s="75">
        <f>IF($C4610="","",IFERROR(INDEX(CAT_TIPO,MATCH($C4610,CAT_NOME,0)),"Sem categoria"))</f>
        <v/>
      </c>
      <c r="E4610" s="75">
        <f>IF($C4610="","",IFERROR(INDEX(CAT_GRUPO,MATCH($C4610,CAT_NOME,0)),"Sem categoria"))</f>
        <v/>
      </c>
      <c r="F4610" s="76" t="n"/>
      <c r="G4610" s="74" t="n"/>
      <c r="H4610" s="74" t="n"/>
      <c r="I4610" s="74" t="n"/>
      <c r="J4610" s="77" t="n"/>
      <c r="K4610" s="77" t="n"/>
      <c r="L4610" s="74" t="n"/>
      <c r="M4610" s="74" t="n"/>
      <c r="O4610" s="78">
        <f>IF($A4610="","",YEAR($A4610)*100+MONTH($A4610))</f>
        <v/>
      </c>
      <c r="P4610" s="79">
        <f>IF(OR($F4610="",$D4610=""),"",IF($D4610="Receita",$F4610,IF($D4610="Transferência",0,-$F4610)))</f>
        <v/>
      </c>
    </row>
    <row r="4611">
      <c r="A4611" s="73" t="n"/>
      <c r="B4611" s="74" t="n"/>
      <c r="C4611" s="74" t="n"/>
      <c r="D4611" s="75">
        <f>IF($C4611="","",IFERROR(INDEX(CAT_TIPO,MATCH($C4611,CAT_NOME,0)),"Sem categoria"))</f>
        <v/>
      </c>
      <c r="E4611" s="75">
        <f>IF($C4611="","",IFERROR(INDEX(CAT_GRUPO,MATCH($C4611,CAT_NOME,0)),"Sem categoria"))</f>
        <v/>
      </c>
      <c r="F4611" s="76" t="n"/>
      <c r="G4611" s="74" t="n"/>
      <c r="H4611" s="74" t="n"/>
      <c r="I4611" s="74" t="n"/>
      <c r="J4611" s="77" t="n"/>
      <c r="K4611" s="77" t="n"/>
      <c r="L4611" s="74" t="n"/>
      <c r="M4611" s="74" t="n"/>
      <c r="O4611" s="78">
        <f>IF($A4611="","",YEAR($A4611)*100+MONTH($A4611))</f>
        <v/>
      </c>
      <c r="P4611" s="79">
        <f>IF(OR($F4611="",$D4611=""),"",IF($D4611="Receita",$F4611,IF($D4611="Transferência",0,-$F4611)))</f>
        <v/>
      </c>
    </row>
    <row r="4612">
      <c r="A4612" s="73" t="n"/>
      <c r="B4612" s="74" t="n"/>
      <c r="C4612" s="74" t="n"/>
      <c r="D4612" s="75">
        <f>IF($C4612="","",IFERROR(INDEX(CAT_TIPO,MATCH($C4612,CAT_NOME,0)),"Sem categoria"))</f>
        <v/>
      </c>
      <c r="E4612" s="75">
        <f>IF($C4612="","",IFERROR(INDEX(CAT_GRUPO,MATCH($C4612,CAT_NOME,0)),"Sem categoria"))</f>
        <v/>
      </c>
      <c r="F4612" s="76" t="n"/>
      <c r="G4612" s="74" t="n"/>
      <c r="H4612" s="74" t="n"/>
      <c r="I4612" s="74" t="n"/>
      <c r="J4612" s="77" t="n"/>
      <c r="K4612" s="77" t="n"/>
      <c r="L4612" s="74" t="n"/>
      <c r="M4612" s="74" t="n"/>
      <c r="O4612" s="78">
        <f>IF($A4612="","",YEAR($A4612)*100+MONTH($A4612))</f>
        <v/>
      </c>
      <c r="P4612" s="79">
        <f>IF(OR($F4612="",$D4612=""),"",IF($D4612="Receita",$F4612,IF($D4612="Transferência",0,-$F4612)))</f>
        <v/>
      </c>
    </row>
    <row r="4613">
      <c r="A4613" s="73" t="n"/>
      <c r="B4613" s="74" t="n"/>
      <c r="C4613" s="74" t="n"/>
      <c r="D4613" s="75">
        <f>IF($C4613="","",IFERROR(INDEX(CAT_TIPO,MATCH($C4613,CAT_NOME,0)),"Sem categoria"))</f>
        <v/>
      </c>
      <c r="E4613" s="75">
        <f>IF($C4613="","",IFERROR(INDEX(CAT_GRUPO,MATCH($C4613,CAT_NOME,0)),"Sem categoria"))</f>
        <v/>
      </c>
      <c r="F4613" s="76" t="n"/>
      <c r="G4613" s="74" t="n"/>
      <c r="H4613" s="74" t="n"/>
      <c r="I4613" s="74" t="n"/>
      <c r="J4613" s="77" t="n"/>
      <c r="K4613" s="77" t="n"/>
      <c r="L4613" s="74" t="n"/>
      <c r="M4613" s="74" t="n"/>
      <c r="O4613" s="78">
        <f>IF($A4613="","",YEAR($A4613)*100+MONTH($A4613))</f>
        <v/>
      </c>
      <c r="P4613" s="79">
        <f>IF(OR($F4613="",$D4613=""),"",IF($D4613="Receita",$F4613,IF($D4613="Transferência",0,-$F4613)))</f>
        <v/>
      </c>
    </row>
    <row r="4614">
      <c r="A4614" s="73" t="n"/>
      <c r="B4614" s="74" t="n"/>
      <c r="C4614" s="74" t="n"/>
      <c r="D4614" s="75">
        <f>IF($C4614="","",IFERROR(INDEX(CAT_TIPO,MATCH($C4614,CAT_NOME,0)),"Sem categoria"))</f>
        <v/>
      </c>
      <c r="E4614" s="75">
        <f>IF($C4614="","",IFERROR(INDEX(CAT_GRUPO,MATCH($C4614,CAT_NOME,0)),"Sem categoria"))</f>
        <v/>
      </c>
      <c r="F4614" s="76" t="n"/>
      <c r="G4614" s="74" t="n"/>
      <c r="H4614" s="74" t="n"/>
      <c r="I4614" s="74" t="n"/>
      <c r="J4614" s="77" t="n"/>
      <c r="K4614" s="77" t="n"/>
      <c r="L4614" s="74" t="n"/>
      <c r="M4614" s="74" t="n"/>
      <c r="O4614" s="78">
        <f>IF($A4614="","",YEAR($A4614)*100+MONTH($A4614))</f>
        <v/>
      </c>
      <c r="P4614" s="79">
        <f>IF(OR($F4614="",$D4614=""),"",IF($D4614="Receita",$F4614,IF($D4614="Transferência",0,-$F4614)))</f>
        <v/>
      </c>
    </row>
    <row r="4615">
      <c r="A4615" s="73" t="n"/>
      <c r="B4615" s="74" t="n"/>
      <c r="C4615" s="74" t="n"/>
      <c r="D4615" s="75">
        <f>IF($C4615="","",IFERROR(INDEX(CAT_TIPO,MATCH($C4615,CAT_NOME,0)),"Sem categoria"))</f>
        <v/>
      </c>
      <c r="E4615" s="75">
        <f>IF($C4615="","",IFERROR(INDEX(CAT_GRUPO,MATCH($C4615,CAT_NOME,0)),"Sem categoria"))</f>
        <v/>
      </c>
      <c r="F4615" s="76" t="n"/>
      <c r="G4615" s="74" t="n"/>
      <c r="H4615" s="74" t="n"/>
      <c r="I4615" s="74" t="n"/>
      <c r="J4615" s="77" t="n"/>
      <c r="K4615" s="77" t="n"/>
      <c r="L4615" s="74" t="n"/>
      <c r="M4615" s="74" t="n"/>
      <c r="O4615" s="78">
        <f>IF($A4615="","",YEAR($A4615)*100+MONTH($A4615))</f>
        <v/>
      </c>
      <c r="P4615" s="79">
        <f>IF(OR($F4615="",$D4615=""),"",IF($D4615="Receita",$F4615,IF($D4615="Transferência",0,-$F4615)))</f>
        <v/>
      </c>
    </row>
    <row r="4616">
      <c r="A4616" s="73" t="n"/>
      <c r="B4616" s="74" t="n"/>
      <c r="C4616" s="74" t="n"/>
      <c r="D4616" s="75">
        <f>IF($C4616="","",IFERROR(INDEX(CAT_TIPO,MATCH($C4616,CAT_NOME,0)),"Sem categoria"))</f>
        <v/>
      </c>
      <c r="E4616" s="75">
        <f>IF($C4616="","",IFERROR(INDEX(CAT_GRUPO,MATCH($C4616,CAT_NOME,0)),"Sem categoria"))</f>
        <v/>
      </c>
      <c r="F4616" s="76" t="n"/>
      <c r="G4616" s="74" t="n"/>
      <c r="H4616" s="74" t="n"/>
      <c r="I4616" s="74" t="n"/>
      <c r="J4616" s="77" t="n"/>
      <c r="K4616" s="77" t="n"/>
      <c r="L4616" s="74" t="n"/>
      <c r="M4616" s="74" t="n"/>
      <c r="O4616" s="78">
        <f>IF($A4616="","",YEAR($A4616)*100+MONTH($A4616))</f>
        <v/>
      </c>
      <c r="P4616" s="79">
        <f>IF(OR($F4616="",$D4616=""),"",IF($D4616="Receita",$F4616,IF($D4616="Transferência",0,-$F4616)))</f>
        <v/>
      </c>
    </row>
    <row r="4617">
      <c r="A4617" s="73" t="n"/>
      <c r="B4617" s="74" t="n"/>
      <c r="C4617" s="74" t="n"/>
      <c r="D4617" s="75">
        <f>IF($C4617="","",IFERROR(INDEX(CAT_TIPO,MATCH($C4617,CAT_NOME,0)),"Sem categoria"))</f>
        <v/>
      </c>
      <c r="E4617" s="75">
        <f>IF($C4617="","",IFERROR(INDEX(CAT_GRUPO,MATCH($C4617,CAT_NOME,0)),"Sem categoria"))</f>
        <v/>
      </c>
      <c r="F4617" s="76" t="n"/>
      <c r="G4617" s="74" t="n"/>
      <c r="H4617" s="74" t="n"/>
      <c r="I4617" s="74" t="n"/>
      <c r="J4617" s="77" t="n"/>
      <c r="K4617" s="77" t="n"/>
      <c r="L4617" s="74" t="n"/>
      <c r="M4617" s="74" t="n"/>
      <c r="O4617" s="78">
        <f>IF($A4617="","",YEAR($A4617)*100+MONTH($A4617))</f>
        <v/>
      </c>
      <c r="P4617" s="79">
        <f>IF(OR($F4617="",$D4617=""),"",IF($D4617="Receita",$F4617,IF($D4617="Transferência",0,-$F4617)))</f>
        <v/>
      </c>
    </row>
    <row r="4618">
      <c r="A4618" s="73" t="n"/>
      <c r="B4618" s="74" t="n"/>
      <c r="C4618" s="74" t="n"/>
      <c r="D4618" s="75">
        <f>IF($C4618="","",IFERROR(INDEX(CAT_TIPO,MATCH($C4618,CAT_NOME,0)),"Sem categoria"))</f>
        <v/>
      </c>
      <c r="E4618" s="75">
        <f>IF($C4618="","",IFERROR(INDEX(CAT_GRUPO,MATCH($C4618,CAT_NOME,0)),"Sem categoria"))</f>
        <v/>
      </c>
      <c r="F4618" s="76" t="n"/>
      <c r="G4618" s="74" t="n"/>
      <c r="H4618" s="74" t="n"/>
      <c r="I4618" s="74" t="n"/>
      <c r="J4618" s="77" t="n"/>
      <c r="K4618" s="77" t="n"/>
      <c r="L4618" s="74" t="n"/>
      <c r="M4618" s="74" t="n"/>
      <c r="O4618" s="78">
        <f>IF($A4618="","",YEAR($A4618)*100+MONTH($A4618))</f>
        <v/>
      </c>
      <c r="P4618" s="79">
        <f>IF(OR($F4618="",$D4618=""),"",IF($D4618="Receita",$F4618,IF($D4618="Transferência",0,-$F4618)))</f>
        <v/>
      </c>
    </row>
    <row r="4619">
      <c r="A4619" s="73" t="n"/>
      <c r="B4619" s="74" t="n"/>
      <c r="C4619" s="74" t="n"/>
      <c r="D4619" s="75">
        <f>IF($C4619="","",IFERROR(INDEX(CAT_TIPO,MATCH($C4619,CAT_NOME,0)),"Sem categoria"))</f>
        <v/>
      </c>
      <c r="E4619" s="75">
        <f>IF($C4619="","",IFERROR(INDEX(CAT_GRUPO,MATCH($C4619,CAT_NOME,0)),"Sem categoria"))</f>
        <v/>
      </c>
      <c r="F4619" s="76" t="n"/>
      <c r="G4619" s="74" t="n"/>
      <c r="H4619" s="74" t="n"/>
      <c r="I4619" s="74" t="n"/>
      <c r="J4619" s="77" t="n"/>
      <c r="K4619" s="77" t="n"/>
      <c r="L4619" s="74" t="n"/>
      <c r="M4619" s="74" t="n"/>
      <c r="O4619" s="78">
        <f>IF($A4619="","",YEAR($A4619)*100+MONTH($A4619))</f>
        <v/>
      </c>
      <c r="P4619" s="79">
        <f>IF(OR($F4619="",$D4619=""),"",IF($D4619="Receita",$F4619,IF($D4619="Transferência",0,-$F4619)))</f>
        <v/>
      </c>
    </row>
    <row r="4620">
      <c r="A4620" s="73" t="n"/>
      <c r="B4620" s="74" t="n"/>
      <c r="C4620" s="74" t="n"/>
      <c r="D4620" s="75">
        <f>IF($C4620="","",IFERROR(INDEX(CAT_TIPO,MATCH($C4620,CAT_NOME,0)),"Sem categoria"))</f>
        <v/>
      </c>
      <c r="E4620" s="75">
        <f>IF($C4620="","",IFERROR(INDEX(CAT_GRUPO,MATCH($C4620,CAT_NOME,0)),"Sem categoria"))</f>
        <v/>
      </c>
      <c r="F4620" s="76" t="n"/>
      <c r="G4620" s="74" t="n"/>
      <c r="H4620" s="74" t="n"/>
      <c r="I4620" s="74" t="n"/>
      <c r="J4620" s="77" t="n"/>
      <c r="K4620" s="77" t="n"/>
      <c r="L4620" s="74" t="n"/>
      <c r="M4620" s="74" t="n"/>
      <c r="O4620" s="78">
        <f>IF($A4620="","",YEAR($A4620)*100+MONTH($A4620))</f>
        <v/>
      </c>
      <c r="P4620" s="79">
        <f>IF(OR($F4620="",$D4620=""),"",IF($D4620="Receita",$F4620,IF($D4620="Transferência",0,-$F4620)))</f>
        <v/>
      </c>
    </row>
    <row r="4621">
      <c r="A4621" s="73" t="n"/>
      <c r="B4621" s="74" t="n"/>
      <c r="C4621" s="74" t="n"/>
      <c r="D4621" s="75">
        <f>IF($C4621="","",IFERROR(INDEX(CAT_TIPO,MATCH($C4621,CAT_NOME,0)),"Sem categoria"))</f>
        <v/>
      </c>
      <c r="E4621" s="75">
        <f>IF($C4621="","",IFERROR(INDEX(CAT_GRUPO,MATCH($C4621,CAT_NOME,0)),"Sem categoria"))</f>
        <v/>
      </c>
      <c r="F4621" s="76" t="n"/>
      <c r="G4621" s="74" t="n"/>
      <c r="H4621" s="74" t="n"/>
      <c r="I4621" s="74" t="n"/>
      <c r="J4621" s="77" t="n"/>
      <c r="K4621" s="77" t="n"/>
      <c r="L4621" s="74" t="n"/>
      <c r="M4621" s="74" t="n"/>
      <c r="O4621" s="78">
        <f>IF($A4621="","",YEAR($A4621)*100+MONTH($A4621))</f>
        <v/>
      </c>
      <c r="P4621" s="79">
        <f>IF(OR($F4621="",$D4621=""),"",IF($D4621="Receita",$F4621,IF($D4621="Transferência",0,-$F4621)))</f>
        <v/>
      </c>
    </row>
    <row r="4622">
      <c r="A4622" s="73" t="n"/>
      <c r="B4622" s="74" t="n"/>
      <c r="C4622" s="74" t="n"/>
      <c r="D4622" s="75">
        <f>IF($C4622="","",IFERROR(INDEX(CAT_TIPO,MATCH($C4622,CAT_NOME,0)),"Sem categoria"))</f>
        <v/>
      </c>
      <c r="E4622" s="75">
        <f>IF($C4622="","",IFERROR(INDEX(CAT_GRUPO,MATCH($C4622,CAT_NOME,0)),"Sem categoria"))</f>
        <v/>
      </c>
      <c r="F4622" s="76" t="n"/>
      <c r="G4622" s="74" t="n"/>
      <c r="H4622" s="74" t="n"/>
      <c r="I4622" s="74" t="n"/>
      <c r="J4622" s="77" t="n"/>
      <c r="K4622" s="77" t="n"/>
      <c r="L4622" s="74" t="n"/>
      <c r="M4622" s="74" t="n"/>
      <c r="O4622" s="78">
        <f>IF($A4622="","",YEAR($A4622)*100+MONTH($A4622))</f>
        <v/>
      </c>
      <c r="P4622" s="79">
        <f>IF(OR($F4622="",$D4622=""),"",IF($D4622="Receita",$F4622,IF($D4622="Transferência",0,-$F4622)))</f>
        <v/>
      </c>
    </row>
    <row r="4623">
      <c r="A4623" s="73" t="n"/>
      <c r="B4623" s="74" t="n"/>
      <c r="C4623" s="74" t="n"/>
      <c r="D4623" s="75">
        <f>IF($C4623="","",IFERROR(INDEX(CAT_TIPO,MATCH($C4623,CAT_NOME,0)),"Sem categoria"))</f>
        <v/>
      </c>
      <c r="E4623" s="75">
        <f>IF($C4623="","",IFERROR(INDEX(CAT_GRUPO,MATCH($C4623,CAT_NOME,0)),"Sem categoria"))</f>
        <v/>
      </c>
      <c r="F4623" s="76" t="n"/>
      <c r="G4623" s="74" t="n"/>
      <c r="H4623" s="74" t="n"/>
      <c r="I4623" s="74" t="n"/>
      <c r="J4623" s="77" t="n"/>
      <c r="K4623" s="77" t="n"/>
      <c r="L4623" s="74" t="n"/>
      <c r="M4623" s="74" t="n"/>
      <c r="O4623" s="78">
        <f>IF($A4623="","",YEAR($A4623)*100+MONTH($A4623))</f>
        <v/>
      </c>
      <c r="P4623" s="79">
        <f>IF(OR($F4623="",$D4623=""),"",IF($D4623="Receita",$F4623,IF($D4623="Transferência",0,-$F4623)))</f>
        <v/>
      </c>
    </row>
    <row r="4624">
      <c r="A4624" s="73" t="n"/>
      <c r="B4624" s="74" t="n"/>
      <c r="C4624" s="74" t="n"/>
      <c r="D4624" s="75">
        <f>IF($C4624="","",IFERROR(INDEX(CAT_TIPO,MATCH($C4624,CAT_NOME,0)),"Sem categoria"))</f>
        <v/>
      </c>
      <c r="E4624" s="75">
        <f>IF($C4624="","",IFERROR(INDEX(CAT_GRUPO,MATCH($C4624,CAT_NOME,0)),"Sem categoria"))</f>
        <v/>
      </c>
      <c r="F4624" s="76" t="n"/>
      <c r="G4624" s="74" t="n"/>
      <c r="H4624" s="74" t="n"/>
      <c r="I4624" s="74" t="n"/>
      <c r="J4624" s="77" t="n"/>
      <c r="K4624" s="77" t="n"/>
      <c r="L4624" s="74" t="n"/>
      <c r="M4624" s="74" t="n"/>
      <c r="O4624" s="78">
        <f>IF($A4624="","",YEAR($A4624)*100+MONTH($A4624))</f>
        <v/>
      </c>
      <c r="P4624" s="79">
        <f>IF(OR($F4624="",$D4624=""),"",IF($D4624="Receita",$F4624,IF($D4624="Transferência",0,-$F4624)))</f>
        <v/>
      </c>
    </row>
    <row r="4625">
      <c r="A4625" s="73" t="n"/>
      <c r="B4625" s="74" t="n"/>
      <c r="C4625" s="74" t="n"/>
      <c r="D4625" s="75">
        <f>IF($C4625="","",IFERROR(INDEX(CAT_TIPO,MATCH($C4625,CAT_NOME,0)),"Sem categoria"))</f>
        <v/>
      </c>
      <c r="E4625" s="75">
        <f>IF($C4625="","",IFERROR(INDEX(CAT_GRUPO,MATCH($C4625,CAT_NOME,0)),"Sem categoria"))</f>
        <v/>
      </c>
      <c r="F4625" s="76" t="n"/>
      <c r="G4625" s="74" t="n"/>
      <c r="H4625" s="74" t="n"/>
      <c r="I4625" s="74" t="n"/>
      <c r="J4625" s="77" t="n"/>
      <c r="K4625" s="77" t="n"/>
      <c r="L4625" s="74" t="n"/>
      <c r="M4625" s="74" t="n"/>
      <c r="O4625" s="78">
        <f>IF($A4625="","",YEAR($A4625)*100+MONTH($A4625))</f>
        <v/>
      </c>
      <c r="P4625" s="79">
        <f>IF(OR($F4625="",$D4625=""),"",IF($D4625="Receita",$F4625,IF($D4625="Transferência",0,-$F4625)))</f>
        <v/>
      </c>
    </row>
    <row r="4626">
      <c r="A4626" s="73" t="n"/>
      <c r="B4626" s="74" t="n"/>
      <c r="C4626" s="74" t="n"/>
      <c r="D4626" s="75">
        <f>IF($C4626="","",IFERROR(INDEX(CAT_TIPO,MATCH($C4626,CAT_NOME,0)),"Sem categoria"))</f>
        <v/>
      </c>
      <c r="E4626" s="75">
        <f>IF($C4626="","",IFERROR(INDEX(CAT_GRUPO,MATCH($C4626,CAT_NOME,0)),"Sem categoria"))</f>
        <v/>
      </c>
      <c r="F4626" s="76" t="n"/>
      <c r="G4626" s="74" t="n"/>
      <c r="H4626" s="74" t="n"/>
      <c r="I4626" s="74" t="n"/>
      <c r="J4626" s="77" t="n"/>
      <c r="K4626" s="77" t="n"/>
      <c r="L4626" s="74" t="n"/>
      <c r="M4626" s="74" t="n"/>
      <c r="O4626" s="78">
        <f>IF($A4626="","",YEAR($A4626)*100+MONTH($A4626))</f>
        <v/>
      </c>
      <c r="P4626" s="79">
        <f>IF(OR($F4626="",$D4626=""),"",IF($D4626="Receita",$F4626,IF($D4626="Transferência",0,-$F4626)))</f>
        <v/>
      </c>
    </row>
    <row r="4627">
      <c r="A4627" s="73" t="n"/>
      <c r="B4627" s="74" t="n"/>
      <c r="C4627" s="74" t="n"/>
      <c r="D4627" s="75">
        <f>IF($C4627="","",IFERROR(INDEX(CAT_TIPO,MATCH($C4627,CAT_NOME,0)),"Sem categoria"))</f>
        <v/>
      </c>
      <c r="E4627" s="75">
        <f>IF($C4627="","",IFERROR(INDEX(CAT_GRUPO,MATCH($C4627,CAT_NOME,0)),"Sem categoria"))</f>
        <v/>
      </c>
      <c r="F4627" s="76" t="n"/>
      <c r="G4627" s="74" t="n"/>
      <c r="H4627" s="74" t="n"/>
      <c r="I4627" s="74" t="n"/>
      <c r="J4627" s="77" t="n"/>
      <c r="K4627" s="77" t="n"/>
      <c r="L4627" s="74" t="n"/>
      <c r="M4627" s="74" t="n"/>
      <c r="O4627" s="78">
        <f>IF($A4627="","",YEAR($A4627)*100+MONTH($A4627))</f>
        <v/>
      </c>
      <c r="P4627" s="79">
        <f>IF(OR($F4627="",$D4627=""),"",IF($D4627="Receita",$F4627,IF($D4627="Transferência",0,-$F4627)))</f>
        <v/>
      </c>
    </row>
    <row r="4628">
      <c r="A4628" s="73" t="n"/>
      <c r="B4628" s="74" t="n"/>
      <c r="C4628" s="74" t="n"/>
      <c r="D4628" s="75">
        <f>IF($C4628="","",IFERROR(INDEX(CAT_TIPO,MATCH($C4628,CAT_NOME,0)),"Sem categoria"))</f>
        <v/>
      </c>
      <c r="E4628" s="75">
        <f>IF($C4628="","",IFERROR(INDEX(CAT_GRUPO,MATCH($C4628,CAT_NOME,0)),"Sem categoria"))</f>
        <v/>
      </c>
      <c r="F4628" s="76" t="n"/>
      <c r="G4628" s="74" t="n"/>
      <c r="H4628" s="74" t="n"/>
      <c r="I4628" s="74" t="n"/>
      <c r="J4628" s="77" t="n"/>
      <c r="K4628" s="77" t="n"/>
      <c r="L4628" s="74" t="n"/>
      <c r="M4628" s="74" t="n"/>
      <c r="O4628" s="78">
        <f>IF($A4628="","",YEAR($A4628)*100+MONTH($A4628))</f>
        <v/>
      </c>
      <c r="P4628" s="79">
        <f>IF(OR($F4628="",$D4628=""),"",IF($D4628="Receita",$F4628,IF($D4628="Transferência",0,-$F4628)))</f>
        <v/>
      </c>
    </row>
    <row r="4629">
      <c r="A4629" s="73" t="n"/>
      <c r="B4629" s="74" t="n"/>
      <c r="C4629" s="74" t="n"/>
      <c r="D4629" s="75">
        <f>IF($C4629="","",IFERROR(INDEX(CAT_TIPO,MATCH($C4629,CAT_NOME,0)),"Sem categoria"))</f>
        <v/>
      </c>
      <c r="E4629" s="75">
        <f>IF($C4629="","",IFERROR(INDEX(CAT_GRUPO,MATCH($C4629,CAT_NOME,0)),"Sem categoria"))</f>
        <v/>
      </c>
      <c r="F4629" s="76" t="n"/>
      <c r="G4629" s="74" t="n"/>
      <c r="H4629" s="74" t="n"/>
      <c r="I4629" s="74" t="n"/>
      <c r="J4629" s="77" t="n"/>
      <c r="K4629" s="77" t="n"/>
      <c r="L4629" s="74" t="n"/>
      <c r="M4629" s="74" t="n"/>
      <c r="O4629" s="78">
        <f>IF($A4629="","",YEAR($A4629)*100+MONTH($A4629))</f>
        <v/>
      </c>
      <c r="P4629" s="79">
        <f>IF(OR($F4629="",$D4629=""),"",IF($D4629="Receita",$F4629,IF($D4629="Transferência",0,-$F4629)))</f>
        <v/>
      </c>
    </row>
    <row r="4630">
      <c r="A4630" s="73" t="n"/>
      <c r="B4630" s="74" t="n"/>
      <c r="C4630" s="74" t="n"/>
      <c r="D4630" s="75">
        <f>IF($C4630="","",IFERROR(INDEX(CAT_TIPO,MATCH($C4630,CAT_NOME,0)),"Sem categoria"))</f>
        <v/>
      </c>
      <c r="E4630" s="75">
        <f>IF($C4630="","",IFERROR(INDEX(CAT_GRUPO,MATCH($C4630,CAT_NOME,0)),"Sem categoria"))</f>
        <v/>
      </c>
      <c r="F4630" s="76" t="n"/>
      <c r="G4630" s="74" t="n"/>
      <c r="H4630" s="74" t="n"/>
      <c r="I4630" s="74" t="n"/>
      <c r="J4630" s="77" t="n"/>
      <c r="K4630" s="77" t="n"/>
      <c r="L4630" s="74" t="n"/>
      <c r="M4630" s="74" t="n"/>
      <c r="O4630" s="78">
        <f>IF($A4630="","",YEAR($A4630)*100+MONTH($A4630))</f>
        <v/>
      </c>
      <c r="P4630" s="79">
        <f>IF(OR($F4630="",$D4630=""),"",IF($D4630="Receita",$F4630,IF($D4630="Transferência",0,-$F4630)))</f>
        <v/>
      </c>
    </row>
    <row r="4631">
      <c r="A4631" s="73" t="n"/>
      <c r="B4631" s="74" t="n"/>
      <c r="C4631" s="74" t="n"/>
      <c r="D4631" s="75">
        <f>IF($C4631="","",IFERROR(INDEX(CAT_TIPO,MATCH($C4631,CAT_NOME,0)),"Sem categoria"))</f>
        <v/>
      </c>
      <c r="E4631" s="75">
        <f>IF($C4631="","",IFERROR(INDEX(CAT_GRUPO,MATCH($C4631,CAT_NOME,0)),"Sem categoria"))</f>
        <v/>
      </c>
      <c r="F4631" s="76" t="n"/>
      <c r="G4631" s="74" t="n"/>
      <c r="H4631" s="74" t="n"/>
      <c r="I4631" s="74" t="n"/>
      <c r="J4631" s="77" t="n"/>
      <c r="K4631" s="77" t="n"/>
      <c r="L4631" s="74" t="n"/>
      <c r="M4631" s="74" t="n"/>
      <c r="O4631" s="78">
        <f>IF($A4631="","",YEAR($A4631)*100+MONTH($A4631))</f>
        <v/>
      </c>
      <c r="P4631" s="79">
        <f>IF(OR($F4631="",$D4631=""),"",IF($D4631="Receita",$F4631,IF($D4631="Transferência",0,-$F4631)))</f>
        <v/>
      </c>
    </row>
    <row r="4632">
      <c r="A4632" s="73" t="n"/>
      <c r="B4632" s="74" t="n"/>
      <c r="C4632" s="74" t="n"/>
      <c r="D4632" s="75">
        <f>IF($C4632="","",IFERROR(INDEX(CAT_TIPO,MATCH($C4632,CAT_NOME,0)),"Sem categoria"))</f>
        <v/>
      </c>
      <c r="E4632" s="75">
        <f>IF($C4632="","",IFERROR(INDEX(CAT_GRUPO,MATCH($C4632,CAT_NOME,0)),"Sem categoria"))</f>
        <v/>
      </c>
      <c r="F4632" s="76" t="n"/>
      <c r="G4632" s="74" t="n"/>
      <c r="H4632" s="74" t="n"/>
      <c r="I4632" s="74" t="n"/>
      <c r="J4632" s="77" t="n"/>
      <c r="K4632" s="77" t="n"/>
      <c r="L4632" s="74" t="n"/>
      <c r="M4632" s="74" t="n"/>
      <c r="O4632" s="78">
        <f>IF($A4632="","",YEAR($A4632)*100+MONTH($A4632))</f>
        <v/>
      </c>
      <c r="P4632" s="79">
        <f>IF(OR($F4632="",$D4632=""),"",IF($D4632="Receita",$F4632,IF($D4632="Transferência",0,-$F4632)))</f>
        <v/>
      </c>
    </row>
    <row r="4633">
      <c r="A4633" s="73" t="n"/>
      <c r="B4633" s="74" t="n"/>
      <c r="C4633" s="74" t="n"/>
      <c r="D4633" s="75">
        <f>IF($C4633="","",IFERROR(INDEX(CAT_TIPO,MATCH($C4633,CAT_NOME,0)),"Sem categoria"))</f>
        <v/>
      </c>
      <c r="E4633" s="75">
        <f>IF($C4633="","",IFERROR(INDEX(CAT_GRUPO,MATCH($C4633,CAT_NOME,0)),"Sem categoria"))</f>
        <v/>
      </c>
      <c r="F4633" s="76" t="n"/>
      <c r="G4633" s="74" t="n"/>
      <c r="H4633" s="74" t="n"/>
      <c r="I4633" s="74" t="n"/>
      <c r="J4633" s="77" t="n"/>
      <c r="K4633" s="77" t="n"/>
      <c r="L4633" s="74" t="n"/>
      <c r="M4633" s="74" t="n"/>
      <c r="O4633" s="78">
        <f>IF($A4633="","",YEAR($A4633)*100+MONTH($A4633))</f>
        <v/>
      </c>
      <c r="P4633" s="79">
        <f>IF(OR($F4633="",$D4633=""),"",IF($D4633="Receita",$F4633,IF($D4633="Transferência",0,-$F4633)))</f>
        <v/>
      </c>
    </row>
    <row r="4634">
      <c r="A4634" s="73" t="n"/>
      <c r="B4634" s="74" t="n"/>
      <c r="C4634" s="74" t="n"/>
      <c r="D4634" s="75">
        <f>IF($C4634="","",IFERROR(INDEX(CAT_TIPO,MATCH($C4634,CAT_NOME,0)),"Sem categoria"))</f>
        <v/>
      </c>
      <c r="E4634" s="75">
        <f>IF($C4634="","",IFERROR(INDEX(CAT_GRUPO,MATCH($C4634,CAT_NOME,0)),"Sem categoria"))</f>
        <v/>
      </c>
      <c r="F4634" s="76" t="n"/>
      <c r="G4634" s="74" t="n"/>
      <c r="H4634" s="74" t="n"/>
      <c r="I4634" s="74" t="n"/>
      <c r="J4634" s="77" t="n"/>
      <c r="K4634" s="77" t="n"/>
      <c r="L4634" s="74" t="n"/>
      <c r="M4634" s="74" t="n"/>
      <c r="O4634" s="78">
        <f>IF($A4634="","",YEAR($A4634)*100+MONTH($A4634))</f>
        <v/>
      </c>
      <c r="P4634" s="79">
        <f>IF(OR($F4634="",$D4634=""),"",IF($D4634="Receita",$F4634,IF($D4634="Transferência",0,-$F4634)))</f>
        <v/>
      </c>
    </row>
    <row r="4635">
      <c r="A4635" s="73" t="n"/>
      <c r="B4635" s="74" t="n"/>
      <c r="C4635" s="74" t="n"/>
      <c r="D4635" s="75">
        <f>IF($C4635="","",IFERROR(INDEX(CAT_TIPO,MATCH($C4635,CAT_NOME,0)),"Sem categoria"))</f>
        <v/>
      </c>
      <c r="E4635" s="75">
        <f>IF($C4635="","",IFERROR(INDEX(CAT_GRUPO,MATCH($C4635,CAT_NOME,0)),"Sem categoria"))</f>
        <v/>
      </c>
      <c r="F4635" s="76" t="n"/>
      <c r="G4635" s="74" t="n"/>
      <c r="H4635" s="74" t="n"/>
      <c r="I4635" s="74" t="n"/>
      <c r="J4635" s="77" t="n"/>
      <c r="K4635" s="77" t="n"/>
      <c r="L4635" s="74" t="n"/>
      <c r="M4635" s="74" t="n"/>
      <c r="O4635" s="78">
        <f>IF($A4635="","",YEAR($A4635)*100+MONTH($A4635))</f>
        <v/>
      </c>
      <c r="P4635" s="79">
        <f>IF(OR($F4635="",$D4635=""),"",IF($D4635="Receita",$F4635,IF($D4635="Transferência",0,-$F4635)))</f>
        <v/>
      </c>
    </row>
    <row r="4636">
      <c r="A4636" s="73" t="n"/>
      <c r="B4636" s="74" t="n"/>
      <c r="C4636" s="74" t="n"/>
      <c r="D4636" s="75">
        <f>IF($C4636="","",IFERROR(INDEX(CAT_TIPO,MATCH($C4636,CAT_NOME,0)),"Sem categoria"))</f>
        <v/>
      </c>
      <c r="E4636" s="75">
        <f>IF($C4636="","",IFERROR(INDEX(CAT_GRUPO,MATCH($C4636,CAT_NOME,0)),"Sem categoria"))</f>
        <v/>
      </c>
      <c r="F4636" s="76" t="n"/>
      <c r="G4636" s="74" t="n"/>
      <c r="H4636" s="74" t="n"/>
      <c r="I4636" s="74" t="n"/>
      <c r="J4636" s="77" t="n"/>
      <c r="K4636" s="77" t="n"/>
      <c r="L4636" s="74" t="n"/>
      <c r="M4636" s="74" t="n"/>
      <c r="O4636" s="78">
        <f>IF($A4636="","",YEAR($A4636)*100+MONTH($A4636))</f>
        <v/>
      </c>
      <c r="P4636" s="79">
        <f>IF(OR($F4636="",$D4636=""),"",IF($D4636="Receita",$F4636,IF($D4636="Transferência",0,-$F4636)))</f>
        <v/>
      </c>
    </row>
    <row r="4637">
      <c r="A4637" s="73" t="n"/>
      <c r="B4637" s="74" t="n"/>
      <c r="C4637" s="74" t="n"/>
      <c r="D4637" s="75">
        <f>IF($C4637="","",IFERROR(INDEX(CAT_TIPO,MATCH($C4637,CAT_NOME,0)),"Sem categoria"))</f>
        <v/>
      </c>
      <c r="E4637" s="75">
        <f>IF($C4637="","",IFERROR(INDEX(CAT_GRUPO,MATCH($C4637,CAT_NOME,0)),"Sem categoria"))</f>
        <v/>
      </c>
      <c r="F4637" s="76" t="n"/>
      <c r="G4637" s="74" t="n"/>
      <c r="H4637" s="74" t="n"/>
      <c r="I4637" s="74" t="n"/>
      <c r="J4637" s="77" t="n"/>
      <c r="K4637" s="77" t="n"/>
      <c r="L4637" s="74" t="n"/>
      <c r="M4637" s="74" t="n"/>
      <c r="O4637" s="78">
        <f>IF($A4637="","",YEAR($A4637)*100+MONTH($A4637))</f>
        <v/>
      </c>
      <c r="P4637" s="79">
        <f>IF(OR($F4637="",$D4637=""),"",IF($D4637="Receita",$F4637,IF($D4637="Transferência",0,-$F4637)))</f>
        <v/>
      </c>
    </row>
    <row r="4638">
      <c r="A4638" s="73" t="n"/>
      <c r="B4638" s="74" t="n"/>
      <c r="C4638" s="74" t="n"/>
      <c r="D4638" s="75">
        <f>IF($C4638="","",IFERROR(INDEX(CAT_TIPO,MATCH($C4638,CAT_NOME,0)),"Sem categoria"))</f>
        <v/>
      </c>
      <c r="E4638" s="75">
        <f>IF($C4638="","",IFERROR(INDEX(CAT_GRUPO,MATCH($C4638,CAT_NOME,0)),"Sem categoria"))</f>
        <v/>
      </c>
      <c r="F4638" s="76" t="n"/>
      <c r="G4638" s="74" t="n"/>
      <c r="H4638" s="74" t="n"/>
      <c r="I4638" s="74" t="n"/>
      <c r="J4638" s="77" t="n"/>
      <c r="K4638" s="77" t="n"/>
      <c r="L4638" s="74" t="n"/>
      <c r="M4638" s="74" t="n"/>
      <c r="O4638" s="78">
        <f>IF($A4638="","",YEAR($A4638)*100+MONTH($A4638))</f>
        <v/>
      </c>
      <c r="P4638" s="79">
        <f>IF(OR($F4638="",$D4638=""),"",IF($D4638="Receita",$F4638,IF($D4638="Transferência",0,-$F4638)))</f>
        <v/>
      </c>
    </row>
    <row r="4639">
      <c r="A4639" s="73" t="n"/>
      <c r="B4639" s="74" t="n"/>
      <c r="C4639" s="74" t="n"/>
      <c r="D4639" s="75">
        <f>IF($C4639="","",IFERROR(INDEX(CAT_TIPO,MATCH($C4639,CAT_NOME,0)),"Sem categoria"))</f>
        <v/>
      </c>
      <c r="E4639" s="75">
        <f>IF($C4639="","",IFERROR(INDEX(CAT_GRUPO,MATCH($C4639,CAT_NOME,0)),"Sem categoria"))</f>
        <v/>
      </c>
      <c r="F4639" s="76" t="n"/>
      <c r="G4639" s="74" t="n"/>
      <c r="H4639" s="74" t="n"/>
      <c r="I4639" s="74" t="n"/>
      <c r="J4639" s="77" t="n"/>
      <c r="K4639" s="77" t="n"/>
      <c r="L4639" s="74" t="n"/>
      <c r="M4639" s="74" t="n"/>
      <c r="O4639" s="78">
        <f>IF($A4639="","",YEAR($A4639)*100+MONTH($A4639))</f>
        <v/>
      </c>
      <c r="P4639" s="79">
        <f>IF(OR($F4639="",$D4639=""),"",IF($D4639="Receita",$F4639,IF($D4639="Transferência",0,-$F4639)))</f>
        <v/>
      </c>
    </row>
    <row r="4640">
      <c r="A4640" s="73" t="n"/>
      <c r="B4640" s="74" t="n"/>
      <c r="C4640" s="74" t="n"/>
      <c r="D4640" s="75">
        <f>IF($C4640="","",IFERROR(INDEX(CAT_TIPO,MATCH($C4640,CAT_NOME,0)),"Sem categoria"))</f>
        <v/>
      </c>
      <c r="E4640" s="75">
        <f>IF($C4640="","",IFERROR(INDEX(CAT_GRUPO,MATCH($C4640,CAT_NOME,0)),"Sem categoria"))</f>
        <v/>
      </c>
      <c r="F4640" s="76" t="n"/>
      <c r="G4640" s="74" t="n"/>
      <c r="H4640" s="74" t="n"/>
      <c r="I4640" s="74" t="n"/>
      <c r="J4640" s="77" t="n"/>
      <c r="K4640" s="77" t="n"/>
      <c r="L4640" s="74" t="n"/>
      <c r="M4640" s="74" t="n"/>
      <c r="O4640" s="78">
        <f>IF($A4640="","",YEAR($A4640)*100+MONTH($A4640))</f>
        <v/>
      </c>
      <c r="P4640" s="79">
        <f>IF(OR($F4640="",$D4640=""),"",IF($D4640="Receita",$F4640,IF($D4640="Transferência",0,-$F4640)))</f>
        <v/>
      </c>
    </row>
    <row r="4641">
      <c r="A4641" s="73" t="n"/>
      <c r="B4641" s="74" t="n"/>
      <c r="C4641" s="74" t="n"/>
      <c r="D4641" s="75">
        <f>IF($C4641="","",IFERROR(INDEX(CAT_TIPO,MATCH($C4641,CAT_NOME,0)),"Sem categoria"))</f>
        <v/>
      </c>
      <c r="E4641" s="75">
        <f>IF($C4641="","",IFERROR(INDEX(CAT_GRUPO,MATCH($C4641,CAT_NOME,0)),"Sem categoria"))</f>
        <v/>
      </c>
      <c r="F4641" s="76" t="n"/>
      <c r="G4641" s="74" t="n"/>
      <c r="H4641" s="74" t="n"/>
      <c r="I4641" s="74" t="n"/>
      <c r="J4641" s="77" t="n"/>
      <c r="K4641" s="77" t="n"/>
      <c r="L4641" s="74" t="n"/>
      <c r="M4641" s="74" t="n"/>
      <c r="O4641" s="78">
        <f>IF($A4641="","",YEAR($A4641)*100+MONTH($A4641))</f>
        <v/>
      </c>
      <c r="P4641" s="79">
        <f>IF(OR($F4641="",$D4641=""),"",IF($D4641="Receita",$F4641,IF($D4641="Transferência",0,-$F4641)))</f>
        <v/>
      </c>
    </row>
    <row r="4642">
      <c r="A4642" s="73" t="n"/>
      <c r="B4642" s="74" t="n"/>
      <c r="C4642" s="74" t="n"/>
      <c r="D4642" s="75">
        <f>IF($C4642="","",IFERROR(INDEX(CAT_TIPO,MATCH($C4642,CAT_NOME,0)),"Sem categoria"))</f>
        <v/>
      </c>
      <c r="E4642" s="75">
        <f>IF($C4642="","",IFERROR(INDEX(CAT_GRUPO,MATCH($C4642,CAT_NOME,0)),"Sem categoria"))</f>
        <v/>
      </c>
      <c r="F4642" s="76" t="n"/>
      <c r="G4642" s="74" t="n"/>
      <c r="H4642" s="74" t="n"/>
      <c r="I4642" s="74" t="n"/>
      <c r="J4642" s="77" t="n"/>
      <c r="K4642" s="77" t="n"/>
      <c r="L4642" s="74" t="n"/>
      <c r="M4642" s="74" t="n"/>
      <c r="O4642" s="78">
        <f>IF($A4642="","",YEAR($A4642)*100+MONTH($A4642))</f>
        <v/>
      </c>
      <c r="P4642" s="79">
        <f>IF(OR($F4642="",$D4642=""),"",IF($D4642="Receita",$F4642,IF($D4642="Transferência",0,-$F4642)))</f>
        <v/>
      </c>
    </row>
    <row r="4643">
      <c r="A4643" s="73" t="n"/>
      <c r="B4643" s="74" t="n"/>
      <c r="C4643" s="74" t="n"/>
      <c r="D4643" s="75">
        <f>IF($C4643="","",IFERROR(INDEX(CAT_TIPO,MATCH($C4643,CAT_NOME,0)),"Sem categoria"))</f>
        <v/>
      </c>
      <c r="E4643" s="75">
        <f>IF($C4643="","",IFERROR(INDEX(CAT_GRUPO,MATCH($C4643,CAT_NOME,0)),"Sem categoria"))</f>
        <v/>
      </c>
      <c r="F4643" s="76" t="n"/>
      <c r="G4643" s="74" t="n"/>
      <c r="H4643" s="74" t="n"/>
      <c r="I4643" s="74" t="n"/>
      <c r="J4643" s="77" t="n"/>
      <c r="K4643" s="77" t="n"/>
      <c r="L4643" s="74" t="n"/>
      <c r="M4643" s="74" t="n"/>
      <c r="O4643" s="78">
        <f>IF($A4643="","",YEAR($A4643)*100+MONTH($A4643))</f>
        <v/>
      </c>
      <c r="P4643" s="79">
        <f>IF(OR($F4643="",$D4643=""),"",IF($D4643="Receita",$F4643,IF($D4643="Transferência",0,-$F4643)))</f>
        <v/>
      </c>
    </row>
    <row r="4644">
      <c r="A4644" s="73" t="n"/>
      <c r="B4644" s="74" t="n"/>
      <c r="C4644" s="74" t="n"/>
      <c r="D4644" s="75">
        <f>IF($C4644="","",IFERROR(INDEX(CAT_TIPO,MATCH($C4644,CAT_NOME,0)),"Sem categoria"))</f>
        <v/>
      </c>
      <c r="E4644" s="75">
        <f>IF($C4644="","",IFERROR(INDEX(CAT_GRUPO,MATCH($C4644,CAT_NOME,0)),"Sem categoria"))</f>
        <v/>
      </c>
      <c r="F4644" s="76" t="n"/>
      <c r="G4644" s="74" t="n"/>
      <c r="H4644" s="74" t="n"/>
      <c r="I4644" s="74" t="n"/>
      <c r="J4644" s="77" t="n"/>
      <c r="K4644" s="77" t="n"/>
      <c r="L4644" s="74" t="n"/>
      <c r="M4644" s="74" t="n"/>
      <c r="O4644" s="78">
        <f>IF($A4644="","",YEAR($A4644)*100+MONTH($A4644))</f>
        <v/>
      </c>
      <c r="P4644" s="79">
        <f>IF(OR($F4644="",$D4644=""),"",IF($D4644="Receita",$F4644,IF($D4644="Transferência",0,-$F4644)))</f>
        <v/>
      </c>
    </row>
    <row r="4645">
      <c r="A4645" s="73" t="n"/>
      <c r="B4645" s="74" t="n"/>
      <c r="C4645" s="74" t="n"/>
      <c r="D4645" s="75">
        <f>IF($C4645="","",IFERROR(INDEX(CAT_TIPO,MATCH($C4645,CAT_NOME,0)),"Sem categoria"))</f>
        <v/>
      </c>
      <c r="E4645" s="75">
        <f>IF($C4645="","",IFERROR(INDEX(CAT_GRUPO,MATCH($C4645,CAT_NOME,0)),"Sem categoria"))</f>
        <v/>
      </c>
      <c r="F4645" s="76" t="n"/>
      <c r="G4645" s="74" t="n"/>
      <c r="H4645" s="74" t="n"/>
      <c r="I4645" s="74" t="n"/>
      <c r="J4645" s="77" t="n"/>
      <c r="K4645" s="77" t="n"/>
      <c r="L4645" s="74" t="n"/>
      <c r="M4645" s="74" t="n"/>
      <c r="O4645" s="78">
        <f>IF($A4645="","",YEAR($A4645)*100+MONTH($A4645))</f>
        <v/>
      </c>
      <c r="P4645" s="79">
        <f>IF(OR($F4645="",$D4645=""),"",IF($D4645="Receita",$F4645,IF($D4645="Transferência",0,-$F4645)))</f>
        <v/>
      </c>
    </row>
    <row r="4646">
      <c r="A4646" s="73" t="n"/>
      <c r="B4646" s="74" t="n"/>
      <c r="C4646" s="74" t="n"/>
      <c r="D4646" s="75">
        <f>IF($C4646="","",IFERROR(INDEX(CAT_TIPO,MATCH($C4646,CAT_NOME,0)),"Sem categoria"))</f>
        <v/>
      </c>
      <c r="E4646" s="75">
        <f>IF($C4646="","",IFERROR(INDEX(CAT_GRUPO,MATCH($C4646,CAT_NOME,0)),"Sem categoria"))</f>
        <v/>
      </c>
      <c r="F4646" s="76" t="n"/>
      <c r="G4646" s="74" t="n"/>
      <c r="H4646" s="74" t="n"/>
      <c r="I4646" s="74" t="n"/>
      <c r="J4646" s="77" t="n"/>
      <c r="K4646" s="77" t="n"/>
      <c r="L4646" s="74" t="n"/>
      <c r="M4646" s="74" t="n"/>
      <c r="O4646" s="78">
        <f>IF($A4646="","",YEAR($A4646)*100+MONTH($A4646))</f>
        <v/>
      </c>
      <c r="P4646" s="79">
        <f>IF(OR($F4646="",$D4646=""),"",IF($D4646="Receita",$F4646,IF($D4646="Transferência",0,-$F4646)))</f>
        <v/>
      </c>
    </row>
    <row r="4647">
      <c r="A4647" s="73" t="n"/>
      <c r="B4647" s="74" t="n"/>
      <c r="C4647" s="74" t="n"/>
      <c r="D4647" s="75">
        <f>IF($C4647="","",IFERROR(INDEX(CAT_TIPO,MATCH($C4647,CAT_NOME,0)),"Sem categoria"))</f>
        <v/>
      </c>
      <c r="E4647" s="75">
        <f>IF($C4647="","",IFERROR(INDEX(CAT_GRUPO,MATCH($C4647,CAT_NOME,0)),"Sem categoria"))</f>
        <v/>
      </c>
      <c r="F4647" s="76" t="n"/>
      <c r="G4647" s="74" t="n"/>
      <c r="H4647" s="74" t="n"/>
      <c r="I4647" s="74" t="n"/>
      <c r="J4647" s="77" t="n"/>
      <c r="K4647" s="77" t="n"/>
      <c r="L4647" s="74" t="n"/>
      <c r="M4647" s="74" t="n"/>
      <c r="O4647" s="78">
        <f>IF($A4647="","",YEAR($A4647)*100+MONTH($A4647))</f>
        <v/>
      </c>
      <c r="P4647" s="79">
        <f>IF(OR($F4647="",$D4647=""),"",IF($D4647="Receita",$F4647,IF($D4647="Transferência",0,-$F4647)))</f>
        <v/>
      </c>
    </row>
    <row r="4648">
      <c r="A4648" s="73" t="n"/>
      <c r="B4648" s="74" t="n"/>
      <c r="C4648" s="74" t="n"/>
      <c r="D4648" s="75">
        <f>IF($C4648="","",IFERROR(INDEX(CAT_TIPO,MATCH($C4648,CAT_NOME,0)),"Sem categoria"))</f>
        <v/>
      </c>
      <c r="E4648" s="75">
        <f>IF($C4648="","",IFERROR(INDEX(CAT_GRUPO,MATCH($C4648,CAT_NOME,0)),"Sem categoria"))</f>
        <v/>
      </c>
      <c r="F4648" s="76" t="n"/>
      <c r="G4648" s="74" t="n"/>
      <c r="H4648" s="74" t="n"/>
      <c r="I4648" s="74" t="n"/>
      <c r="J4648" s="77" t="n"/>
      <c r="K4648" s="77" t="n"/>
      <c r="L4648" s="74" t="n"/>
      <c r="M4648" s="74" t="n"/>
      <c r="O4648" s="78">
        <f>IF($A4648="","",YEAR($A4648)*100+MONTH($A4648))</f>
        <v/>
      </c>
      <c r="P4648" s="79">
        <f>IF(OR($F4648="",$D4648=""),"",IF($D4648="Receita",$F4648,IF($D4648="Transferência",0,-$F4648)))</f>
        <v/>
      </c>
    </row>
    <row r="4649">
      <c r="A4649" s="73" t="n"/>
      <c r="B4649" s="74" t="n"/>
      <c r="C4649" s="74" t="n"/>
      <c r="D4649" s="75">
        <f>IF($C4649="","",IFERROR(INDEX(CAT_TIPO,MATCH($C4649,CAT_NOME,0)),"Sem categoria"))</f>
        <v/>
      </c>
      <c r="E4649" s="75">
        <f>IF($C4649="","",IFERROR(INDEX(CAT_GRUPO,MATCH($C4649,CAT_NOME,0)),"Sem categoria"))</f>
        <v/>
      </c>
      <c r="F4649" s="76" t="n"/>
      <c r="G4649" s="74" t="n"/>
      <c r="H4649" s="74" t="n"/>
      <c r="I4649" s="74" t="n"/>
      <c r="J4649" s="77" t="n"/>
      <c r="K4649" s="77" t="n"/>
      <c r="L4649" s="74" t="n"/>
      <c r="M4649" s="74" t="n"/>
      <c r="O4649" s="78">
        <f>IF($A4649="","",YEAR($A4649)*100+MONTH($A4649))</f>
        <v/>
      </c>
      <c r="P4649" s="79">
        <f>IF(OR($F4649="",$D4649=""),"",IF($D4649="Receita",$F4649,IF($D4649="Transferência",0,-$F4649)))</f>
        <v/>
      </c>
    </row>
    <row r="4650">
      <c r="A4650" s="73" t="n"/>
      <c r="B4650" s="74" t="n"/>
      <c r="C4650" s="74" t="n"/>
      <c r="D4650" s="75">
        <f>IF($C4650="","",IFERROR(INDEX(CAT_TIPO,MATCH($C4650,CAT_NOME,0)),"Sem categoria"))</f>
        <v/>
      </c>
      <c r="E4650" s="75">
        <f>IF($C4650="","",IFERROR(INDEX(CAT_GRUPO,MATCH($C4650,CAT_NOME,0)),"Sem categoria"))</f>
        <v/>
      </c>
      <c r="F4650" s="76" t="n"/>
      <c r="G4650" s="74" t="n"/>
      <c r="H4650" s="74" t="n"/>
      <c r="I4650" s="74" t="n"/>
      <c r="J4650" s="77" t="n"/>
      <c r="K4650" s="77" t="n"/>
      <c r="L4650" s="74" t="n"/>
      <c r="M4650" s="74" t="n"/>
      <c r="O4650" s="78">
        <f>IF($A4650="","",YEAR($A4650)*100+MONTH($A4650))</f>
        <v/>
      </c>
      <c r="P4650" s="79">
        <f>IF(OR($F4650="",$D4650=""),"",IF($D4650="Receita",$F4650,IF($D4650="Transferência",0,-$F4650)))</f>
        <v/>
      </c>
    </row>
    <row r="4651">
      <c r="A4651" s="73" t="n"/>
      <c r="B4651" s="74" t="n"/>
      <c r="C4651" s="74" t="n"/>
      <c r="D4651" s="75">
        <f>IF($C4651="","",IFERROR(INDEX(CAT_TIPO,MATCH($C4651,CAT_NOME,0)),"Sem categoria"))</f>
        <v/>
      </c>
      <c r="E4651" s="75">
        <f>IF($C4651="","",IFERROR(INDEX(CAT_GRUPO,MATCH($C4651,CAT_NOME,0)),"Sem categoria"))</f>
        <v/>
      </c>
      <c r="F4651" s="76" t="n"/>
      <c r="G4651" s="74" t="n"/>
      <c r="H4651" s="74" t="n"/>
      <c r="I4651" s="74" t="n"/>
      <c r="J4651" s="77" t="n"/>
      <c r="K4651" s="77" t="n"/>
      <c r="L4651" s="74" t="n"/>
      <c r="M4651" s="74" t="n"/>
      <c r="O4651" s="78">
        <f>IF($A4651="","",YEAR($A4651)*100+MONTH($A4651))</f>
        <v/>
      </c>
      <c r="P4651" s="79">
        <f>IF(OR($F4651="",$D4651=""),"",IF($D4651="Receita",$F4651,IF($D4651="Transferência",0,-$F4651)))</f>
        <v/>
      </c>
    </row>
    <row r="4652">
      <c r="A4652" s="73" t="n"/>
      <c r="B4652" s="74" t="n"/>
      <c r="C4652" s="74" t="n"/>
      <c r="D4652" s="75">
        <f>IF($C4652="","",IFERROR(INDEX(CAT_TIPO,MATCH($C4652,CAT_NOME,0)),"Sem categoria"))</f>
        <v/>
      </c>
      <c r="E4652" s="75">
        <f>IF($C4652="","",IFERROR(INDEX(CAT_GRUPO,MATCH($C4652,CAT_NOME,0)),"Sem categoria"))</f>
        <v/>
      </c>
      <c r="F4652" s="76" t="n"/>
      <c r="G4652" s="74" t="n"/>
      <c r="H4652" s="74" t="n"/>
      <c r="I4652" s="74" t="n"/>
      <c r="J4652" s="77" t="n"/>
      <c r="K4652" s="77" t="n"/>
      <c r="L4652" s="74" t="n"/>
      <c r="M4652" s="74" t="n"/>
      <c r="O4652" s="78">
        <f>IF($A4652="","",YEAR($A4652)*100+MONTH($A4652))</f>
        <v/>
      </c>
      <c r="P4652" s="79">
        <f>IF(OR($F4652="",$D4652=""),"",IF($D4652="Receita",$F4652,IF($D4652="Transferência",0,-$F4652)))</f>
        <v/>
      </c>
    </row>
    <row r="4653">
      <c r="A4653" s="73" t="n"/>
      <c r="B4653" s="74" t="n"/>
      <c r="C4653" s="74" t="n"/>
      <c r="D4653" s="75">
        <f>IF($C4653="","",IFERROR(INDEX(CAT_TIPO,MATCH($C4653,CAT_NOME,0)),"Sem categoria"))</f>
        <v/>
      </c>
      <c r="E4653" s="75">
        <f>IF($C4653="","",IFERROR(INDEX(CAT_GRUPO,MATCH($C4653,CAT_NOME,0)),"Sem categoria"))</f>
        <v/>
      </c>
      <c r="F4653" s="76" t="n"/>
      <c r="G4653" s="74" t="n"/>
      <c r="H4653" s="74" t="n"/>
      <c r="I4653" s="74" t="n"/>
      <c r="J4653" s="77" t="n"/>
      <c r="K4653" s="77" t="n"/>
      <c r="L4653" s="74" t="n"/>
      <c r="M4653" s="74" t="n"/>
      <c r="O4653" s="78">
        <f>IF($A4653="","",YEAR($A4653)*100+MONTH($A4653))</f>
        <v/>
      </c>
      <c r="P4653" s="79">
        <f>IF(OR($F4653="",$D4653=""),"",IF($D4653="Receita",$F4653,IF($D4653="Transferência",0,-$F4653)))</f>
        <v/>
      </c>
    </row>
    <row r="4654">
      <c r="A4654" s="73" t="n"/>
      <c r="B4654" s="74" t="n"/>
      <c r="C4654" s="74" t="n"/>
      <c r="D4654" s="75">
        <f>IF($C4654="","",IFERROR(INDEX(CAT_TIPO,MATCH($C4654,CAT_NOME,0)),"Sem categoria"))</f>
        <v/>
      </c>
      <c r="E4654" s="75">
        <f>IF($C4654="","",IFERROR(INDEX(CAT_GRUPO,MATCH($C4654,CAT_NOME,0)),"Sem categoria"))</f>
        <v/>
      </c>
      <c r="F4654" s="76" t="n"/>
      <c r="G4654" s="74" t="n"/>
      <c r="H4654" s="74" t="n"/>
      <c r="I4654" s="74" t="n"/>
      <c r="J4654" s="77" t="n"/>
      <c r="K4654" s="77" t="n"/>
      <c r="L4654" s="74" t="n"/>
      <c r="M4654" s="74" t="n"/>
      <c r="O4654" s="78">
        <f>IF($A4654="","",YEAR($A4654)*100+MONTH($A4654))</f>
        <v/>
      </c>
      <c r="P4654" s="79">
        <f>IF(OR($F4654="",$D4654=""),"",IF($D4654="Receita",$F4654,IF($D4654="Transferência",0,-$F4654)))</f>
        <v/>
      </c>
    </row>
    <row r="4655">
      <c r="A4655" s="73" t="n"/>
      <c r="B4655" s="74" t="n"/>
      <c r="C4655" s="74" t="n"/>
      <c r="D4655" s="75">
        <f>IF($C4655="","",IFERROR(INDEX(CAT_TIPO,MATCH($C4655,CAT_NOME,0)),"Sem categoria"))</f>
        <v/>
      </c>
      <c r="E4655" s="75">
        <f>IF($C4655="","",IFERROR(INDEX(CAT_GRUPO,MATCH($C4655,CAT_NOME,0)),"Sem categoria"))</f>
        <v/>
      </c>
      <c r="F4655" s="76" t="n"/>
      <c r="G4655" s="74" t="n"/>
      <c r="H4655" s="74" t="n"/>
      <c r="I4655" s="74" t="n"/>
      <c r="J4655" s="77" t="n"/>
      <c r="K4655" s="77" t="n"/>
      <c r="L4655" s="74" t="n"/>
      <c r="M4655" s="74" t="n"/>
      <c r="O4655" s="78">
        <f>IF($A4655="","",YEAR($A4655)*100+MONTH($A4655))</f>
        <v/>
      </c>
      <c r="P4655" s="79">
        <f>IF(OR($F4655="",$D4655=""),"",IF($D4655="Receita",$F4655,IF($D4655="Transferência",0,-$F4655)))</f>
        <v/>
      </c>
    </row>
    <row r="4656">
      <c r="A4656" s="73" t="n"/>
      <c r="B4656" s="74" t="n"/>
      <c r="C4656" s="74" t="n"/>
      <c r="D4656" s="75">
        <f>IF($C4656="","",IFERROR(INDEX(CAT_TIPO,MATCH($C4656,CAT_NOME,0)),"Sem categoria"))</f>
        <v/>
      </c>
      <c r="E4656" s="75">
        <f>IF($C4656="","",IFERROR(INDEX(CAT_GRUPO,MATCH($C4656,CAT_NOME,0)),"Sem categoria"))</f>
        <v/>
      </c>
      <c r="F4656" s="76" t="n"/>
      <c r="G4656" s="74" t="n"/>
      <c r="H4656" s="74" t="n"/>
      <c r="I4656" s="74" t="n"/>
      <c r="J4656" s="77" t="n"/>
      <c r="K4656" s="77" t="n"/>
      <c r="L4656" s="74" t="n"/>
      <c r="M4656" s="74" t="n"/>
      <c r="O4656" s="78">
        <f>IF($A4656="","",YEAR($A4656)*100+MONTH($A4656))</f>
        <v/>
      </c>
      <c r="P4656" s="79">
        <f>IF(OR($F4656="",$D4656=""),"",IF($D4656="Receita",$F4656,IF($D4656="Transferência",0,-$F4656)))</f>
        <v/>
      </c>
    </row>
    <row r="4657">
      <c r="A4657" s="73" t="n"/>
      <c r="B4657" s="74" t="n"/>
      <c r="C4657" s="74" t="n"/>
      <c r="D4657" s="75">
        <f>IF($C4657="","",IFERROR(INDEX(CAT_TIPO,MATCH($C4657,CAT_NOME,0)),"Sem categoria"))</f>
        <v/>
      </c>
      <c r="E4657" s="75">
        <f>IF($C4657="","",IFERROR(INDEX(CAT_GRUPO,MATCH($C4657,CAT_NOME,0)),"Sem categoria"))</f>
        <v/>
      </c>
      <c r="F4657" s="76" t="n"/>
      <c r="G4657" s="74" t="n"/>
      <c r="H4657" s="74" t="n"/>
      <c r="I4657" s="74" t="n"/>
      <c r="J4657" s="77" t="n"/>
      <c r="K4657" s="77" t="n"/>
      <c r="L4657" s="74" t="n"/>
      <c r="M4657" s="74" t="n"/>
      <c r="O4657" s="78">
        <f>IF($A4657="","",YEAR($A4657)*100+MONTH($A4657))</f>
        <v/>
      </c>
      <c r="P4657" s="79">
        <f>IF(OR($F4657="",$D4657=""),"",IF($D4657="Receita",$F4657,IF($D4657="Transferência",0,-$F4657)))</f>
        <v/>
      </c>
    </row>
    <row r="4658">
      <c r="A4658" s="73" t="n"/>
      <c r="B4658" s="74" t="n"/>
      <c r="C4658" s="74" t="n"/>
      <c r="D4658" s="75">
        <f>IF($C4658="","",IFERROR(INDEX(CAT_TIPO,MATCH($C4658,CAT_NOME,0)),"Sem categoria"))</f>
        <v/>
      </c>
      <c r="E4658" s="75">
        <f>IF($C4658="","",IFERROR(INDEX(CAT_GRUPO,MATCH($C4658,CAT_NOME,0)),"Sem categoria"))</f>
        <v/>
      </c>
      <c r="F4658" s="76" t="n"/>
      <c r="G4658" s="74" t="n"/>
      <c r="H4658" s="74" t="n"/>
      <c r="I4658" s="74" t="n"/>
      <c r="J4658" s="77" t="n"/>
      <c r="K4658" s="77" t="n"/>
      <c r="L4658" s="74" t="n"/>
      <c r="M4658" s="74" t="n"/>
      <c r="O4658" s="78">
        <f>IF($A4658="","",YEAR($A4658)*100+MONTH($A4658))</f>
        <v/>
      </c>
      <c r="P4658" s="79">
        <f>IF(OR($F4658="",$D4658=""),"",IF($D4658="Receita",$F4658,IF($D4658="Transferência",0,-$F4658)))</f>
        <v/>
      </c>
    </row>
    <row r="4659">
      <c r="A4659" s="73" t="n"/>
      <c r="B4659" s="74" t="n"/>
      <c r="C4659" s="74" t="n"/>
      <c r="D4659" s="75">
        <f>IF($C4659="","",IFERROR(INDEX(CAT_TIPO,MATCH($C4659,CAT_NOME,0)),"Sem categoria"))</f>
        <v/>
      </c>
      <c r="E4659" s="75">
        <f>IF($C4659="","",IFERROR(INDEX(CAT_GRUPO,MATCH($C4659,CAT_NOME,0)),"Sem categoria"))</f>
        <v/>
      </c>
      <c r="F4659" s="76" t="n"/>
      <c r="G4659" s="74" t="n"/>
      <c r="H4659" s="74" t="n"/>
      <c r="I4659" s="74" t="n"/>
      <c r="J4659" s="77" t="n"/>
      <c r="K4659" s="77" t="n"/>
      <c r="L4659" s="74" t="n"/>
      <c r="M4659" s="74" t="n"/>
      <c r="O4659" s="78">
        <f>IF($A4659="","",YEAR($A4659)*100+MONTH($A4659))</f>
        <v/>
      </c>
      <c r="P4659" s="79">
        <f>IF(OR($F4659="",$D4659=""),"",IF($D4659="Receita",$F4659,IF($D4659="Transferência",0,-$F4659)))</f>
        <v/>
      </c>
    </row>
    <row r="4660">
      <c r="A4660" s="73" t="n"/>
      <c r="B4660" s="74" t="n"/>
      <c r="C4660" s="74" t="n"/>
      <c r="D4660" s="75">
        <f>IF($C4660="","",IFERROR(INDEX(CAT_TIPO,MATCH($C4660,CAT_NOME,0)),"Sem categoria"))</f>
        <v/>
      </c>
      <c r="E4660" s="75">
        <f>IF($C4660="","",IFERROR(INDEX(CAT_GRUPO,MATCH($C4660,CAT_NOME,0)),"Sem categoria"))</f>
        <v/>
      </c>
      <c r="F4660" s="76" t="n"/>
      <c r="G4660" s="74" t="n"/>
      <c r="H4660" s="74" t="n"/>
      <c r="I4660" s="74" t="n"/>
      <c r="J4660" s="77" t="n"/>
      <c r="K4660" s="77" t="n"/>
      <c r="L4660" s="74" t="n"/>
      <c r="M4660" s="74" t="n"/>
      <c r="O4660" s="78">
        <f>IF($A4660="","",YEAR($A4660)*100+MONTH($A4660))</f>
        <v/>
      </c>
      <c r="P4660" s="79">
        <f>IF(OR($F4660="",$D4660=""),"",IF($D4660="Receita",$F4660,IF($D4660="Transferência",0,-$F4660)))</f>
        <v/>
      </c>
    </row>
    <row r="4661">
      <c r="A4661" s="73" t="n"/>
      <c r="B4661" s="74" t="n"/>
      <c r="C4661" s="74" t="n"/>
      <c r="D4661" s="75">
        <f>IF($C4661="","",IFERROR(INDEX(CAT_TIPO,MATCH($C4661,CAT_NOME,0)),"Sem categoria"))</f>
        <v/>
      </c>
      <c r="E4661" s="75">
        <f>IF($C4661="","",IFERROR(INDEX(CAT_GRUPO,MATCH($C4661,CAT_NOME,0)),"Sem categoria"))</f>
        <v/>
      </c>
      <c r="F4661" s="76" t="n"/>
      <c r="G4661" s="74" t="n"/>
      <c r="H4661" s="74" t="n"/>
      <c r="I4661" s="74" t="n"/>
      <c r="J4661" s="77" t="n"/>
      <c r="K4661" s="77" t="n"/>
      <c r="L4661" s="74" t="n"/>
      <c r="M4661" s="74" t="n"/>
      <c r="O4661" s="78">
        <f>IF($A4661="","",YEAR($A4661)*100+MONTH($A4661))</f>
        <v/>
      </c>
      <c r="P4661" s="79">
        <f>IF(OR($F4661="",$D4661=""),"",IF($D4661="Receita",$F4661,IF($D4661="Transferência",0,-$F4661)))</f>
        <v/>
      </c>
    </row>
    <row r="4662">
      <c r="A4662" s="73" t="n"/>
      <c r="B4662" s="74" t="n"/>
      <c r="C4662" s="74" t="n"/>
      <c r="D4662" s="75">
        <f>IF($C4662="","",IFERROR(INDEX(CAT_TIPO,MATCH($C4662,CAT_NOME,0)),"Sem categoria"))</f>
        <v/>
      </c>
      <c r="E4662" s="75">
        <f>IF($C4662="","",IFERROR(INDEX(CAT_GRUPO,MATCH($C4662,CAT_NOME,0)),"Sem categoria"))</f>
        <v/>
      </c>
      <c r="F4662" s="76" t="n"/>
      <c r="G4662" s="74" t="n"/>
      <c r="H4662" s="74" t="n"/>
      <c r="I4662" s="74" t="n"/>
      <c r="J4662" s="77" t="n"/>
      <c r="K4662" s="77" t="n"/>
      <c r="L4662" s="74" t="n"/>
      <c r="M4662" s="74" t="n"/>
      <c r="O4662" s="78">
        <f>IF($A4662="","",YEAR($A4662)*100+MONTH($A4662))</f>
        <v/>
      </c>
      <c r="P4662" s="79">
        <f>IF(OR($F4662="",$D4662=""),"",IF($D4662="Receita",$F4662,IF($D4662="Transferência",0,-$F4662)))</f>
        <v/>
      </c>
    </row>
    <row r="4663">
      <c r="A4663" s="73" t="n"/>
      <c r="B4663" s="74" t="n"/>
      <c r="C4663" s="74" t="n"/>
      <c r="D4663" s="75">
        <f>IF($C4663="","",IFERROR(INDEX(CAT_TIPO,MATCH($C4663,CAT_NOME,0)),"Sem categoria"))</f>
        <v/>
      </c>
      <c r="E4663" s="75">
        <f>IF($C4663="","",IFERROR(INDEX(CAT_GRUPO,MATCH($C4663,CAT_NOME,0)),"Sem categoria"))</f>
        <v/>
      </c>
      <c r="F4663" s="76" t="n"/>
      <c r="G4663" s="74" t="n"/>
      <c r="H4663" s="74" t="n"/>
      <c r="I4663" s="74" t="n"/>
      <c r="J4663" s="77" t="n"/>
      <c r="K4663" s="77" t="n"/>
      <c r="L4663" s="74" t="n"/>
      <c r="M4663" s="74" t="n"/>
      <c r="O4663" s="78">
        <f>IF($A4663="","",YEAR($A4663)*100+MONTH($A4663))</f>
        <v/>
      </c>
      <c r="P4663" s="79">
        <f>IF(OR($F4663="",$D4663=""),"",IF($D4663="Receita",$F4663,IF($D4663="Transferência",0,-$F4663)))</f>
        <v/>
      </c>
    </row>
    <row r="4664">
      <c r="A4664" s="73" t="n"/>
      <c r="B4664" s="74" t="n"/>
      <c r="C4664" s="74" t="n"/>
      <c r="D4664" s="75">
        <f>IF($C4664="","",IFERROR(INDEX(CAT_TIPO,MATCH($C4664,CAT_NOME,0)),"Sem categoria"))</f>
        <v/>
      </c>
      <c r="E4664" s="75">
        <f>IF($C4664="","",IFERROR(INDEX(CAT_GRUPO,MATCH($C4664,CAT_NOME,0)),"Sem categoria"))</f>
        <v/>
      </c>
      <c r="F4664" s="76" t="n"/>
      <c r="G4664" s="74" t="n"/>
      <c r="H4664" s="74" t="n"/>
      <c r="I4664" s="74" t="n"/>
      <c r="J4664" s="77" t="n"/>
      <c r="K4664" s="77" t="n"/>
      <c r="L4664" s="74" t="n"/>
      <c r="M4664" s="74" t="n"/>
      <c r="O4664" s="78">
        <f>IF($A4664="","",YEAR($A4664)*100+MONTH($A4664))</f>
        <v/>
      </c>
      <c r="P4664" s="79">
        <f>IF(OR($F4664="",$D4664=""),"",IF($D4664="Receita",$F4664,IF($D4664="Transferência",0,-$F4664)))</f>
        <v/>
      </c>
    </row>
    <row r="4665">
      <c r="A4665" s="73" t="n"/>
      <c r="B4665" s="74" t="n"/>
      <c r="C4665" s="74" t="n"/>
      <c r="D4665" s="75">
        <f>IF($C4665="","",IFERROR(INDEX(CAT_TIPO,MATCH($C4665,CAT_NOME,0)),"Sem categoria"))</f>
        <v/>
      </c>
      <c r="E4665" s="75">
        <f>IF($C4665="","",IFERROR(INDEX(CAT_GRUPO,MATCH($C4665,CAT_NOME,0)),"Sem categoria"))</f>
        <v/>
      </c>
      <c r="F4665" s="76" t="n"/>
      <c r="G4665" s="74" t="n"/>
      <c r="H4665" s="74" t="n"/>
      <c r="I4665" s="74" t="n"/>
      <c r="J4665" s="77" t="n"/>
      <c r="K4665" s="77" t="n"/>
      <c r="L4665" s="74" t="n"/>
      <c r="M4665" s="74" t="n"/>
      <c r="O4665" s="78">
        <f>IF($A4665="","",YEAR($A4665)*100+MONTH($A4665))</f>
        <v/>
      </c>
      <c r="P4665" s="79">
        <f>IF(OR($F4665="",$D4665=""),"",IF($D4665="Receita",$F4665,IF($D4665="Transferência",0,-$F4665)))</f>
        <v/>
      </c>
    </row>
    <row r="4666">
      <c r="A4666" s="73" t="n"/>
      <c r="B4666" s="74" t="n"/>
      <c r="C4666" s="74" t="n"/>
      <c r="D4666" s="75">
        <f>IF($C4666="","",IFERROR(INDEX(CAT_TIPO,MATCH($C4666,CAT_NOME,0)),"Sem categoria"))</f>
        <v/>
      </c>
      <c r="E4666" s="75">
        <f>IF($C4666="","",IFERROR(INDEX(CAT_GRUPO,MATCH($C4666,CAT_NOME,0)),"Sem categoria"))</f>
        <v/>
      </c>
      <c r="F4666" s="76" t="n"/>
      <c r="G4666" s="74" t="n"/>
      <c r="H4666" s="74" t="n"/>
      <c r="I4666" s="74" t="n"/>
      <c r="J4666" s="77" t="n"/>
      <c r="K4666" s="77" t="n"/>
      <c r="L4666" s="74" t="n"/>
      <c r="M4666" s="74" t="n"/>
      <c r="O4666" s="78">
        <f>IF($A4666="","",YEAR($A4666)*100+MONTH($A4666))</f>
        <v/>
      </c>
      <c r="P4666" s="79">
        <f>IF(OR($F4666="",$D4666=""),"",IF($D4666="Receita",$F4666,IF($D4666="Transferência",0,-$F4666)))</f>
        <v/>
      </c>
    </row>
    <row r="4667">
      <c r="A4667" s="73" t="n"/>
      <c r="B4667" s="74" t="n"/>
      <c r="C4667" s="74" t="n"/>
      <c r="D4667" s="75">
        <f>IF($C4667="","",IFERROR(INDEX(CAT_TIPO,MATCH($C4667,CAT_NOME,0)),"Sem categoria"))</f>
        <v/>
      </c>
      <c r="E4667" s="75">
        <f>IF($C4667="","",IFERROR(INDEX(CAT_GRUPO,MATCH($C4667,CAT_NOME,0)),"Sem categoria"))</f>
        <v/>
      </c>
      <c r="F4667" s="76" t="n"/>
      <c r="G4667" s="74" t="n"/>
      <c r="H4667" s="74" t="n"/>
      <c r="I4667" s="74" t="n"/>
      <c r="J4667" s="77" t="n"/>
      <c r="K4667" s="77" t="n"/>
      <c r="L4667" s="74" t="n"/>
      <c r="M4667" s="74" t="n"/>
      <c r="O4667" s="78">
        <f>IF($A4667="","",YEAR($A4667)*100+MONTH($A4667))</f>
        <v/>
      </c>
      <c r="P4667" s="79">
        <f>IF(OR($F4667="",$D4667=""),"",IF($D4667="Receita",$F4667,IF($D4667="Transferência",0,-$F4667)))</f>
        <v/>
      </c>
    </row>
    <row r="4668">
      <c r="A4668" s="73" t="n"/>
      <c r="B4668" s="74" t="n"/>
      <c r="C4668" s="74" t="n"/>
      <c r="D4668" s="75">
        <f>IF($C4668="","",IFERROR(INDEX(CAT_TIPO,MATCH($C4668,CAT_NOME,0)),"Sem categoria"))</f>
        <v/>
      </c>
      <c r="E4668" s="75">
        <f>IF($C4668="","",IFERROR(INDEX(CAT_GRUPO,MATCH($C4668,CAT_NOME,0)),"Sem categoria"))</f>
        <v/>
      </c>
      <c r="F4668" s="76" t="n"/>
      <c r="G4668" s="74" t="n"/>
      <c r="H4668" s="74" t="n"/>
      <c r="I4668" s="74" t="n"/>
      <c r="J4668" s="77" t="n"/>
      <c r="K4668" s="77" t="n"/>
      <c r="L4668" s="74" t="n"/>
      <c r="M4668" s="74" t="n"/>
      <c r="O4668" s="78">
        <f>IF($A4668="","",YEAR($A4668)*100+MONTH($A4668))</f>
        <v/>
      </c>
      <c r="P4668" s="79">
        <f>IF(OR($F4668="",$D4668=""),"",IF($D4668="Receita",$F4668,IF($D4668="Transferência",0,-$F4668)))</f>
        <v/>
      </c>
    </row>
    <row r="4669">
      <c r="A4669" s="73" t="n"/>
      <c r="B4669" s="74" t="n"/>
      <c r="C4669" s="74" t="n"/>
      <c r="D4669" s="75">
        <f>IF($C4669="","",IFERROR(INDEX(CAT_TIPO,MATCH($C4669,CAT_NOME,0)),"Sem categoria"))</f>
        <v/>
      </c>
      <c r="E4669" s="75">
        <f>IF($C4669="","",IFERROR(INDEX(CAT_GRUPO,MATCH($C4669,CAT_NOME,0)),"Sem categoria"))</f>
        <v/>
      </c>
      <c r="F4669" s="76" t="n"/>
      <c r="G4669" s="74" t="n"/>
      <c r="H4669" s="74" t="n"/>
      <c r="I4669" s="74" t="n"/>
      <c r="J4669" s="77" t="n"/>
      <c r="K4669" s="77" t="n"/>
      <c r="L4669" s="74" t="n"/>
      <c r="M4669" s="74" t="n"/>
      <c r="O4669" s="78">
        <f>IF($A4669="","",YEAR($A4669)*100+MONTH($A4669))</f>
        <v/>
      </c>
      <c r="P4669" s="79">
        <f>IF(OR($F4669="",$D4669=""),"",IF($D4669="Receita",$F4669,IF($D4669="Transferência",0,-$F4669)))</f>
        <v/>
      </c>
    </row>
    <row r="4670">
      <c r="A4670" s="73" t="n"/>
      <c r="B4670" s="74" t="n"/>
      <c r="C4670" s="74" t="n"/>
      <c r="D4670" s="75">
        <f>IF($C4670="","",IFERROR(INDEX(CAT_TIPO,MATCH($C4670,CAT_NOME,0)),"Sem categoria"))</f>
        <v/>
      </c>
      <c r="E4670" s="75">
        <f>IF($C4670="","",IFERROR(INDEX(CAT_GRUPO,MATCH($C4670,CAT_NOME,0)),"Sem categoria"))</f>
        <v/>
      </c>
      <c r="F4670" s="76" t="n"/>
      <c r="G4670" s="74" t="n"/>
      <c r="H4670" s="74" t="n"/>
      <c r="I4670" s="74" t="n"/>
      <c r="J4670" s="77" t="n"/>
      <c r="K4670" s="77" t="n"/>
      <c r="L4670" s="74" t="n"/>
      <c r="M4670" s="74" t="n"/>
      <c r="O4670" s="78">
        <f>IF($A4670="","",YEAR($A4670)*100+MONTH($A4670))</f>
        <v/>
      </c>
      <c r="P4670" s="79">
        <f>IF(OR($F4670="",$D4670=""),"",IF($D4670="Receita",$F4670,IF($D4670="Transferência",0,-$F4670)))</f>
        <v/>
      </c>
    </row>
    <row r="4671">
      <c r="A4671" s="73" t="n"/>
      <c r="B4671" s="74" t="n"/>
      <c r="C4671" s="74" t="n"/>
      <c r="D4671" s="75">
        <f>IF($C4671="","",IFERROR(INDEX(CAT_TIPO,MATCH($C4671,CAT_NOME,0)),"Sem categoria"))</f>
        <v/>
      </c>
      <c r="E4671" s="75">
        <f>IF($C4671="","",IFERROR(INDEX(CAT_GRUPO,MATCH($C4671,CAT_NOME,0)),"Sem categoria"))</f>
        <v/>
      </c>
      <c r="F4671" s="76" t="n"/>
      <c r="G4671" s="74" t="n"/>
      <c r="H4671" s="74" t="n"/>
      <c r="I4671" s="74" t="n"/>
      <c r="J4671" s="77" t="n"/>
      <c r="K4671" s="77" t="n"/>
      <c r="L4671" s="74" t="n"/>
      <c r="M4671" s="74" t="n"/>
      <c r="O4671" s="78">
        <f>IF($A4671="","",YEAR($A4671)*100+MONTH($A4671))</f>
        <v/>
      </c>
      <c r="P4671" s="79">
        <f>IF(OR($F4671="",$D4671=""),"",IF($D4671="Receita",$F4671,IF($D4671="Transferência",0,-$F4671)))</f>
        <v/>
      </c>
    </row>
    <row r="4672">
      <c r="A4672" s="73" t="n"/>
      <c r="B4672" s="74" t="n"/>
      <c r="C4672" s="74" t="n"/>
      <c r="D4672" s="75">
        <f>IF($C4672="","",IFERROR(INDEX(CAT_TIPO,MATCH($C4672,CAT_NOME,0)),"Sem categoria"))</f>
        <v/>
      </c>
      <c r="E4672" s="75">
        <f>IF($C4672="","",IFERROR(INDEX(CAT_GRUPO,MATCH($C4672,CAT_NOME,0)),"Sem categoria"))</f>
        <v/>
      </c>
      <c r="F4672" s="76" t="n"/>
      <c r="G4672" s="74" t="n"/>
      <c r="H4672" s="74" t="n"/>
      <c r="I4672" s="74" t="n"/>
      <c r="J4672" s="77" t="n"/>
      <c r="K4672" s="77" t="n"/>
      <c r="L4672" s="74" t="n"/>
      <c r="M4672" s="74" t="n"/>
      <c r="O4672" s="78">
        <f>IF($A4672="","",YEAR($A4672)*100+MONTH($A4672))</f>
        <v/>
      </c>
      <c r="P4672" s="79">
        <f>IF(OR($F4672="",$D4672=""),"",IF($D4672="Receita",$F4672,IF($D4672="Transferência",0,-$F4672)))</f>
        <v/>
      </c>
    </row>
    <row r="4673">
      <c r="A4673" s="73" t="n"/>
      <c r="B4673" s="74" t="n"/>
      <c r="C4673" s="74" t="n"/>
      <c r="D4673" s="75">
        <f>IF($C4673="","",IFERROR(INDEX(CAT_TIPO,MATCH($C4673,CAT_NOME,0)),"Sem categoria"))</f>
        <v/>
      </c>
      <c r="E4673" s="75">
        <f>IF($C4673="","",IFERROR(INDEX(CAT_GRUPO,MATCH($C4673,CAT_NOME,0)),"Sem categoria"))</f>
        <v/>
      </c>
      <c r="F4673" s="76" t="n"/>
      <c r="G4673" s="74" t="n"/>
      <c r="H4673" s="74" t="n"/>
      <c r="I4673" s="74" t="n"/>
      <c r="J4673" s="77" t="n"/>
      <c r="K4673" s="77" t="n"/>
      <c r="L4673" s="74" t="n"/>
      <c r="M4673" s="74" t="n"/>
      <c r="O4673" s="78">
        <f>IF($A4673="","",YEAR($A4673)*100+MONTH($A4673))</f>
        <v/>
      </c>
      <c r="P4673" s="79">
        <f>IF(OR($F4673="",$D4673=""),"",IF($D4673="Receita",$F4673,IF($D4673="Transferência",0,-$F4673)))</f>
        <v/>
      </c>
    </row>
    <row r="4674">
      <c r="A4674" s="73" t="n"/>
      <c r="B4674" s="74" t="n"/>
      <c r="C4674" s="74" t="n"/>
      <c r="D4674" s="75">
        <f>IF($C4674="","",IFERROR(INDEX(CAT_TIPO,MATCH($C4674,CAT_NOME,0)),"Sem categoria"))</f>
        <v/>
      </c>
      <c r="E4674" s="75">
        <f>IF($C4674="","",IFERROR(INDEX(CAT_GRUPO,MATCH($C4674,CAT_NOME,0)),"Sem categoria"))</f>
        <v/>
      </c>
      <c r="F4674" s="76" t="n"/>
      <c r="G4674" s="74" t="n"/>
      <c r="H4674" s="74" t="n"/>
      <c r="I4674" s="74" t="n"/>
      <c r="J4674" s="77" t="n"/>
      <c r="K4674" s="77" t="n"/>
      <c r="L4674" s="74" t="n"/>
      <c r="M4674" s="74" t="n"/>
      <c r="O4674" s="78">
        <f>IF($A4674="","",YEAR($A4674)*100+MONTH($A4674))</f>
        <v/>
      </c>
      <c r="P4674" s="79">
        <f>IF(OR($F4674="",$D4674=""),"",IF($D4674="Receita",$F4674,IF($D4674="Transferência",0,-$F4674)))</f>
        <v/>
      </c>
    </row>
    <row r="4675">
      <c r="A4675" s="73" t="n"/>
      <c r="B4675" s="74" t="n"/>
      <c r="C4675" s="74" t="n"/>
      <c r="D4675" s="75">
        <f>IF($C4675="","",IFERROR(INDEX(CAT_TIPO,MATCH($C4675,CAT_NOME,0)),"Sem categoria"))</f>
        <v/>
      </c>
      <c r="E4675" s="75">
        <f>IF($C4675="","",IFERROR(INDEX(CAT_GRUPO,MATCH($C4675,CAT_NOME,0)),"Sem categoria"))</f>
        <v/>
      </c>
      <c r="F4675" s="76" t="n"/>
      <c r="G4675" s="74" t="n"/>
      <c r="H4675" s="74" t="n"/>
      <c r="I4675" s="74" t="n"/>
      <c r="J4675" s="77" t="n"/>
      <c r="K4675" s="77" t="n"/>
      <c r="L4675" s="74" t="n"/>
      <c r="M4675" s="74" t="n"/>
      <c r="O4675" s="78">
        <f>IF($A4675="","",YEAR($A4675)*100+MONTH($A4675))</f>
        <v/>
      </c>
      <c r="P4675" s="79">
        <f>IF(OR($F4675="",$D4675=""),"",IF($D4675="Receita",$F4675,IF($D4675="Transferência",0,-$F4675)))</f>
        <v/>
      </c>
    </row>
    <row r="4676">
      <c r="A4676" s="73" t="n"/>
      <c r="B4676" s="74" t="n"/>
      <c r="C4676" s="74" t="n"/>
      <c r="D4676" s="75">
        <f>IF($C4676="","",IFERROR(INDEX(CAT_TIPO,MATCH($C4676,CAT_NOME,0)),"Sem categoria"))</f>
        <v/>
      </c>
      <c r="E4676" s="75">
        <f>IF($C4676="","",IFERROR(INDEX(CAT_GRUPO,MATCH($C4676,CAT_NOME,0)),"Sem categoria"))</f>
        <v/>
      </c>
      <c r="F4676" s="76" t="n"/>
      <c r="G4676" s="74" t="n"/>
      <c r="H4676" s="74" t="n"/>
      <c r="I4676" s="74" t="n"/>
      <c r="J4676" s="77" t="n"/>
      <c r="K4676" s="77" t="n"/>
      <c r="L4676" s="74" t="n"/>
      <c r="M4676" s="74" t="n"/>
      <c r="O4676" s="78">
        <f>IF($A4676="","",YEAR($A4676)*100+MONTH($A4676))</f>
        <v/>
      </c>
      <c r="P4676" s="79">
        <f>IF(OR($F4676="",$D4676=""),"",IF($D4676="Receita",$F4676,IF($D4676="Transferência",0,-$F4676)))</f>
        <v/>
      </c>
    </row>
    <row r="4677">
      <c r="A4677" s="73" t="n"/>
      <c r="B4677" s="74" t="n"/>
      <c r="C4677" s="74" t="n"/>
      <c r="D4677" s="75">
        <f>IF($C4677="","",IFERROR(INDEX(CAT_TIPO,MATCH($C4677,CAT_NOME,0)),"Sem categoria"))</f>
        <v/>
      </c>
      <c r="E4677" s="75">
        <f>IF($C4677="","",IFERROR(INDEX(CAT_GRUPO,MATCH($C4677,CAT_NOME,0)),"Sem categoria"))</f>
        <v/>
      </c>
      <c r="F4677" s="76" t="n"/>
      <c r="G4677" s="74" t="n"/>
      <c r="H4677" s="74" t="n"/>
      <c r="I4677" s="74" t="n"/>
      <c r="J4677" s="77" t="n"/>
      <c r="K4677" s="77" t="n"/>
      <c r="L4677" s="74" t="n"/>
      <c r="M4677" s="74" t="n"/>
      <c r="O4677" s="78">
        <f>IF($A4677="","",YEAR($A4677)*100+MONTH($A4677))</f>
        <v/>
      </c>
      <c r="P4677" s="79">
        <f>IF(OR($F4677="",$D4677=""),"",IF($D4677="Receita",$F4677,IF($D4677="Transferência",0,-$F4677)))</f>
        <v/>
      </c>
    </row>
    <row r="4678">
      <c r="A4678" s="73" t="n"/>
      <c r="B4678" s="74" t="n"/>
      <c r="C4678" s="74" t="n"/>
      <c r="D4678" s="75">
        <f>IF($C4678="","",IFERROR(INDEX(CAT_TIPO,MATCH($C4678,CAT_NOME,0)),"Sem categoria"))</f>
        <v/>
      </c>
      <c r="E4678" s="75">
        <f>IF($C4678="","",IFERROR(INDEX(CAT_GRUPO,MATCH($C4678,CAT_NOME,0)),"Sem categoria"))</f>
        <v/>
      </c>
      <c r="F4678" s="76" t="n"/>
      <c r="G4678" s="74" t="n"/>
      <c r="H4678" s="74" t="n"/>
      <c r="I4678" s="74" t="n"/>
      <c r="J4678" s="77" t="n"/>
      <c r="K4678" s="77" t="n"/>
      <c r="L4678" s="74" t="n"/>
      <c r="M4678" s="74" t="n"/>
      <c r="O4678" s="78">
        <f>IF($A4678="","",YEAR($A4678)*100+MONTH($A4678))</f>
        <v/>
      </c>
      <c r="P4678" s="79">
        <f>IF(OR($F4678="",$D4678=""),"",IF($D4678="Receita",$F4678,IF($D4678="Transferência",0,-$F4678)))</f>
        <v/>
      </c>
    </row>
    <row r="4679">
      <c r="A4679" s="73" t="n"/>
      <c r="B4679" s="74" t="n"/>
      <c r="C4679" s="74" t="n"/>
      <c r="D4679" s="75">
        <f>IF($C4679="","",IFERROR(INDEX(CAT_TIPO,MATCH($C4679,CAT_NOME,0)),"Sem categoria"))</f>
        <v/>
      </c>
      <c r="E4679" s="75">
        <f>IF($C4679="","",IFERROR(INDEX(CAT_GRUPO,MATCH($C4679,CAT_NOME,0)),"Sem categoria"))</f>
        <v/>
      </c>
      <c r="F4679" s="76" t="n"/>
      <c r="G4679" s="74" t="n"/>
      <c r="H4679" s="74" t="n"/>
      <c r="I4679" s="74" t="n"/>
      <c r="J4679" s="77" t="n"/>
      <c r="K4679" s="77" t="n"/>
      <c r="L4679" s="74" t="n"/>
      <c r="M4679" s="74" t="n"/>
      <c r="O4679" s="78">
        <f>IF($A4679="","",YEAR($A4679)*100+MONTH($A4679))</f>
        <v/>
      </c>
      <c r="P4679" s="79">
        <f>IF(OR($F4679="",$D4679=""),"",IF($D4679="Receita",$F4679,IF($D4679="Transferência",0,-$F4679)))</f>
        <v/>
      </c>
    </row>
    <row r="4680">
      <c r="A4680" s="73" t="n"/>
      <c r="B4680" s="74" t="n"/>
      <c r="C4680" s="74" t="n"/>
      <c r="D4680" s="75">
        <f>IF($C4680="","",IFERROR(INDEX(CAT_TIPO,MATCH($C4680,CAT_NOME,0)),"Sem categoria"))</f>
        <v/>
      </c>
      <c r="E4680" s="75">
        <f>IF($C4680="","",IFERROR(INDEX(CAT_GRUPO,MATCH($C4680,CAT_NOME,0)),"Sem categoria"))</f>
        <v/>
      </c>
      <c r="F4680" s="76" t="n"/>
      <c r="G4680" s="74" t="n"/>
      <c r="H4680" s="74" t="n"/>
      <c r="I4680" s="74" t="n"/>
      <c r="J4680" s="77" t="n"/>
      <c r="K4680" s="77" t="n"/>
      <c r="L4680" s="74" t="n"/>
      <c r="M4680" s="74" t="n"/>
      <c r="O4680" s="78">
        <f>IF($A4680="","",YEAR($A4680)*100+MONTH($A4680))</f>
        <v/>
      </c>
      <c r="P4680" s="79">
        <f>IF(OR($F4680="",$D4680=""),"",IF($D4680="Receita",$F4680,IF($D4680="Transferência",0,-$F4680)))</f>
        <v/>
      </c>
    </row>
    <row r="4681">
      <c r="A4681" s="73" t="n"/>
      <c r="B4681" s="74" t="n"/>
      <c r="C4681" s="74" t="n"/>
      <c r="D4681" s="75">
        <f>IF($C4681="","",IFERROR(INDEX(CAT_TIPO,MATCH($C4681,CAT_NOME,0)),"Sem categoria"))</f>
        <v/>
      </c>
      <c r="E4681" s="75">
        <f>IF($C4681="","",IFERROR(INDEX(CAT_GRUPO,MATCH($C4681,CAT_NOME,0)),"Sem categoria"))</f>
        <v/>
      </c>
      <c r="F4681" s="76" t="n"/>
      <c r="G4681" s="74" t="n"/>
      <c r="H4681" s="74" t="n"/>
      <c r="I4681" s="74" t="n"/>
      <c r="J4681" s="77" t="n"/>
      <c r="K4681" s="77" t="n"/>
      <c r="L4681" s="74" t="n"/>
      <c r="M4681" s="74" t="n"/>
      <c r="O4681" s="78">
        <f>IF($A4681="","",YEAR($A4681)*100+MONTH($A4681))</f>
        <v/>
      </c>
      <c r="P4681" s="79">
        <f>IF(OR($F4681="",$D4681=""),"",IF($D4681="Receita",$F4681,IF($D4681="Transferência",0,-$F4681)))</f>
        <v/>
      </c>
    </row>
    <row r="4682">
      <c r="A4682" s="73" t="n"/>
      <c r="B4682" s="74" t="n"/>
      <c r="C4682" s="74" t="n"/>
      <c r="D4682" s="75">
        <f>IF($C4682="","",IFERROR(INDEX(CAT_TIPO,MATCH($C4682,CAT_NOME,0)),"Sem categoria"))</f>
        <v/>
      </c>
      <c r="E4682" s="75">
        <f>IF($C4682="","",IFERROR(INDEX(CAT_GRUPO,MATCH($C4682,CAT_NOME,0)),"Sem categoria"))</f>
        <v/>
      </c>
      <c r="F4682" s="76" t="n"/>
      <c r="G4682" s="74" t="n"/>
      <c r="H4682" s="74" t="n"/>
      <c r="I4682" s="74" t="n"/>
      <c r="J4682" s="77" t="n"/>
      <c r="K4682" s="77" t="n"/>
      <c r="L4682" s="74" t="n"/>
      <c r="M4682" s="74" t="n"/>
      <c r="O4682" s="78">
        <f>IF($A4682="","",YEAR($A4682)*100+MONTH($A4682))</f>
        <v/>
      </c>
      <c r="P4682" s="79">
        <f>IF(OR($F4682="",$D4682=""),"",IF($D4682="Receita",$F4682,IF($D4682="Transferência",0,-$F4682)))</f>
        <v/>
      </c>
    </row>
    <row r="4683">
      <c r="A4683" s="73" t="n"/>
      <c r="B4683" s="74" t="n"/>
      <c r="C4683" s="74" t="n"/>
      <c r="D4683" s="75">
        <f>IF($C4683="","",IFERROR(INDEX(CAT_TIPO,MATCH($C4683,CAT_NOME,0)),"Sem categoria"))</f>
        <v/>
      </c>
      <c r="E4683" s="75">
        <f>IF($C4683="","",IFERROR(INDEX(CAT_GRUPO,MATCH($C4683,CAT_NOME,0)),"Sem categoria"))</f>
        <v/>
      </c>
      <c r="F4683" s="76" t="n"/>
      <c r="G4683" s="74" t="n"/>
      <c r="H4683" s="74" t="n"/>
      <c r="I4683" s="74" t="n"/>
      <c r="J4683" s="77" t="n"/>
      <c r="K4683" s="77" t="n"/>
      <c r="L4683" s="74" t="n"/>
      <c r="M4683" s="74" t="n"/>
      <c r="O4683" s="78">
        <f>IF($A4683="","",YEAR($A4683)*100+MONTH($A4683))</f>
        <v/>
      </c>
      <c r="P4683" s="79">
        <f>IF(OR($F4683="",$D4683=""),"",IF($D4683="Receita",$F4683,IF($D4683="Transferência",0,-$F4683)))</f>
        <v/>
      </c>
    </row>
    <row r="4684">
      <c r="A4684" s="73" t="n"/>
      <c r="B4684" s="74" t="n"/>
      <c r="C4684" s="74" t="n"/>
      <c r="D4684" s="75">
        <f>IF($C4684="","",IFERROR(INDEX(CAT_TIPO,MATCH($C4684,CAT_NOME,0)),"Sem categoria"))</f>
        <v/>
      </c>
      <c r="E4684" s="75">
        <f>IF($C4684="","",IFERROR(INDEX(CAT_GRUPO,MATCH($C4684,CAT_NOME,0)),"Sem categoria"))</f>
        <v/>
      </c>
      <c r="F4684" s="76" t="n"/>
      <c r="G4684" s="74" t="n"/>
      <c r="H4684" s="74" t="n"/>
      <c r="I4684" s="74" t="n"/>
      <c r="J4684" s="77" t="n"/>
      <c r="K4684" s="77" t="n"/>
      <c r="L4684" s="74" t="n"/>
      <c r="M4684" s="74" t="n"/>
      <c r="O4684" s="78">
        <f>IF($A4684="","",YEAR($A4684)*100+MONTH($A4684))</f>
        <v/>
      </c>
      <c r="P4684" s="79">
        <f>IF(OR($F4684="",$D4684=""),"",IF($D4684="Receita",$F4684,IF($D4684="Transferência",0,-$F4684)))</f>
        <v/>
      </c>
    </row>
    <row r="4685">
      <c r="A4685" s="73" t="n"/>
      <c r="B4685" s="74" t="n"/>
      <c r="C4685" s="74" t="n"/>
      <c r="D4685" s="75">
        <f>IF($C4685="","",IFERROR(INDEX(CAT_TIPO,MATCH($C4685,CAT_NOME,0)),"Sem categoria"))</f>
        <v/>
      </c>
      <c r="E4685" s="75">
        <f>IF($C4685="","",IFERROR(INDEX(CAT_GRUPO,MATCH($C4685,CAT_NOME,0)),"Sem categoria"))</f>
        <v/>
      </c>
      <c r="F4685" s="76" t="n"/>
      <c r="G4685" s="74" t="n"/>
      <c r="H4685" s="74" t="n"/>
      <c r="I4685" s="74" t="n"/>
      <c r="J4685" s="77" t="n"/>
      <c r="K4685" s="77" t="n"/>
      <c r="L4685" s="74" t="n"/>
      <c r="M4685" s="74" t="n"/>
      <c r="O4685" s="78">
        <f>IF($A4685="","",YEAR($A4685)*100+MONTH($A4685))</f>
        <v/>
      </c>
      <c r="P4685" s="79">
        <f>IF(OR($F4685="",$D4685=""),"",IF($D4685="Receita",$F4685,IF($D4685="Transferência",0,-$F4685)))</f>
        <v/>
      </c>
    </row>
    <row r="4686">
      <c r="A4686" s="73" t="n"/>
      <c r="B4686" s="74" t="n"/>
      <c r="C4686" s="74" t="n"/>
      <c r="D4686" s="75">
        <f>IF($C4686="","",IFERROR(INDEX(CAT_TIPO,MATCH($C4686,CAT_NOME,0)),"Sem categoria"))</f>
        <v/>
      </c>
      <c r="E4686" s="75">
        <f>IF($C4686="","",IFERROR(INDEX(CAT_GRUPO,MATCH($C4686,CAT_NOME,0)),"Sem categoria"))</f>
        <v/>
      </c>
      <c r="F4686" s="76" t="n"/>
      <c r="G4686" s="74" t="n"/>
      <c r="H4686" s="74" t="n"/>
      <c r="I4686" s="74" t="n"/>
      <c r="J4686" s="77" t="n"/>
      <c r="K4686" s="77" t="n"/>
      <c r="L4686" s="74" t="n"/>
      <c r="M4686" s="74" t="n"/>
      <c r="O4686" s="78">
        <f>IF($A4686="","",YEAR($A4686)*100+MONTH($A4686))</f>
        <v/>
      </c>
      <c r="P4686" s="79">
        <f>IF(OR($F4686="",$D4686=""),"",IF($D4686="Receita",$F4686,IF($D4686="Transferência",0,-$F4686)))</f>
        <v/>
      </c>
    </row>
    <row r="4687">
      <c r="A4687" s="73" t="n"/>
      <c r="B4687" s="74" t="n"/>
      <c r="C4687" s="74" t="n"/>
      <c r="D4687" s="75">
        <f>IF($C4687="","",IFERROR(INDEX(CAT_TIPO,MATCH($C4687,CAT_NOME,0)),"Sem categoria"))</f>
        <v/>
      </c>
      <c r="E4687" s="75">
        <f>IF($C4687="","",IFERROR(INDEX(CAT_GRUPO,MATCH($C4687,CAT_NOME,0)),"Sem categoria"))</f>
        <v/>
      </c>
      <c r="F4687" s="76" t="n"/>
      <c r="G4687" s="74" t="n"/>
      <c r="H4687" s="74" t="n"/>
      <c r="I4687" s="74" t="n"/>
      <c r="J4687" s="77" t="n"/>
      <c r="K4687" s="77" t="n"/>
      <c r="L4687" s="74" t="n"/>
      <c r="M4687" s="74" t="n"/>
      <c r="O4687" s="78">
        <f>IF($A4687="","",YEAR($A4687)*100+MONTH($A4687))</f>
        <v/>
      </c>
      <c r="P4687" s="79">
        <f>IF(OR($F4687="",$D4687=""),"",IF($D4687="Receita",$F4687,IF($D4687="Transferência",0,-$F4687)))</f>
        <v/>
      </c>
    </row>
    <row r="4688">
      <c r="A4688" s="73" t="n"/>
      <c r="B4688" s="74" t="n"/>
      <c r="C4688" s="74" t="n"/>
      <c r="D4688" s="75">
        <f>IF($C4688="","",IFERROR(INDEX(CAT_TIPO,MATCH($C4688,CAT_NOME,0)),"Sem categoria"))</f>
        <v/>
      </c>
      <c r="E4688" s="75">
        <f>IF($C4688="","",IFERROR(INDEX(CAT_GRUPO,MATCH($C4688,CAT_NOME,0)),"Sem categoria"))</f>
        <v/>
      </c>
      <c r="F4688" s="76" t="n"/>
      <c r="G4688" s="74" t="n"/>
      <c r="H4688" s="74" t="n"/>
      <c r="I4688" s="74" t="n"/>
      <c r="J4688" s="77" t="n"/>
      <c r="K4688" s="77" t="n"/>
      <c r="L4688" s="74" t="n"/>
      <c r="M4688" s="74" t="n"/>
      <c r="O4688" s="78">
        <f>IF($A4688="","",YEAR($A4688)*100+MONTH($A4688))</f>
        <v/>
      </c>
      <c r="P4688" s="79">
        <f>IF(OR($F4688="",$D4688=""),"",IF($D4688="Receita",$F4688,IF($D4688="Transferência",0,-$F4688)))</f>
        <v/>
      </c>
    </row>
    <row r="4689">
      <c r="A4689" s="73" t="n"/>
      <c r="B4689" s="74" t="n"/>
      <c r="C4689" s="74" t="n"/>
      <c r="D4689" s="75">
        <f>IF($C4689="","",IFERROR(INDEX(CAT_TIPO,MATCH($C4689,CAT_NOME,0)),"Sem categoria"))</f>
        <v/>
      </c>
      <c r="E4689" s="75">
        <f>IF($C4689="","",IFERROR(INDEX(CAT_GRUPO,MATCH($C4689,CAT_NOME,0)),"Sem categoria"))</f>
        <v/>
      </c>
      <c r="F4689" s="76" t="n"/>
      <c r="G4689" s="74" t="n"/>
      <c r="H4689" s="74" t="n"/>
      <c r="I4689" s="74" t="n"/>
      <c r="J4689" s="77" t="n"/>
      <c r="K4689" s="77" t="n"/>
      <c r="L4689" s="74" t="n"/>
      <c r="M4689" s="74" t="n"/>
      <c r="O4689" s="78">
        <f>IF($A4689="","",YEAR($A4689)*100+MONTH($A4689))</f>
        <v/>
      </c>
      <c r="P4689" s="79">
        <f>IF(OR($F4689="",$D4689=""),"",IF($D4689="Receita",$F4689,IF($D4689="Transferência",0,-$F4689)))</f>
        <v/>
      </c>
    </row>
    <row r="4690">
      <c r="A4690" s="73" t="n"/>
      <c r="B4690" s="74" t="n"/>
      <c r="C4690" s="74" t="n"/>
      <c r="D4690" s="75">
        <f>IF($C4690="","",IFERROR(INDEX(CAT_TIPO,MATCH($C4690,CAT_NOME,0)),"Sem categoria"))</f>
        <v/>
      </c>
      <c r="E4690" s="75">
        <f>IF($C4690="","",IFERROR(INDEX(CAT_GRUPO,MATCH($C4690,CAT_NOME,0)),"Sem categoria"))</f>
        <v/>
      </c>
      <c r="F4690" s="76" t="n"/>
      <c r="G4690" s="74" t="n"/>
      <c r="H4690" s="74" t="n"/>
      <c r="I4690" s="74" t="n"/>
      <c r="J4690" s="77" t="n"/>
      <c r="K4690" s="77" t="n"/>
      <c r="L4690" s="74" t="n"/>
      <c r="M4690" s="74" t="n"/>
      <c r="O4690" s="78">
        <f>IF($A4690="","",YEAR($A4690)*100+MONTH($A4690))</f>
        <v/>
      </c>
      <c r="P4690" s="79">
        <f>IF(OR($F4690="",$D4690=""),"",IF($D4690="Receita",$F4690,IF($D4690="Transferência",0,-$F4690)))</f>
        <v/>
      </c>
    </row>
    <row r="4691">
      <c r="A4691" s="73" t="n"/>
      <c r="B4691" s="74" t="n"/>
      <c r="C4691" s="74" t="n"/>
      <c r="D4691" s="75">
        <f>IF($C4691="","",IFERROR(INDEX(CAT_TIPO,MATCH($C4691,CAT_NOME,0)),"Sem categoria"))</f>
        <v/>
      </c>
      <c r="E4691" s="75">
        <f>IF($C4691="","",IFERROR(INDEX(CAT_GRUPO,MATCH($C4691,CAT_NOME,0)),"Sem categoria"))</f>
        <v/>
      </c>
      <c r="F4691" s="76" t="n"/>
      <c r="G4691" s="74" t="n"/>
      <c r="H4691" s="74" t="n"/>
      <c r="I4691" s="74" t="n"/>
      <c r="J4691" s="77" t="n"/>
      <c r="K4691" s="77" t="n"/>
      <c r="L4691" s="74" t="n"/>
      <c r="M4691" s="74" t="n"/>
      <c r="O4691" s="78">
        <f>IF($A4691="","",YEAR($A4691)*100+MONTH($A4691))</f>
        <v/>
      </c>
      <c r="P4691" s="79">
        <f>IF(OR($F4691="",$D4691=""),"",IF($D4691="Receita",$F4691,IF($D4691="Transferência",0,-$F4691)))</f>
        <v/>
      </c>
    </row>
    <row r="4692">
      <c r="A4692" s="73" t="n"/>
      <c r="B4692" s="74" t="n"/>
      <c r="C4692" s="74" t="n"/>
      <c r="D4692" s="75">
        <f>IF($C4692="","",IFERROR(INDEX(CAT_TIPO,MATCH($C4692,CAT_NOME,0)),"Sem categoria"))</f>
        <v/>
      </c>
      <c r="E4692" s="75">
        <f>IF($C4692="","",IFERROR(INDEX(CAT_GRUPO,MATCH($C4692,CAT_NOME,0)),"Sem categoria"))</f>
        <v/>
      </c>
      <c r="F4692" s="76" t="n"/>
      <c r="G4692" s="74" t="n"/>
      <c r="H4692" s="74" t="n"/>
      <c r="I4692" s="74" t="n"/>
      <c r="J4692" s="77" t="n"/>
      <c r="K4692" s="77" t="n"/>
      <c r="L4692" s="74" t="n"/>
      <c r="M4692" s="74" t="n"/>
      <c r="O4692" s="78">
        <f>IF($A4692="","",YEAR($A4692)*100+MONTH($A4692))</f>
        <v/>
      </c>
      <c r="P4692" s="79">
        <f>IF(OR($F4692="",$D4692=""),"",IF($D4692="Receita",$F4692,IF($D4692="Transferência",0,-$F4692)))</f>
        <v/>
      </c>
    </row>
    <row r="4693">
      <c r="A4693" s="73" t="n"/>
      <c r="B4693" s="74" t="n"/>
      <c r="C4693" s="74" t="n"/>
      <c r="D4693" s="75">
        <f>IF($C4693="","",IFERROR(INDEX(CAT_TIPO,MATCH($C4693,CAT_NOME,0)),"Sem categoria"))</f>
        <v/>
      </c>
      <c r="E4693" s="75">
        <f>IF($C4693="","",IFERROR(INDEX(CAT_GRUPO,MATCH($C4693,CAT_NOME,0)),"Sem categoria"))</f>
        <v/>
      </c>
      <c r="F4693" s="76" t="n"/>
      <c r="G4693" s="74" t="n"/>
      <c r="H4693" s="74" t="n"/>
      <c r="I4693" s="74" t="n"/>
      <c r="J4693" s="77" t="n"/>
      <c r="K4693" s="77" t="n"/>
      <c r="L4693" s="74" t="n"/>
      <c r="M4693" s="74" t="n"/>
      <c r="O4693" s="78">
        <f>IF($A4693="","",YEAR($A4693)*100+MONTH($A4693))</f>
        <v/>
      </c>
      <c r="P4693" s="79">
        <f>IF(OR($F4693="",$D4693=""),"",IF($D4693="Receita",$F4693,IF($D4693="Transferência",0,-$F4693)))</f>
        <v/>
      </c>
    </row>
    <row r="4694">
      <c r="A4694" s="73" t="n"/>
      <c r="B4694" s="74" t="n"/>
      <c r="C4694" s="74" t="n"/>
      <c r="D4694" s="75">
        <f>IF($C4694="","",IFERROR(INDEX(CAT_TIPO,MATCH($C4694,CAT_NOME,0)),"Sem categoria"))</f>
        <v/>
      </c>
      <c r="E4694" s="75">
        <f>IF($C4694="","",IFERROR(INDEX(CAT_GRUPO,MATCH($C4694,CAT_NOME,0)),"Sem categoria"))</f>
        <v/>
      </c>
      <c r="F4694" s="76" t="n"/>
      <c r="G4694" s="74" t="n"/>
      <c r="H4694" s="74" t="n"/>
      <c r="I4694" s="74" t="n"/>
      <c r="J4694" s="77" t="n"/>
      <c r="K4694" s="77" t="n"/>
      <c r="L4694" s="74" t="n"/>
      <c r="M4694" s="74" t="n"/>
      <c r="O4694" s="78">
        <f>IF($A4694="","",YEAR($A4694)*100+MONTH($A4694))</f>
        <v/>
      </c>
      <c r="P4694" s="79">
        <f>IF(OR($F4694="",$D4694=""),"",IF($D4694="Receita",$F4694,IF($D4694="Transferência",0,-$F4694)))</f>
        <v/>
      </c>
    </row>
    <row r="4695">
      <c r="A4695" s="73" t="n"/>
      <c r="B4695" s="74" t="n"/>
      <c r="C4695" s="74" t="n"/>
      <c r="D4695" s="75">
        <f>IF($C4695="","",IFERROR(INDEX(CAT_TIPO,MATCH($C4695,CAT_NOME,0)),"Sem categoria"))</f>
        <v/>
      </c>
      <c r="E4695" s="75">
        <f>IF($C4695="","",IFERROR(INDEX(CAT_GRUPO,MATCH($C4695,CAT_NOME,0)),"Sem categoria"))</f>
        <v/>
      </c>
      <c r="F4695" s="76" t="n"/>
      <c r="G4695" s="74" t="n"/>
      <c r="H4695" s="74" t="n"/>
      <c r="I4695" s="74" t="n"/>
      <c r="J4695" s="77" t="n"/>
      <c r="K4695" s="77" t="n"/>
      <c r="L4695" s="74" t="n"/>
      <c r="M4695" s="74" t="n"/>
      <c r="O4695" s="78">
        <f>IF($A4695="","",YEAR($A4695)*100+MONTH($A4695))</f>
        <v/>
      </c>
      <c r="P4695" s="79">
        <f>IF(OR($F4695="",$D4695=""),"",IF($D4695="Receita",$F4695,IF($D4695="Transferência",0,-$F4695)))</f>
        <v/>
      </c>
    </row>
    <row r="4696">
      <c r="A4696" s="73" t="n"/>
      <c r="B4696" s="74" t="n"/>
      <c r="C4696" s="74" t="n"/>
      <c r="D4696" s="75">
        <f>IF($C4696="","",IFERROR(INDEX(CAT_TIPO,MATCH($C4696,CAT_NOME,0)),"Sem categoria"))</f>
        <v/>
      </c>
      <c r="E4696" s="75">
        <f>IF($C4696="","",IFERROR(INDEX(CAT_GRUPO,MATCH($C4696,CAT_NOME,0)),"Sem categoria"))</f>
        <v/>
      </c>
      <c r="F4696" s="76" t="n"/>
      <c r="G4696" s="74" t="n"/>
      <c r="H4696" s="74" t="n"/>
      <c r="I4696" s="74" t="n"/>
      <c r="J4696" s="77" t="n"/>
      <c r="K4696" s="77" t="n"/>
      <c r="L4696" s="74" t="n"/>
      <c r="M4696" s="74" t="n"/>
      <c r="O4696" s="78">
        <f>IF($A4696="","",YEAR($A4696)*100+MONTH($A4696))</f>
        <v/>
      </c>
      <c r="P4696" s="79">
        <f>IF(OR($F4696="",$D4696=""),"",IF($D4696="Receita",$F4696,IF($D4696="Transferência",0,-$F4696)))</f>
        <v/>
      </c>
    </row>
    <row r="4697">
      <c r="A4697" s="73" t="n"/>
      <c r="B4697" s="74" t="n"/>
      <c r="C4697" s="74" t="n"/>
      <c r="D4697" s="75">
        <f>IF($C4697="","",IFERROR(INDEX(CAT_TIPO,MATCH($C4697,CAT_NOME,0)),"Sem categoria"))</f>
        <v/>
      </c>
      <c r="E4697" s="75">
        <f>IF($C4697="","",IFERROR(INDEX(CAT_GRUPO,MATCH($C4697,CAT_NOME,0)),"Sem categoria"))</f>
        <v/>
      </c>
      <c r="F4697" s="76" t="n"/>
      <c r="G4697" s="74" t="n"/>
      <c r="H4697" s="74" t="n"/>
      <c r="I4697" s="74" t="n"/>
      <c r="J4697" s="77" t="n"/>
      <c r="K4697" s="77" t="n"/>
      <c r="L4697" s="74" t="n"/>
      <c r="M4697" s="74" t="n"/>
      <c r="O4697" s="78">
        <f>IF($A4697="","",YEAR($A4697)*100+MONTH($A4697))</f>
        <v/>
      </c>
      <c r="P4697" s="79">
        <f>IF(OR($F4697="",$D4697=""),"",IF($D4697="Receita",$F4697,IF($D4697="Transferência",0,-$F4697)))</f>
        <v/>
      </c>
    </row>
    <row r="4698">
      <c r="A4698" s="73" t="n"/>
      <c r="B4698" s="74" t="n"/>
      <c r="C4698" s="74" t="n"/>
      <c r="D4698" s="75">
        <f>IF($C4698="","",IFERROR(INDEX(CAT_TIPO,MATCH($C4698,CAT_NOME,0)),"Sem categoria"))</f>
        <v/>
      </c>
      <c r="E4698" s="75">
        <f>IF($C4698="","",IFERROR(INDEX(CAT_GRUPO,MATCH($C4698,CAT_NOME,0)),"Sem categoria"))</f>
        <v/>
      </c>
      <c r="F4698" s="76" t="n"/>
      <c r="G4698" s="74" t="n"/>
      <c r="H4698" s="74" t="n"/>
      <c r="I4698" s="74" t="n"/>
      <c r="J4698" s="77" t="n"/>
      <c r="K4698" s="77" t="n"/>
      <c r="L4698" s="74" t="n"/>
      <c r="M4698" s="74" t="n"/>
      <c r="O4698" s="78">
        <f>IF($A4698="","",YEAR($A4698)*100+MONTH($A4698))</f>
        <v/>
      </c>
      <c r="P4698" s="79">
        <f>IF(OR($F4698="",$D4698=""),"",IF($D4698="Receita",$F4698,IF($D4698="Transferência",0,-$F4698)))</f>
        <v/>
      </c>
    </row>
    <row r="4699">
      <c r="A4699" s="73" t="n"/>
      <c r="B4699" s="74" t="n"/>
      <c r="C4699" s="74" t="n"/>
      <c r="D4699" s="75">
        <f>IF($C4699="","",IFERROR(INDEX(CAT_TIPO,MATCH($C4699,CAT_NOME,0)),"Sem categoria"))</f>
        <v/>
      </c>
      <c r="E4699" s="75">
        <f>IF($C4699="","",IFERROR(INDEX(CAT_GRUPO,MATCH($C4699,CAT_NOME,0)),"Sem categoria"))</f>
        <v/>
      </c>
      <c r="F4699" s="76" t="n"/>
      <c r="G4699" s="74" t="n"/>
      <c r="H4699" s="74" t="n"/>
      <c r="I4699" s="74" t="n"/>
      <c r="J4699" s="77" t="n"/>
      <c r="K4699" s="77" t="n"/>
      <c r="L4699" s="74" t="n"/>
      <c r="M4699" s="74" t="n"/>
      <c r="O4699" s="78">
        <f>IF($A4699="","",YEAR($A4699)*100+MONTH($A4699))</f>
        <v/>
      </c>
      <c r="P4699" s="79">
        <f>IF(OR($F4699="",$D4699=""),"",IF($D4699="Receita",$F4699,IF($D4699="Transferência",0,-$F4699)))</f>
        <v/>
      </c>
    </row>
    <row r="4700">
      <c r="A4700" s="73" t="n"/>
      <c r="B4700" s="74" t="n"/>
      <c r="C4700" s="74" t="n"/>
      <c r="D4700" s="75">
        <f>IF($C4700="","",IFERROR(INDEX(CAT_TIPO,MATCH($C4700,CAT_NOME,0)),"Sem categoria"))</f>
        <v/>
      </c>
      <c r="E4700" s="75">
        <f>IF($C4700="","",IFERROR(INDEX(CAT_GRUPO,MATCH($C4700,CAT_NOME,0)),"Sem categoria"))</f>
        <v/>
      </c>
      <c r="F4700" s="76" t="n"/>
      <c r="G4700" s="74" t="n"/>
      <c r="H4700" s="74" t="n"/>
      <c r="I4700" s="74" t="n"/>
      <c r="J4700" s="77" t="n"/>
      <c r="K4700" s="77" t="n"/>
      <c r="L4700" s="74" t="n"/>
      <c r="M4700" s="74" t="n"/>
      <c r="O4700" s="78">
        <f>IF($A4700="","",YEAR($A4700)*100+MONTH($A4700))</f>
        <v/>
      </c>
      <c r="P4700" s="79">
        <f>IF(OR($F4700="",$D4700=""),"",IF($D4700="Receita",$F4700,IF($D4700="Transferência",0,-$F4700)))</f>
        <v/>
      </c>
    </row>
    <row r="4701">
      <c r="A4701" s="73" t="n"/>
      <c r="B4701" s="74" t="n"/>
      <c r="C4701" s="74" t="n"/>
      <c r="D4701" s="75">
        <f>IF($C4701="","",IFERROR(INDEX(CAT_TIPO,MATCH($C4701,CAT_NOME,0)),"Sem categoria"))</f>
        <v/>
      </c>
      <c r="E4701" s="75">
        <f>IF($C4701="","",IFERROR(INDEX(CAT_GRUPO,MATCH($C4701,CAT_NOME,0)),"Sem categoria"))</f>
        <v/>
      </c>
      <c r="F4701" s="76" t="n"/>
      <c r="G4701" s="74" t="n"/>
      <c r="H4701" s="74" t="n"/>
      <c r="I4701" s="74" t="n"/>
      <c r="J4701" s="77" t="n"/>
      <c r="K4701" s="77" t="n"/>
      <c r="L4701" s="74" t="n"/>
      <c r="M4701" s="74" t="n"/>
      <c r="O4701" s="78">
        <f>IF($A4701="","",YEAR($A4701)*100+MONTH($A4701))</f>
        <v/>
      </c>
      <c r="P4701" s="79">
        <f>IF(OR($F4701="",$D4701=""),"",IF($D4701="Receita",$F4701,IF($D4701="Transferência",0,-$F4701)))</f>
        <v/>
      </c>
    </row>
    <row r="4702">
      <c r="A4702" s="73" t="n"/>
      <c r="B4702" s="74" t="n"/>
      <c r="C4702" s="74" t="n"/>
      <c r="D4702" s="75">
        <f>IF($C4702="","",IFERROR(INDEX(CAT_TIPO,MATCH($C4702,CAT_NOME,0)),"Sem categoria"))</f>
        <v/>
      </c>
      <c r="E4702" s="75">
        <f>IF($C4702="","",IFERROR(INDEX(CAT_GRUPO,MATCH($C4702,CAT_NOME,0)),"Sem categoria"))</f>
        <v/>
      </c>
      <c r="F4702" s="76" t="n"/>
      <c r="G4702" s="74" t="n"/>
      <c r="H4702" s="74" t="n"/>
      <c r="I4702" s="74" t="n"/>
      <c r="J4702" s="77" t="n"/>
      <c r="K4702" s="77" t="n"/>
      <c r="L4702" s="74" t="n"/>
      <c r="M4702" s="74" t="n"/>
      <c r="O4702" s="78">
        <f>IF($A4702="","",YEAR($A4702)*100+MONTH($A4702))</f>
        <v/>
      </c>
      <c r="P4702" s="79">
        <f>IF(OR($F4702="",$D4702=""),"",IF($D4702="Receita",$F4702,IF($D4702="Transferência",0,-$F4702)))</f>
        <v/>
      </c>
    </row>
    <row r="4703">
      <c r="A4703" s="73" t="n"/>
      <c r="B4703" s="74" t="n"/>
      <c r="C4703" s="74" t="n"/>
      <c r="D4703" s="75">
        <f>IF($C4703="","",IFERROR(INDEX(CAT_TIPO,MATCH($C4703,CAT_NOME,0)),"Sem categoria"))</f>
        <v/>
      </c>
      <c r="E4703" s="75">
        <f>IF($C4703="","",IFERROR(INDEX(CAT_GRUPO,MATCH($C4703,CAT_NOME,0)),"Sem categoria"))</f>
        <v/>
      </c>
      <c r="F4703" s="76" t="n"/>
      <c r="G4703" s="74" t="n"/>
      <c r="H4703" s="74" t="n"/>
      <c r="I4703" s="74" t="n"/>
      <c r="J4703" s="77" t="n"/>
      <c r="K4703" s="77" t="n"/>
      <c r="L4703" s="74" t="n"/>
      <c r="M4703" s="74" t="n"/>
      <c r="O4703" s="78">
        <f>IF($A4703="","",YEAR($A4703)*100+MONTH($A4703))</f>
        <v/>
      </c>
      <c r="P4703" s="79">
        <f>IF(OR($F4703="",$D4703=""),"",IF($D4703="Receita",$F4703,IF($D4703="Transferência",0,-$F4703)))</f>
        <v/>
      </c>
    </row>
    <row r="4704">
      <c r="A4704" s="73" t="n"/>
      <c r="B4704" s="74" t="n"/>
      <c r="C4704" s="74" t="n"/>
      <c r="D4704" s="75">
        <f>IF($C4704="","",IFERROR(INDEX(CAT_TIPO,MATCH($C4704,CAT_NOME,0)),"Sem categoria"))</f>
        <v/>
      </c>
      <c r="E4704" s="75">
        <f>IF($C4704="","",IFERROR(INDEX(CAT_GRUPO,MATCH($C4704,CAT_NOME,0)),"Sem categoria"))</f>
        <v/>
      </c>
      <c r="F4704" s="76" t="n"/>
      <c r="G4704" s="74" t="n"/>
      <c r="H4704" s="74" t="n"/>
      <c r="I4704" s="74" t="n"/>
      <c r="J4704" s="77" t="n"/>
      <c r="K4704" s="77" t="n"/>
      <c r="L4704" s="74" t="n"/>
      <c r="M4704" s="74" t="n"/>
      <c r="O4704" s="78">
        <f>IF($A4704="","",YEAR($A4704)*100+MONTH($A4704))</f>
        <v/>
      </c>
      <c r="P4704" s="79">
        <f>IF(OR($F4704="",$D4704=""),"",IF($D4704="Receita",$F4704,IF($D4704="Transferência",0,-$F4704)))</f>
        <v/>
      </c>
    </row>
    <row r="4705">
      <c r="A4705" s="73" t="n"/>
      <c r="B4705" s="74" t="n"/>
      <c r="C4705" s="74" t="n"/>
      <c r="D4705" s="75">
        <f>IF($C4705="","",IFERROR(INDEX(CAT_TIPO,MATCH($C4705,CAT_NOME,0)),"Sem categoria"))</f>
        <v/>
      </c>
      <c r="E4705" s="75">
        <f>IF($C4705="","",IFERROR(INDEX(CAT_GRUPO,MATCH($C4705,CAT_NOME,0)),"Sem categoria"))</f>
        <v/>
      </c>
      <c r="F4705" s="76" t="n"/>
      <c r="G4705" s="74" t="n"/>
      <c r="H4705" s="74" t="n"/>
      <c r="I4705" s="74" t="n"/>
      <c r="J4705" s="77" t="n"/>
      <c r="K4705" s="77" t="n"/>
      <c r="L4705" s="74" t="n"/>
      <c r="M4705" s="74" t="n"/>
      <c r="O4705" s="78">
        <f>IF($A4705="","",YEAR($A4705)*100+MONTH($A4705))</f>
        <v/>
      </c>
      <c r="P4705" s="79">
        <f>IF(OR($F4705="",$D4705=""),"",IF($D4705="Receita",$F4705,IF($D4705="Transferência",0,-$F4705)))</f>
        <v/>
      </c>
    </row>
    <row r="4706">
      <c r="A4706" s="73" t="n"/>
      <c r="B4706" s="74" t="n"/>
      <c r="C4706" s="74" t="n"/>
      <c r="D4706" s="75">
        <f>IF($C4706="","",IFERROR(INDEX(CAT_TIPO,MATCH($C4706,CAT_NOME,0)),"Sem categoria"))</f>
        <v/>
      </c>
      <c r="E4706" s="75">
        <f>IF($C4706="","",IFERROR(INDEX(CAT_GRUPO,MATCH($C4706,CAT_NOME,0)),"Sem categoria"))</f>
        <v/>
      </c>
      <c r="F4706" s="76" t="n"/>
      <c r="G4706" s="74" t="n"/>
      <c r="H4706" s="74" t="n"/>
      <c r="I4706" s="74" t="n"/>
      <c r="J4706" s="77" t="n"/>
      <c r="K4706" s="77" t="n"/>
      <c r="L4706" s="74" t="n"/>
      <c r="M4706" s="74" t="n"/>
      <c r="O4706" s="78">
        <f>IF($A4706="","",YEAR($A4706)*100+MONTH($A4706))</f>
        <v/>
      </c>
      <c r="P4706" s="79">
        <f>IF(OR($F4706="",$D4706=""),"",IF($D4706="Receita",$F4706,IF($D4706="Transferência",0,-$F4706)))</f>
        <v/>
      </c>
    </row>
    <row r="4707">
      <c r="A4707" s="73" t="n"/>
      <c r="B4707" s="74" t="n"/>
      <c r="C4707" s="74" t="n"/>
      <c r="D4707" s="75">
        <f>IF($C4707="","",IFERROR(INDEX(CAT_TIPO,MATCH($C4707,CAT_NOME,0)),"Sem categoria"))</f>
        <v/>
      </c>
      <c r="E4707" s="75">
        <f>IF($C4707="","",IFERROR(INDEX(CAT_GRUPO,MATCH($C4707,CAT_NOME,0)),"Sem categoria"))</f>
        <v/>
      </c>
      <c r="F4707" s="76" t="n"/>
      <c r="G4707" s="74" t="n"/>
      <c r="H4707" s="74" t="n"/>
      <c r="I4707" s="74" t="n"/>
      <c r="J4707" s="77" t="n"/>
      <c r="K4707" s="77" t="n"/>
      <c r="L4707" s="74" t="n"/>
      <c r="M4707" s="74" t="n"/>
      <c r="O4707" s="78">
        <f>IF($A4707="","",YEAR($A4707)*100+MONTH($A4707))</f>
        <v/>
      </c>
      <c r="P4707" s="79">
        <f>IF(OR($F4707="",$D4707=""),"",IF($D4707="Receita",$F4707,IF($D4707="Transferência",0,-$F4707)))</f>
        <v/>
      </c>
    </row>
    <row r="4708">
      <c r="A4708" s="73" t="n"/>
      <c r="B4708" s="74" t="n"/>
      <c r="C4708" s="74" t="n"/>
      <c r="D4708" s="75">
        <f>IF($C4708="","",IFERROR(INDEX(CAT_TIPO,MATCH($C4708,CAT_NOME,0)),"Sem categoria"))</f>
        <v/>
      </c>
      <c r="E4708" s="75">
        <f>IF($C4708="","",IFERROR(INDEX(CAT_GRUPO,MATCH($C4708,CAT_NOME,0)),"Sem categoria"))</f>
        <v/>
      </c>
      <c r="F4708" s="76" t="n"/>
      <c r="G4708" s="74" t="n"/>
      <c r="H4708" s="74" t="n"/>
      <c r="I4708" s="74" t="n"/>
      <c r="J4708" s="77" t="n"/>
      <c r="K4708" s="77" t="n"/>
      <c r="L4708" s="74" t="n"/>
      <c r="M4708" s="74" t="n"/>
      <c r="O4708" s="78">
        <f>IF($A4708="","",YEAR($A4708)*100+MONTH($A4708))</f>
        <v/>
      </c>
      <c r="P4708" s="79">
        <f>IF(OR($F4708="",$D4708=""),"",IF($D4708="Receita",$F4708,IF($D4708="Transferência",0,-$F4708)))</f>
        <v/>
      </c>
    </row>
    <row r="4709">
      <c r="A4709" s="73" t="n"/>
      <c r="B4709" s="74" t="n"/>
      <c r="C4709" s="74" t="n"/>
      <c r="D4709" s="75">
        <f>IF($C4709="","",IFERROR(INDEX(CAT_TIPO,MATCH($C4709,CAT_NOME,0)),"Sem categoria"))</f>
        <v/>
      </c>
      <c r="E4709" s="75">
        <f>IF($C4709="","",IFERROR(INDEX(CAT_GRUPO,MATCH($C4709,CAT_NOME,0)),"Sem categoria"))</f>
        <v/>
      </c>
      <c r="F4709" s="76" t="n"/>
      <c r="G4709" s="74" t="n"/>
      <c r="H4709" s="74" t="n"/>
      <c r="I4709" s="74" t="n"/>
      <c r="J4709" s="77" t="n"/>
      <c r="K4709" s="77" t="n"/>
      <c r="L4709" s="74" t="n"/>
      <c r="M4709" s="74" t="n"/>
      <c r="O4709" s="78">
        <f>IF($A4709="","",YEAR($A4709)*100+MONTH($A4709))</f>
        <v/>
      </c>
      <c r="P4709" s="79">
        <f>IF(OR($F4709="",$D4709=""),"",IF($D4709="Receita",$F4709,IF($D4709="Transferência",0,-$F4709)))</f>
        <v/>
      </c>
    </row>
    <row r="4710">
      <c r="A4710" s="73" t="n"/>
      <c r="B4710" s="74" t="n"/>
      <c r="C4710" s="74" t="n"/>
      <c r="D4710" s="75">
        <f>IF($C4710="","",IFERROR(INDEX(CAT_TIPO,MATCH($C4710,CAT_NOME,0)),"Sem categoria"))</f>
        <v/>
      </c>
      <c r="E4710" s="75">
        <f>IF($C4710="","",IFERROR(INDEX(CAT_GRUPO,MATCH($C4710,CAT_NOME,0)),"Sem categoria"))</f>
        <v/>
      </c>
      <c r="F4710" s="76" t="n"/>
      <c r="G4710" s="74" t="n"/>
      <c r="H4710" s="74" t="n"/>
      <c r="I4710" s="74" t="n"/>
      <c r="J4710" s="77" t="n"/>
      <c r="K4710" s="77" t="n"/>
      <c r="L4710" s="74" t="n"/>
      <c r="M4710" s="74" t="n"/>
      <c r="O4710" s="78">
        <f>IF($A4710="","",YEAR($A4710)*100+MONTH($A4710))</f>
        <v/>
      </c>
      <c r="P4710" s="79">
        <f>IF(OR($F4710="",$D4710=""),"",IF($D4710="Receita",$F4710,IF($D4710="Transferência",0,-$F4710)))</f>
        <v/>
      </c>
    </row>
    <row r="4711">
      <c r="A4711" s="73" t="n"/>
      <c r="B4711" s="74" t="n"/>
      <c r="C4711" s="74" t="n"/>
      <c r="D4711" s="75">
        <f>IF($C4711="","",IFERROR(INDEX(CAT_TIPO,MATCH($C4711,CAT_NOME,0)),"Sem categoria"))</f>
        <v/>
      </c>
      <c r="E4711" s="75">
        <f>IF($C4711="","",IFERROR(INDEX(CAT_GRUPO,MATCH($C4711,CAT_NOME,0)),"Sem categoria"))</f>
        <v/>
      </c>
      <c r="F4711" s="76" t="n"/>
      <c r="G4711" s="74" t="n"/>
      <c r="H4711" s="74" t="n"/>
      <c r="I4711" s="74" t="n"/>
      <c r="J4711" s="77" t="n"/>
      <c r="K4711" s="77" t="n"/>
      <c r="L4711" s="74" t="n"/>
      <c r="M4711" s="74" t="n"/>
      <c r="O4711" s="78">
        <f>IF($A4711="","",YEAR($A4711)*100+MONTH($A4711))</f>
        <v/>
      </c>
      <c r="P4711" s="79">
        <f>IF(OR($F4711="",$D4711=""),"",IF($D4711="Receita",$F4711,IF($D4711="Transferência",0,-$F4711)))</f>
        <v/>
      </c>
    </row>
    <row r="4712">
      <c r="A4712" s="73" t="n"/>
      <c r="B4712" s="74" t="n"/>
      <c r="C4712" s="74" t="n"/>
      <c r="D4712" s="75">
        <f>IF($C4712="","",IFERROR(INDEX(CAT_TIPO,MATCH($C4712,CAT_NOME,0)),"Sem categoria"))</f>
        <v/>
      </c>
      <c r="E4712" s="75">
        <f>IF($C4712="","",IFERROR(INDEX(CAT_GRUPO,MATCH($C4712,CAT_NOME,0)),"Sem categoria"))</f>
        <v/>
      </c>
      <c r="F4712" s="76" t="n"/>
      <c r="G4712" s="74" t="n"/>
      <c r="H4712" s="74" t="n"/>
      <c r="I4712" s="74" t="n"/>
      <c r="J4712" s="77" t="n"/>
      <c r="K4712" s="77" t="n"/>
      <c r="L4712" s="74" t="n"/>
      <c r="M4712" s="74" t="n"/>
      <c r="O4712" s="78">
        <f>IF($A4712="","",YEAR($A4712)*100+MONTH($A4712))</f>
        <v/>
      </c>
      <c r="P4712" s="79">
        <f>IF(OR($F4712="",$D4712=""),"",IF($D4712="Receita",$F4712,IF($D4712="Transferência",0,-$F4712)))</f>
        <v/>
      </c>
    </row>
    <row r="4713">
      <c r="A4713" s="73" t="n"/>
      <c r="B4713" s="74" t="n"/>
      <c r="C4713" s="74" t="n"/>
      <c r="D4713" s="75">
        <f>IF($C4713="","",IFERROR(INDEX(CAT_TIPO,MATCH($C4713,CAT_NOME,0)),"Sem categoria"))</f>
        <v/>
      </c>
      <c r="E4713" s="75">
        <f>IF($C4713="","",IFERROR(INDEX(CAT_GRUPO,MATCH($C4713,CAT_NOME,0)),"Sem categoria"))</f>
        <v/>
      </c>
      <c r="F4713" s="76" t="n"/>
      <c r="G4713" s="74" t="n"/>
      <c r="H4713" s="74" t="n"/>
      <c r="I4713" s="74" t="n"/>
      <c r="J4713" s="77" t="n"/>
      <c r="K4713" s="77" t="n"/>
      <c r="L4713" s="74" t="n"/>
      <c r="M4713" s="74" t="n"/>
      <c r="O4713" s="78">
        <f>IF($A4713="","",YEAR($A4713)*100+MONTH($A4713))</f>
        <v/>
      </c>
      <c r="P4713" s="79">
        <f>IF(OR($F4713="",$D4713=""),"",IF($D4713="Receita",$F4713,IF($D4713="Transferência",0,-$F4713)))</f>
        <v/>
      </c>
    </row>
    <row r="4714">
      <c r="A4714" s="73" t="n"/>
      <c r="B4714" s="74" t="n"/>
      <c r="C4714" s="74" t="n"/>
      <c r="D4714" s="75">
        <f>IF($C4714="","",IFERROR(INDEX(CAT_TIPO,MATCH($C4714,CAT_NOME,0)),"Sem categoria"))</f>
        <v/>
      </c>
      <c r="E4714" s="75">
        <f>IF($C4714="","",IFERROR(INDEX(CAT_GRUPO,MATCH($C4714,CAT_NOME,0)),"Sem categoria"))</f>
        <v/>
      </c>
      <c r="F4714" s="76" t="n"/>
      <c r="G4714" s="74" t="n"/>
      <c r="H4714" s="74" t="n"/>
      <c r="I4714" s="74" t="n"/>
      <c r="J4714" s="77" t="n"/>
      <c r="K4714" s="77" t="n"/>
      <c r="L4714" s="74" t="n"/>
      <c r="M4714" s="74" t="n"/>
      <c r="O4714" s="78">
        <f>IF($A4714="","",YEAR($A4714)*100+MONTH($A4714))</f>
        <v/>
      </c>
      <c r="P4714" s="79">
        <f>IF(OR($F4714="",$D4714=""),"",IF($D4714="Receita",$F4714,IF($D4714="Transferência",0,-$F4714)))</f>
        <v/>
      </c>
    </row>
    <row r="4715">
      <c r="A4715" s="73" t="n"/>
      <c r="B4715" s="74" t="n"/>
      <c r="C4715" s="74" t="n"/>
      <c r="D4715" s="75">
        <f>IF($C4715="","",IFERROR(INDEX(CAT_TIPO,MATCH($C4715,CAT_NOME,0)),"Sem categoria"))</f>
        <v/>
      </c>
      <c r="E4715" s="75">
        <f>IF($C4715="","",IFERROR(INDEX(CAT_GRUPO,MATCH($C4715,CAT_NOME,0)),"Sem categoria"))</f>
        <v/>
      </c>
      <c r="F4715" s="76" t="n"/>
      <c r="G4715" s="74" t="n"/>
      <c r="H4715" s="74" t="n"/>
      <c r="I4715" s="74" t="n"/>
      <c r="J4715" s="77" t="n"/>
      <c r="K4715" s="77" t="n"/>
      <c r="L4715" s="74" t="n"/>
      <c r="M4715" s="74" t="n"/>
      <c r="O4715" s="78">
        <f>IF($A4715="","",YEAR($A4715)*100+MONTH($A4715))</f>
        <v/>
      </c>
      <c r="P4715" s="79">
        <f>IF(OR($F4715="",$D4715=""),"",IF($D4715="Receita",$F4715,IF($D4715="Transferência",0,-$F4715)))</f>
        <v/>
      </c>
    </row>
    <row r="4716">
      <c r="A4716" s="73" t="n"/>
      <c r="B4716" s="74" t="n"/>
      <c r="C4716" s="74" t="n"/>
      <c r="D4716" s="75">
        <f>IF($C4716="","",IFERROR(INDEX(CAT_TIPO,MATCH($C4716,CAT_NOME,0)),"Sem categoria"))</f>
        <v/>
      </c>
      <c r="E4716" s="75">
        <f>IF($C4716="","",IFERROR(INDEX(CAT_GRUPO,MATCH($C4716,CAT_NOME,0)),"Sem categoria"))</f>
        <v/>
      </c>
      <c r="F4716" s="76" t="n"/>
      <c r="G4716" s="74" t="n"/>
      <c r="H4716" s="74" t="n"/>
      <c r="I4716" s="74" t="n"/>
      <c r="J4716" s="77" t="n"/>
      <c r="K4716" s="77" t="n"/>
      <c r="L4716" s="74" t="n"/>
      <c r="M4716" s="74" t="n"/>
      <c r="O4716" s="78">
        <f>IF($A4716="","",YEAR($A4716)*100+MONTH($A4716))</f>
        <v/>
      </c>
      <c r="P4716" s="79">
        <f>IF(OR($F4716="",$D4716=""),"",IF($D4716="Receita",$F4716,IF($D4716="Transferência",0,-$F4716)))</f>
        <v/>
      </c>
    </row>
    <row r="4717">
      <c r="A4717" s="73" t="n"/>
      <c r="B4717" s="74" t="n"/>
      <c r="C4717" s="74" t="n"/>
      <c r="D4717" s="75">
        <f>IF($C4717="","",IFERROR(INDEX(CAT_TIPO,MATCH($C4717,CAT_NOME,0)),"Sem categoria"))</f>
        <v/>
      </c>
      <c r="E4717" s="75">
        <f>IF($C4717="","",IFERROR(INDEX(CAT_GRUPO,MATCH($C4717,CAT_NOME,0)),"Sem categoria"))</f>
        <v/>
      </c>
      <c r="F4717" s="76" t="n"/>
      <c r="G4717" s="74" t="n"/>
      <c r="H4717" s="74" t="n"/>
      <c r="I4717" s="74" t="n"/>
      <c r="J4717" s="77" t="n"/>
      <c r="K4717" s="77" t="n"/>
      <c r="L4717" s="74" t="n"/>
      <c r="M4717" s="74" t="n"/>
      <c r="O4717" s="78">
        <f>IF($A4717="","",YEAR($A4717)*100+MONTH($A4717))</f>
        <v/>
      </c>
      <c r="P4717" s="79">
        <f>IF(OR($F4717="",$D4717=""),"",IF($D4717="Receita",$F4717,IF($D4717="Transferência",0,-$F4717)))</f>
        <v/>
      </c>
    </row>
    <row r="4718">
      <c r="A4718" s="73" t="n"/>
      <c r="B4718" s="74" t="n"/>
      <c r="C4718" s="74" t="n"/>
      <c r="D4718" s="75">
        <f>IF($C4718="","",IFERROR(INDEX(CAT_TIPO,MATCH($C4718,CAT_NOME,0)),"Sem categoria"))</f>
        <v/>
      </c>
      <c r="E4718" s="75">
        <f>IF($C4718="","",IFERROR(INDEX(CAT_GRUPO,MATCH($C4718,CAT_NOME,0)),"Sem categoria"))</f>
        <v/>
      </c>
      <c r="F4718" s="76" t="n"/>
      <c r="G4718" s="74" t="n"/>
      <c r="H4718" s="74" t="n"/>
      <c r="I4718" s="74" t="n"/>
      <c r="J4718" s="77" t="n"/>
      <c r="K4718" s="77" t="n"/>
      <c r="L4718" s="74" t="n"/>
      <c r="M4718" s="74" t="n"/>
      <c r="O4718" s="78">
        <f>IF($A4718="","",YEAR($A4718)*100+MONTH($A4718))</f>
        <v/>
      </c>
      <c r="P4718" s="79">
        <f>IF(OR($F4718="",$D4718=""),"",IF($D4718="Receita",$F4718,IF($D4718="Transferência",0,-$F4718)))</f>
        <v/>
      </c>
    </row>
    <row r="4719">
      <c r="A4719" s="73" t="n"/>
      <c r="B4719" s="74" t="n"/>
      <c r="C4719" s="74" t="n"/>
      <c r="D4719" s="75">
        <f>IF($C4719="","",IFERROR(INDEX(CAT_TIPO,MATCH($C4719,CAT_NOME,0)),"Sem categoria"))</f>
        <v/>
      </c>
      <c r="E4719" s="75">
        <f>IF($C4719="","",IFERROR(INDEX(CAT_GRUPO,MATCH($C4719,CAT_NOME,0)),"Sem categoria"))</f>
        <v/>
      </c>
      <c r="F4719" s="76" t="n"/>
      <c r="G4719" s="74" t="n"/>
      <c r="H4719" s="74" t="n"/>
      <c r="I4719" s="74" t="n"/>
      <c r="J4719" s="77" t="n"/>
      <c r="K4719" s="77" t="n"/>
      <c r="L4719" s="74" t="n"/>
      <c r="M4719" s="74" t="n"/>
      <c r="O4719" s="78">
        <f>IF($A4719="","",YEAR($A4719)*100+MONTH($A4719))</f>
        <v/>
      </c>
      <c r="P4719" s="79">
        <f>IF(OR($F4719="",$D4719=""),"",IF($D4719="Receita",$F4719,IF($D4719="Transferência",0,-$F4719)))</f>
        <v/>
      </c>
    </row>
    <row r="4720">
      <c r="A4720" s="73" t="n"/>
      <c r="B4720" s="74" t="n"/>
      <c r="C4720" s="74" t="n"/>
      <c r="D4720" s="75">
        <f>IF($C4720="","",IFERROR(INDEX(CAT_TIPO,MATCH($C4720,CAT_NOME,0)),"Sem categoria"))</f>
        <v/>
      </c>
      <c r="E4720" s="75">
        <f>IF($C4720="","",IFERROR(INDEX(CAT_GRUPO,MATCH($C4720,CAT_NOME,0)),"Sem categoria"))</f>
        <v/>
      </c>
      <c r="F4720" s="76" t="n"/>
      <c r="G4720" s="74" t="n"/>
      <c r="H4720" s="74" t="n"/>
      <c r="I4720" s="74" t="n"/>
      <c r="J4720" s="77" t="n"/>
      <c r="K4720" s="77" t="n"/>
      <c r="L4720" s="74" t="n"/>
      <c r="M4720" s="74" t="n"/>
      <c r="O4720" s="78">
        <f>IF($A4720="","",YEAR($A4720)*100+MONTH($A4720))</f>
        <v/>
      </c>
      <c r="P4720" s="79">
        <f>IF(OR($F4720="",$D4720=""),"",IF($D4720="Receita",$F4720,IF($D4720="Transferência",0,-$F4720)))</f>
        <v/>
      </c>
    </row>
    <row r="4721">
      <c r="A4721" s="73" t="n"/>
      <c r="B4721" s="74" t="n"/>
      <c r="C4721" s="74" t="n"/>
      <c r="D4721" s="75">
        <f>IF($C4721="","",IFERROR(INDEX(CAT_TIPO,MATCH($C4721,CAT_NOME,0)),"Sem categoria"))</f>
        <v/>
      </c>
      <c r="E4721" s="75">
        <f>IF($C4721="","",IFERROR(INDEX(CAT_GRUPO,MATCH($C4721,CAT_NOME,0)),"Sem categoria"))</f>
        <v/>
      </c>
      <c r="F4721" s="76" t="n"/>
      <c r="G4721" s="74" t="n"/>
      <c r="H4721" s="74" t="n"/>
      <c r="I4721" s="74" t="n"/>
      <c r="J4721" s="77" t="n"/>
      <c r="K4721" s="77" t="n"/>
      <c r="L4721" s="74" t="n"/>
      <c r="M4721" s="74" t="n"/>
      <c r="O4721" s="78">
        <f>IF($A4721="","",YEAR($A4721)*100+MONTH($A4721))</f>
        <v/>
      </c>
      <c r="P4721" s="79">
        <f>IF(OR($F4721="",$D4721=""),"",IF($D4721="Receita",$F4721,IF($D4721="Transferência",0,-$F4721)))</f>
        <v/>
      </c>
    </row>
    <row r="4722">
      <c r="A4722" s="73" t="n"/>
      <c r="B4722" s="74" t="n"/>
      <c r="C4722" s="74" t="n"/>
      <c r="D4722" s="75">
        <f>IF($C4722="","",IFERROR(INDEX(CAT_TIPO,MATCH($C4722,CAT_NOME,0)),"Sem categoria"))</f>
        <v/>
      </c>
      <c r="E4722" s="75">
        <f>IF($C4722="","",IFERROR(INDEX(CAT_GRUPO,MATCH($C4722,CAT_NOME,0)),"Sem categoria"))</f>
        <v/>
      </c>
      <c r="F4722" s="76" t="n"/>
      <c r="G4722" s="74" t="n"/>
      <c r="H4722" s="74" t="n"/>
      <c r="I4722" s="74" t="n"/>
      <c r="J4722" s="77" t="n"/>
      <c r="K4722" s="77" t="n"/>
      <c r="L4722" s="74" t="n"/>
      <c r="M4722" s="74" t="n"/>
      <c r="O4722" s="78">
        <f>IF($A4722="","",YEAR($A4722)*100+MONTH($A4722))</f>
        <v/>
      </c>
      <c r="P4722" s="79">
        <f>IF(OR($F4722="",$D4722=""),"",IF($D4722="Receita",$F4722,IF($D4722="Transferência",0,-$F4722)))</f>
        <v/>
      </c>
    </row>
    <row r="4723">
      <c r="A4723" s="73" t="n"/>
      <c r="B4723" s="74" t="n"/>
      <c r="C4723" s="74" t="n"/>
      <c r="D4723" s="75">
        <f>IF($C4723="","",IFERROR(INDEX(CAT_TIPO,MATCH($C4723,CAT_NOME,0)),"Sem categoria"))</f>
        <v/>
      </c>
      <c r="E4723" s="75">
        <f>IF($C4723="","",IFERROR(INDEX(CAT_GRUPO,MATCH($C4723,CAT_NOME,0)),"Sem categoria"))</f>
        <v/>
      </c>
      <c r="F4723" s="76" t="n"/>
      <c r="G4723" s="74" t="n"/>
      <c r="H4723" s="74" t="n"/>
      <c r="I4723" s="74" t="n"/>
      <c r="J4723" s="77" t="n"/>
      <c r="K4723" s="77" t="n"/>
      <c r="L4723" s="74" t="n"/>
      <c r="M4723" s="74" t="n"/>
      <c r="O4723" s="78">
        <f>IF($A4723="","",YEAR($A4723)*100+MONTH($A4723))</f>
        <v/>
      </c>
      <c r="P4723" s="79">
        <f>IF(OR($F4723="",$D4723=""),"",IF($D4723="Receita",$F4723,IF($D4723="Transferência",0,-$F4723)))</f>
        <v/>
      </c>
    </row>
    <row r="4724">
      <c r="A4724" s="73" t="n"/>
      <c r="B4724" s="74" t="n"/>
      <c r="C4724" s="74" t="n"/>
      <c r="D4724" s="75">
        <f>IF($C4724="","",IFERROR(INDEX(CAT_TIPO,MATCH($C4724,CAT_NOME,0)),"Sem categoria"))</f>
        <v/>
      </c>
      <c r="E4724" s="75">
        <f>IF($C4724="","",IFERROR(INDEX(CAT_GRUPO,MATCH($C4724,CAT_NOME,0)),"Sem categoria"))</f>
        <v/>
      </c>
      <c r="F4724" s="76" t="n"/>
      <c r="G4724" s="74" t="n"/>
      <c r="H4724" s="74" t="n"/>
      <c r="I4724" s="74" t="n"/>
      <c r="J4724" s="77" t="n"/>
      <c r="K4724" s="77" t="n"/>
      <c r="L4724" s="74" t="n"/>
      <c r="M4724" s="74" t="n"/>
      <c r="O4724" s="78">
        <f>IF($A4724="","",YEAR($A4724)*100+MONTH($A4724))</f>
        <v/>
      </c>
      <c r="P4724" s="79">
        <f>IF(OR($F4724="",$D4724=""),"",IF($D4724="Receita",$F4724,IF($D4724="Transferência",0,-$F4724)))</f>
        <v/>
      </c>
    </row>
    <row r="4725">
      <c r="A4725" s="73" t="n"/>
      <c r="B4725" s="74" t="n"/>
      <c r="C4725" s="74" t="n"/>
      <c r="D4725" s="75">
        <f>IF($C4725="","",IFERROR(INDEX(CAT_TIPO,MATCH($C4725,CAT_NOME,0)),"Sem categoria"))</f>
        <v/>
      </c>
      <c r="E4725" s="75">
        <f>IF($C4725="","",IFERROR(INDEX(CAT_GRUPO,MATCH($C4725,CAT_NOME,0)),"Sem categoria"))</f>
        <v/>
      </c>
      <c r="F4725" s="76" t="n"/>
      <c r="G4725" s="74" t="n"/>
      <c r="H4725" s="74" t="n"/>
      <c r="I4725" s="74" t="n"/>
      <c r="J4725" s="77" t="n"/>
      <c r="K4725" s="77" t="n"/>
      <c r="L4725" s="74" t="n"/>
      <c r="M4725" s="74" t="n"/>
      <c r="O4725" s="78">
        <f>IF($A4725="","",YEAR($A4725)*100+MONTH($A4725))</f>
        <v/>
      </c>
      <c r="P4725" s="79">
        <f>IF(OR($F4725="",$D4725=""),"",IF($D4725="Receita",$F4725,IF($D4725="Transferência",0,-$F4725)))</f>
        <v/>
      </c>
    </row>
    <row r="4726">
      <c r="A4726" s="73" t="n"/>
      <c r="B4726" s="74" t="n"/>
      <c r="C4726" s="74" t="n"/>
      <c r="D4726" s="75">
        <f>IF($C4726="","",IFERROR(INDEX(CAT_TIPO,MATCH($C4726,CAT_NOME,0)),"Sem categoria"))</f>
        <v/>
      </c>
      <c r="E4726" s="75">
        <f>IF($C4726="","",IFERROR(INDEX(CAT_GRUPO,MATCH($C4726,CAT_NOME,0)),"Sem categoria"))</f>
        <v/>
      </c>
      <c r="F4726" s="76" t="n"/>
      <c r="G4726" s="74" t="n"/>
      <c r="H4726" s="74" t="n"/>
      <c r="I4726" s="74" t="n"/>
      <c r="J4726" s="77" t="n"/>
      <c r="K4726" s="77" t="n"/>
      <c r="L4726" s="74" t="n"/>
      <c r="M4726" s="74" t="n"/>
      <c r="O4726" s="78">
        <f>IF($A4726="","",YEAR($A4726)*100+MONTH($A4726))</f>
        <v/>
      </c>
      <c r="P4726" s="79">
        <f>IF(OR($F4726="",$D4726=""),"",IF($D4726="Receita",$F4726,IF($D4726="Transferência",0,-$F4726)))</f>
        <v/>
      </c>
    </row>
    <row r="4727">
      <c r="A4727" s="73" t="n"/>
      <c r="B4727" s="74" t="n"/>
      <c r="C4727" s="74" t="n"/>
      <c r="D4727" s="75">
        <f>IF($C4727="","",IFERROR(INDEX(CAT_TIPO,MATCH($C4727,CAT_NOME,0)),"Sem categoria"))</f>
        <v/>
      </c>
      <c r="E4727" s="75">
        <f>IF($C4727="","",IFERROR(INDEX(CAT_GRUPO,MATCH($C4727,CAT_NOME,0)),"Sem categoria"))</f>
        <v/>
      </c>
      <c r="F4727" s="76" t="n"/>
      <c r="G4727" s="74" t="n"/>
      <c r="H4727" s="74" t="n"/>
      <c r="I4727" s="74" t="n"/>
      <c r="J4727" s="77" t="n"/>
      <c r="K4727" s="77" t="n"/>
      <c r="L4727" s="74" t="n"/>
      <c r="M4727" s="74" t="n"/>
      <c r="O4727" s="78">
        <f>IF($A4727="","",YEAR($A4727)*100+MONTH($A4727))</f>
        <v/>
      </c>
      <c r="P4727" s="79">
        <f>IF(OR($F4727="",$D4727=""),"",IF($D4727="Receita",$F4727,IF($D4727="Transferência",0,-$F4727)))</f>
        <v/>
      </c>
    </row>
    <row r="4728">
      <c r="A4728" s="73" t="n"/>
      <c r="B4728" s="74" t="n"/>
      <c r="C4728" s="74" t="n"/>
      <c r="D4728" s="75">
        <f>IF($C4728="","",IFERROR(INDEX(CAT_TIPO,MATCH($C4728,CAT_NOME,0)),"Sem categoria"))</f>
        <v/>
      </c>
      <c r="E4728" s="75">
        <f>IF($C4728="","",IFERROR(INDEX(CAT_GRUPO,MATCH($C4728,CAT_NOME,0)),"Sem categoria"))</f>
        <v/>
      </c>
      <c r="F4728" s="76" t="n"/>
      <c r="G4728" s="74" t="n"/>
      <c r="H4728" s="74" t="n"/>
      <c r="I4728" s="74" t="n"/>
      <c r="J4728" s="77" t="n"/>
      <c r="K4728" s="77" t="n"/>
      <c r="L4728" s="74" t="n"/>
      <c r="M4728" s="74" t="n"/>
      <c r="O4728" s="78">
        <f>IF($A4728="","",YEAR($A4728)*100+MONTH($A4728))</f>
        <v/>
      </c>
      <c r="P4728" s="79">
        <f>IF(OR($F4728="",$D4728=""),"",IF($D4728="Receita",$F4728,IF($D4728="Transferência",0,-$F4728)))</f>
        <v/>
      </c>
    </row>
    <row r="4729">
      <c r="A4729" s="73" t="n"/>
      <c r="B4729" s="74" t="n"/>
      <c r="C4729" s="74" t="n"/>
      <c r="D4729" s="75">
        <f>IF($C4729="","",IFERROR(INDEX(CAT_TIPO,MATCH($C4729,CAT_NOME,0)),"Sem categoria"))</f>
        <v/>
      </c>
      <c r="E4729" s="75">
        <f>IF($C4729="","",IFERROR(INDEX(CAT_GRUPO,MATCH($C4729,CAT_NOME,0)),"Sem categoria"))</f>
        <v/>
      </c>
      <c r="F4729" s="76" t="n"/>
      <c r="G4729" s="74" t="n"/>
      <c r="H4729" s="74" t="n"/>
      <c r="I4729" s="74" t="n"/>
      <c r="J4729" s="77" t="n"/>
      <c r="K4729" s="77" t="n"/>
      <c r="L4729" s="74" t="n"/>
      <c r="M4729" s="74" t="n"/>
      <c r="O4729" s="78">
        <f>IF($A4729="","",YEAR($A4729)*100+MONTH($A4729))</f>
        <v/>
      </c>
      <c r="P4729" s="79">
        <f>IF(OR($F4729="",$D4729=""),"",IF($D4729="Receita",$F4729,IF($D4729="Transferência",0,-$F4729)))</f>
        <v/>
      </c>
    </row>
    <row r="4730">
      <c r="A4730" s="73" t="n"/>
      <c r="B4730" s="74" t="n"/>
      <c r="C4730" s="74" t="n"/>
      <c r="D4730" s="75">
        <f>IF($C4730="","",IFERROR(INDEX(CAT_TIPO,MATCH($C4730,CAT_NOME,0)),"Sem categoria"))</f>
        <v/>
      </c>
      <c r="E4730" s="75">
        <f>IF($C4730="","",IFERROR(INDEX(CAT_GRUPO,MATCH($C4730,CAT_NOME,0)),"Sem categoria"))</f>
        <v/>
      </c>
      <c r="F4730" s="76" t="n"/>
      <c r="G4730" s="74" t="n"/>
      <c r="H4730" s="74" t="n"/>
      <c r="I4730" s="74" t="n"/>
      <c r="J4730" s="77" t="n"/>
      <c r="K4730" s="77" t="n"/>
      <c r="L4730" s="74" t="n"/>
      <c r="M4730" s="74" t="n"/>
      <c r="O4730" s="78">
        <f>IF($A4730="","",YEAR($A4730)*100+MONTH($A4730))</f>
        <v/>
      </c>
      <c r="P4730" s="79">
        <f>IF(OR($F4730="",$D4730=""),"",IF($D4730="Receita",$F4730,IF($D4730="Transferência",0,-$F4730)))</f>
        <v/>
      </c>
    </row>
    <row r="4731">
      <c r="A4731" s="73" t="n"/>
      <c r="B4731" s="74" t="n"/>
      <c r="C4731" s="74" t="n"/>
      <c r="D4731" s="75">
        <f>IF($C4731="","",IFERROR(INDEX(CAT_TIPO,MATCH($C4731,CAT_NOME,0)),"Sem categoria"))</f>
        <v/>
      </c>
      <c r="E4731" s="75">
        <f>IF($C4731="","",IFERROR(INDEX(CAT_GRUPO,MATCH($C4731,CAT_NOME,0)),"Sem categoria"))</f>
        <v/>
      </c>
      <c r="F4731" s="76" t="n"/>
      <c r="G4731" s="74" t="n"/>
      <c r="H4731" s="74" t="n"/>
      <c r="I4731" s="74" t="n"/>
      <c r="J4731" s="77" t="n"/>
      <c r="K4731" s="77" t="n"/>
      <c r="L4731" s="74" t="n"/>
      <c r="M4731" s="74" t="n"/>
      <c r="O4731" s="78">
        <f>IF($A4731="","",YEAR($A4731)*100+MONTH($A4731))</f>
        <v/>
      </c>
      <c r="P4731" s="79">
        <f>IF(OR($F4731="",$D4731=""),"",IF($D4731="Receita",$F4731,IF($D4731="Transferência",0,-$F4731)))</f>
        <v/>
      </c>
    </row>
    <row r="4732">
      <c r="A4732" s="73" t="n"/>
      <c r="B4732" s="74" t="n"/>
      <c r="C4732" s="74" t="n"/>
      <c r="D4732" s="75">
        <f>IF($C4732="","",IFERROR(INDEX(CAT_TIPO,MATCH($C4732,CAT_NOME,0)),"Sem categoria"))</f>
        <v/>
      </c>
      <c r="E4732" s="75">
        <f>IF($C4732="","",IFERROR(INDEX(CAT_GRUPO,MATCH($C4732,CAT_NOME,0)),"Sem categoria"))</f>
        <v/>
      </c>
      <c r="F4732" s="76" t="n"/>
      <c r="G4732" s="74" t="n"/>
      <c r="H4732" s="74" t="n"/>
      <c r="I4732" s="74" t="n"/>
      <c r="J4732" s="77" t="n"/>
      <c r="K4732" s="77" t="n"/>
      <c r="L4732" s="74" t="n"/>
      <c r="M4732" s="74" t="n"/>
      <c r="O4732" s="78">
        <f>IF($A4732="","",YEAR($A4732)*100+MONTH($A4732))</f>
        <v/>
      </c>
      <c r="P4732" s="79">
        <f>IF(OR($F4732="",$D4732=""),"",IF($D4732="Receita",$F4732,IF($D4732="Transferência",0,-$F4732)))</f>
        <v/>
      </c>
    </row>
    <row r="4733">
      <c r="A4733" s="73" t="n"/>
      <c r="B4733" s="74" t="n"/>
      <c r="C4733" s="74" t="n"/>
      <c r="D4733" s="75">
        <f>IF($C4733="","",IFERROR(INDEX(CAT_TIPO,MATCH($C4733,CAT_NOME,0)),"Sem categoria"))</f>
        <v/>
      </c>
      <c r="E4733" s="75">
        <f>IF($C4733="","",IFERROR(INDEX(CAT_GRUPO,MATCH($C4733,CAT_NOME,0)),"Sem categoria"))</f>
        <v/>
      </c>
      <c r="F4733" s="76" t="n"/>
      <c r="G4733" s="74" t="n"/>
      <c r="H4733" s="74" t="n"/>
      <c r="I4733" s="74" t="n"/>
      <c r="J4733" s="77" t="n"/>
      <c r="K4733" s="77" t="n"/>
      <c r="L4733" s="74" t="n"/>
      <c r="M4733" s="74" t="n"/>
      <c r="O4733" s="78">
        <f>IF($A4733="","",YEAR($A4733)*100+MONTH($A4733))</f>
        <v/>
      </c>
      <c r="P4733" s="79">
        <f>IF(OR($F4733="",$D4733=""),"",IF($D4733="Receita",$F4733,IF($D4733="Transferência",0,-$F4733)))</f>
        <v/>
      </c>
    </row>
    <row r="4734">
      <c r="A4734" s="73" t="n"/>
      <c r="B4734" s="74" t="n"/>
      <c r="C4734" s="74" t="n"/>
      <c r="D4734" s="75">
        <f>IF($C4734="","",IFERROR(INDEX(CAT_TIPO,MATCH($C4734,CAT_NOME,0)),"Sem categoria"))</f>
        <v/>
      </c>
      <c r="E4734" s="75">
        <f>IF($C4734="","",IFERROR(INDEX(CAT_GRUPO,MATCH($C4734,CAT_NOME,0)),"Sem categoria"))</f>
        <v/>
      </c>
      <c r="F4734" s="76" t="n"/>
      <c r="G4734" s="74" t="n"/>
      <c r="H4734" s="74" t="n"/>
      <c r="I4734" s="74" t="n"/>
      <c r="J4734" s="77" t="n"/>
      <c r="K4734" s="77" t="n"/>
      <c r="L4734" s="74" t="n"/>
      <c r="M4734" s="74" t="n"/>
      <c r="O4734" s="78">
        <f>IF($A4734="","",YEAR($A4734)*100+MONTH($A4734))</f>
        <v/>
      </c>
      <c r="P4734" s="79">
        <f>IF(OR($F4734="",$D4734=""),"",IF($D4734="Receita",$F4734,IF($D4734="Transferência",0,-$F4734)))</f>
        <v/>
      </c>
    </row>
    <row r="4735">
      <c r="A4735" s="73" t="n"/>
      <c r="B4735" s="74" t="n"/>
      <c r="C4735" s="74" t="n"/>
      <c r="D4735" s="75">
        <f>IF($C4735="","",IFERROR(INDEX(CAT_TIPO,MATCH($C4735,CAT_NOME,0)),"Sem categoria"))</f>
        <v/>
      </c>
      <c r="E4735" s="75">
        <f>IF($C4735="","",IFERROR(INDEX(CAT_GRUPO,MATCH($C4735,CAT_NOME,0)),"Sem categoria"))</f>
        <v/>
      </c>
      <c r="F4735" s="76" t="n"/>
      <c r="G4735" s="74" t="n"/>
      <c r="H4735" s="74" t="n"/>
      <c r="I4735" s="74" t="n"/>
      <c r="J4735" s="77" t="n"/>
      <c r="K4735" s="77" t="n"/>
      <c r="L4735" s="74" t="n"/>
      <c r="M4735" s="74" t="n"/>
      <c r="O4735" s="78">
        <f>IF($A4735="","",YEAR($A4735)*100+MONTH($A4735))</f>
        <v/>
      </c>
      <c r="P4735" s="79">
        <f>IF(OR($F4735="",$D4735=""),"",IF($D4735="Receita",$F4735,IF($D4735="Transferência",0,-$F4735)))</f>
        <v/>
      </c>
    </row>
    <row r="4736">
      <c r="A4736" s="73" t="n"/>
      <c r="B4736" s="74" t="n"/>
      <c r="C4736" s="74" t="n"/>
      <c r="D4736" s="75">
        <f>IF($C4736="","",IFERROR(INDEX(CAT_TIPO,MATCH($C4736,CAT_NOME,0)),"Sem categoria"))</f>
        <v/>
      </c>
      <c r="E4736" s="75">
        <f>IF($C4736="","",IFERROR(INDEX(CAT_GRUPO,MATCH($C4736,CAT_NOME,0)),"Sem categoria"))</f>
        <v/>
      </c>
      <c r="F4736" s="76" t="n"/>
      <c r="G4736" s="74" t="n"/>
      <c r="H4736" s="74" t="n"/>
      <c r="I4736" s="74" t="n"/>
      <c r="J4736" s="77" t="n"/>
      <c r="K4736" s="77" t="n"/>
      <c r="L4736" s="74" t="n"/>
      <c r="M4736" s="74" t="n"/>
      <c r="O4736" s="78">
        <f>IF($A4736="","",YEAR($A4736)*100+MONTH($A4736))</f>
        <v/>
      </c>
      <c r="P4736" s="79">
        <f>IF(OR($F4736="",$D4736=""),"",IF($D4736="Receita",$F4736,IF($D4736="Transferência",0,-$F4736)))</f>
        <v/>
      </c>
    </row>
    <row r="4737">
      <c r="A4737" s="73" t="n"/>
      <c r="B4737" s="74" t="n"/>
      <c r="C4737" s="74" t="n"/>
      <c r="D4737" s="75">
        <f>IF($C4737="","",IFERROR(INDEX(CAT_TIPO,MATCH($C4737,CAT_NOME,0)),"Sem categoria"))</f>
        <v/>
      </c>
      <c r="E4737" s="75">
        <f>IF($C4737="","",IFERROR(INDEX(CAT_GRUPO,MATCH($C4737,CAT_NOME,0)),"Sem categoria"))</f>
        <v/>
      </c>
      <c r="F4737" s="76" t="n"/>
      <c r="G4737" s="74" t="n"/>
      <c r="H4737" s="74" t="n"/>
      <c r="I4737" s="74" t="n"/>
      <c r="J4737" s="77" t="n"/>
      <c r="K4737" s="77" t="n"/>
      <c r="L4737" s="74" t="n"/>
      <c r="M4737" s="74" t="n"/>
      <c r="O4737" s="78">
        <f>IF($A4737="","",YEAR($A4737)*100+MONTH($A4737))</f>
        <v/>
      </c>
      <c r="P4737" s="79">
        <f>IF(OR($F4737="",$D4737=""),"",IF($D4737="Receita",$F4737,IF($D4737="Transferência",0,-$F4737)))</f>
        <v/>
      </c>
    </row>
    <row r="4738">
      <c r="A4738" s="73" t="n"/>
      <c r="B4738" s="74" t="n"/>
      <c r="C4738" s="74" t="n"/>
      <c r="D4738" s="75">
        <f>IF($C4738="","",IFERROR(INDEX(CAT_TIPO,MATCH($C4738,CAT_NOME,0)),"Sem categoria"))</f>
        <v/>
      </c>
      <c r="E4738" s="75">
        <f>IF($C4738="","",IFERROR(INDEX(CAT_GRUPO,MATCH($C4738,CAT_NOME,0)),"Sem categoria"))</f>
        <v/>
      </c>
      <c r="F4738" s="76" t="n"/>
      <c r="G4738" s="74" t="n"/>
      <c r="H4738" s="74" t="n"/>
      <c r="I4738" s="74" t="n"/>
      <c r="J4738" s="77" t="n"/>
      <c r="K4738" s="77" t="n"/>
      <c r="L4738" s="74" t="n"/>
      <c r="M4738" s="74" t="n"/>
      <c r="O4738" s="78">
        <f>IF($A4738="","",YEAR($A4738)*100+MONTH($A4738))</f>
        <v/>
      </c>
      <c r="P4738" s="79">
        <f>IF(OR($F4738="",$D4738=""),"",IF($D4738="Receita",$F4738,IF($D4738="Transferência",0,-$F4738)))</f>
        <v/>
      </c>
    </row>
    <row r="4739">
      <c r="A4739" s="73" t="n"/>
      <c r="B4739" s="74" t="n"/>
      <c r="C4739" s="74" t="n"/>
      <c r="D4739" s="75">
        <f>IF($C4739="","",IFERROR(INDEX(CAT_TIPO,MATCH($C4739,CAT_NOME,0)),"Sem categoria"))</f>
        <v/>
      </c>
      <c r="E4739" s="75">
        <f>IF($C4739="","",IFERROR(INDEX(CAT_GRUPO,MATCH($C4739,CAT_NOME,0)),"Sem categoria"))</f>
        <v/>
      </c>
      <c r="F4739" s="76" t="n"/>
      <c r="G4739" s="74" t="n"/>
      <c r="H4739" s="74" t="n"/>
      <c r="I4739" s="74" t="n"/>
      <c r="J4739" s="77" t="n"/>
      <c r="K4739" s="77" t="n"/>
      <c r="L4739" s="74" t="n"/>
      <c r="M4739" s="74" t="n"/>
      <c r="O4739" s="78">
        <f>IF($A4739="","",YEAR($A4739)*100+MONTH($A4739))</f>
        <v/>
      </c>
      <c r="P4739" s="79">
        <f>IF(OR($F4739="",$D4739=""),"",IF($D4739="Receita",$F4739,IF($D4739="Transferência",0,-$F4739)))</f>
        <v/>
      </c>
    </row>
    <row r="4740">
      <c r="A4740" s="73" t="n"/>
      <c r="B4740" s="74" t="n"/>
      <c r="C4740" s="74" t="n"/>
      <c r="D4740" s="75">
        <f>IF($C4740="","",IFERROR(INDEX(CAT_TIPO,MATCH($C4740,CAT_NOME,0)),"Sem categoria"))</f>
        <v/>
      </c>
      <c r="E4740" s="75">
        <f>IF($C4740="","",IFERROR(INDEX(CAT_GRUPO,MATCH($C4740,CAT_NOME,0)),"Sem categoria"))</f>
        <v/>
      </c>
      <c r="F4740" s="76" t="n"/>
      <c r="G4740" s="74" t="n"/>
      <c r="H4740" s="74" t="n"/>
      <c r="I4740" s="74" t="n"/>
      <c r="J4740" s="77" t="n"/>
      <c r="K4740" s="77" t="n"/>
      <c r="L4740" s="74" t="n"/>
      <c r="M4740" s="74" t="n"/>
      <c r="O4740" s="78">
        <f>IF($A4740="","",YEAR($A4740)*100+MONTH($A4740))</f>
        <v/>
      </c>
      <c r="P4740" s="79">
        <f>IF(OR($F4740="",$D4740=""),"",IF($D4740="Receita",$F4740,IF($D4740="Transferência",0,-$F4740)))</f>
        <v/>
      </c>
    </row>
    <row r="4741">
      <c r="A4741" s="73" t="n"/>
      <c r="B4741" s="74" t="n"/>
      <c r="C4741" s="74" t="n"/>
      <c r="D4741" s="75">
        <f>IF($C4741="","",IFERROR(INDEX(CAT_TIPO,MATCH($C4741,CAT_NOME,0)),"Sem categoria"))</f>
        <v/>
      </c>
      <c r="E4741" s="75">
        <f>IF($C4741="","",IFERROR(INDEX(CAT_GRUPO,MATCH($C4741,CAT_NOME,0)),"Sem categoria"))</f>
        <v/>
      </c>
      <c r="F4741" s="76" t="n"/>
      <c r="G4741" s="74" t="n"/>
      <c r="H4741" s="74" t="n"/>
      <c r="I4741" s="74" t="n"/>
      <c r="J4741" s="77" t="n"/>
      <c r="K4741" s="77" t="n"/>
      <c r="L4741" s="74" t="n"/>
      <c r="M4741" s="74" t="n"/>
      <c r="O4741" s="78">
        <f>IF($A4741="","",YEAR($A4741)*100+MONTH($A4741))</f>
        <v/>
      </c>
      <c r="P4741" s="79">
        <f>IF(OR($F4741="",$D4741=""),"",IF($D4741="Receita",$F4741,IF($D4741="Transferência",0,-$F4741)))</f>
        <v/>
      </c>
    </row>
    <row r="4742">
      <c r="A4742" s="73" t="n"/>
      <c r="B4742" s="74" t="n"/>
      <c r="C4742" s="74" t="n"/>
      <c r="D4742" s="75">
        <f>IF($C4742="","",IFERROR(INDEX(CAT_TIPO,MATCH($C4742,CAT_NOME,0)),"Sem categoria"))</f>
        <v/>
      </c>
      <c r="E4742" s="75">
        <f>IF($C4742="","",IFERROR(INDEX(CAT_GRUPO,MATCH($C4742,CAT_NOME,0)),"Sem categoria"))</f>
        <v/>
      </c>
      <c r="F4742" s="76" t="n"/>
      <c r="G4742" s="74" t="n"/>
      <c r="H4742" s="74" t="n"/>
      <c r="I4742" s="74" t="n"/>
      <c r="J4742" s="77" t="n"/>
      <c r="K4742" s="77" t="n"/>
      <c r="L4742" s="74" t="n"/>
      <c r="M4742" s="74" t="n"/>
      <c r="O4742" s="78">
        <f>IF($A4742="","",YEAR($A4742)*100+MONTH($A4742))</f>
        <v/>
      </c>
      <c r="P4742" s="79">
        <f>IF(OR($F4742="",$D4742=""),"",IF($D4742="Receita",$F4742,IF($D4742="Transferência",0,-$F4742)))</f>
        <v/>
      </c>
    </row>
    <row r="4743">
      <c r="A4743" s="73" t="n"/>
      <c r="B4743" s="74" t="n"/>
      <c r="C4743" s="74" t="n"/>
      <c r="D4743" s="75">
        <f>IF($C4743="","",IFERROR(INDEX(CAT_TIPO,MATCH($C4743,CAT_NOME,0)),"Sem categoria"))</f>
        <v/>
      </c>
      <c r="E4743" s="75">
        <f>IF($C4743="","",IFERROR(INDEX(CAT_GRUPO,MATCH($C4743,CAT_NOME,0)),"Sem categoria"))</f>
        <v/>
      </c>
      <c r="F4743" s="76" t="n"/>
      <c r="G4743" s="74" t="n"/>
      <c r="H4743" s="74" t="n"/>
      <c r="I4743" s="74" t="n"/>
      <c r="J4743" s="77" t="n"/>
      <c r="K4743" s="77" t="n"/>
      <c r="L4743" s="74" t="n"/>
      <c r="M4743" s="74" t="n"/>
      <c r="O4743" s="78">
        <f>IF($A4743="","",YEAR($A4743)*100+MONTH($A4743))</f>
        <v/>
      </c>
      <c r="P4743" s="79">
        <f>IF(OR($F4743="",$D4743=""),"",IF($D4743="Receita",$F4743,IF($D4743="Transferência",0,-$F4743)))</f>
        <v/>
      </c>
    </row>
    <row r="4744">
      <c r="A4744" s="73" t="n"/>
      <c r="B4744" s="74" t="n"/>
      <c r="C4744" s="74" t="n"/>
      <c r="D4744" s="75">
        <f>IF($C4744="","",IFERROR(INDEX(CAT_TIPO,MATCH($C4744,CAT_NOME,0)),"Sem categoria"))</f>
        <v/>
      </c>
      <c r="E4744" s="75">
        <f>IF($C4744="","",IFERROR(INDEX(CAT_GRUPO,MATCH($C4744,CAT_NOME,0)),"Sem categoria"))</f>
        <v/>
      </c>
      <c r="F4744" s="76" t="n"/>
      <c r="G4744" s="74" t="n"/>
      <c r="H4744" s="74" t="n"/>
      <c r="I4744" s="74" t="n"/>
      <c r="J4744" s="77" t="n"/>
      <c r="K4744" s="77" t="n"/>
      <c r="L4744" s="74" t="n"/>
      <c r="M4744" s="74" t="n"/>
      <c r="O4744" s="78">
        <f>IF($A4744="","",YEAR($A4744)*100+MONTH($A4744))</f>
        <v/>
      </c>
      <c r="P4744" s="79">
        <f>IF(OR($F4744="",$D4744=""),"",IF($D4744="Receita",$F4744,IF($D4744="Transferência",0,-$F4744)))</f>
        <v/>
      </c>
    </row>
    <row r="4745">
      <c r="A4745" s="73" t="n"/>
      <c r="B4745" s="74" t="n"/>
      <c r="C4745" s="74" t="n"/>
      <c r="D4745" s="75">
        <f>IF($C4745="","",IFERROR(INDEX(CAT_TIPO,MATCH($C4745,CAT_NOME,0)),"Sem categoria"))</f>
        <v/>
      </c>
      <c r="E4745" s="75">
        <f>IF($C4745="","",IFERROR(INDEX(CAT_GRUPO,MATCH($C4745,CAT_NOME,0)),"Sem categoria"))</f>
        <v/>
      </c>
      <c r="F4745" s="76" t="n"/>
      <c r="G4745" s="74" t="n"/>
      <c r="H4745" s="74" t="n"/>
      <c r="I4745" s="74" t="n"/>
      <c r="J4745" s="77" t="n"/>
      <c r="K4745" s="77" t="n"/>
      <c r="L4745" s="74" t="n"/>
      <c r="M4745" s="74" t="n"/>
      <c r="O4745" s="78">
        <f>IF($A4745="","",YEAR($A4745)*100+MONTH($A4745))</f>
        <v/>
      </c>
      <c r="P4745" s="79">
        <f>IF(OR($F4745="",$D4745=""),"",IF($D4745="Receita",$F4745,IF($D4745="Transferência",0,-$F4745)))</f>
        <v/>
      </c>
    </row>
    <row r="4746">
      <c r="A4746" s="73" t="n"/>
      <c r="B4746" s="74" t="n"/>
      <c r="C4746" s="74" t="n"/>
      <c r="D4746" s="75">
        <f>IF($C4746="","",IFERROR(INDEX(CAT_TIPO,MATCH($C4746,CAT_NOME,0)),"Sem categoria"))</f>
        <v/>
      </c>
      <c r="E4746" s="75">
        <f>IF($C4746="","",IFERROR(INDEX(CAT_GRUPO,MATCH($C4746,CAT_NOME,0)),"Sem categoria"))</f>
        <v/>
      </c>
      <c r="F4746" s="76" t="n"/>
      <c r="G4746" s="74" t="n"/>
      <c r="H4746" s="74" t="n"/>
      <c r="I4746" s="74" t="n"/>
      <c r="J4746" s="77" t="n"/>
      <c r="K4746" s="77" t="n"/>
      <c r="L4746" s="74" t="n"/>
      <c r="M4746" s="74" t="n"/>
      <c r="O4746" s="78">
        <f>IF($A4746="","",YEAR($A4746)*100+MONTH($A4746))</f>
        <v/>
      </c>
      <c r="P4746" s="79">
        <f>IF(OR($F4746="",$D4746=""),"",IF($D4746="Receita",$F4746,IF($D4746="Transferência",0,-$F4746)))</f>
        <v/>
      </c>
    </row>
    <row r="4747">
      <c r="A4747" s="73" t="n"/>
      <c r="B4747" s="74" t="n"/>
      <c r="C4747" s="74" t="n"/>
      <c r="D4747" s="75">
        <f>IF($C4747="","",IFERROR(INDEX(CAT_TIPO,MATCH($C4747,CAT_NOME,0)),"Sem categoria"))</f>
        <v/>
      </c>
      <c r="E4747" s="75">
        <f>IF($C4747="","",IFERROR(INDEX(CAT_GRUPO,MATCH($C4747,CAT_NOME,0)),"Sem categoria"))</f>
        <v/>
      </c>
      <c r="F4747" s="76" t="n"/>
      <c r="G4747" s="74" t="n"/>
      <c r="H4747" s="74" t="n"/>
      <c r="I4747" s="74" t="n"/>
      <c r="J4747" s="77" t="n"/>
      <c r="K4747" s="77" t="n"/>
      <c r="L4747" s="74" t="n"/>
      <c r="M4747" s="74" t="n"/>
      <c r="O4747" s="78">
        <f>IF($A4747="","",YEAR($A4747)*100+MONTH($A4747))</f>
        <v/>
      </c>
      <c r="P4747" s="79">
        <f>IF(OR($F4747="",$D4747=""),"",IF($D4747="Receita",$F4747,IF($D4747="Transferência",0,-$F4747)))</f>
        <v/>
      </c>
    </row>
    <row r="4748">
      <c r="A4748" s="73" t="n"/>
      <c r="B4748" s="74" t="n"/>
      <c r="C4748" s="74" t="n"/>
      <c r="D4748" s="75">
        <f>IF($C4748="","",IFERROR(INDEX(CAT_TIPO,MATCH($C4748,CAT_NOME,0)),"Sem categoria"))</f>
        <v/>
      </c>
      <c r="E4748" s="75">
        <f>IF($C4748="","",IFERROR(INDEX(CAT_GRUPO,MATCH($C4748,CAT_NOME,0)),"Sem categoria"))</f>
        <v/>
      </c>
      <c r="F4748" s="76" t="n"/>
      <c r="G4748" s="74" t="n"/>
      <c r="H4748" s="74" t="n"/>
      <c r="I4748" s="74" t="n"/>
      <c r="J4748" s="77" t="n"/>
      <c r="K4748" s="77" t="n"/>
      <c r="L4748" s="74" t="n"/>
      <c r="M4748" s="74" t="n"/>
      <c r="O4748" s="78">
        <f>IF($A4748="","",YEAR($A4748)*100+MONTH($A4748))</f>
        <v/>
      </c>
      <c r="P4748" s="79">
        <f>IF(OR($F4748="",$D4748=""),"",IF($D4748="Receita",$F4748,IF($D4748="Transferência",0,-$F4748)))</f>
        <v/>
      </c>
    </row>
    <row r="4749">
      <c r="A4749" s="73" t="n"/>
      <c r="B4749" s="74" t="n"/>
      <c r="C4749" s="74" t="n"/>
      <c r="D4749" s="75">
        <f>IF($C4749="","",IFERROR(INDEX(CAT_TIPO,MATCH($C4749,CAT_NOME,0)),"Sem categoria"))</f>
        <v/>
      </c>
      <c r="E4749" s="75">
        <f>IF($C4749="","",IFERROR(INDEX(CAT_GRUPO,MATCH($C4749,CAT_NOME,0)),"Sem categoria"))</f>
        <v/>
      </c>
      <c r="F4749" s="76" t="n"/>
      <c r="G4749" s="74" t="n"/>
      <c r="H4749" s="74" t="n"/>
      <c r="I4749" s="74" t="n"/>
      <c r="J4749" s="77" t="n"/>
      <c r="K4749" s="77" t="n"/>
      <c r="L4749" s="74" t="n"/>
      <c r="M4749" s="74" t="n"/>
      <c r="O4749" s="78">
        <f>IF($A4749="","",YEAR($A4749)*100+MONTH($A4749))</f>
        <v/>
      </c>
      <c r="P4749" s="79">
        <f>IF(OR($F4749="",$D4749=""),"",IF($D4749="Receita",$F4749,IF($D4749="Transferência",0,-$F4749)))</f>
        <v/>
      </c>
    </row>
    <row r="4750">
      <c r="A4750" s="73" t="n"/>
      <c r="B4750" s="74" t="n"/>
      <c r="C4750" s="74" t="n"/>
      <c r="D4750" s="75">
        <f>IF($C4750="","",IFERROR(INDEX(CAT_TIPO,MATCH($C4750,CAT_NOME,0)),"Sem categoria"))</f>
        <v/>
      </c>
      <c r="E4750" s="75">
        <f>IF($C4750="","",IFERROR(INDEX(CAT_GRUPO,MATCH($C4750,CAT_NOME,0)),"Sem categoria"))</f>
        <v/>
      </c>
      <c r="F4750" s="76" t="n"/>
      <c r="G4750" s="74" t="n"/>
      <c r="H4750" s="74" t="n"/>
      <c r="I4750" s="74" t="n"/>
      <c r="J4750" s="77" t="n"/>
      <c r="K4750" s="77" t="n"/>
      <c r="L4750" s="74" t="n"/>
      <c r="M4750" s="74" t="n"/>
      <c r="O4750" s="78">
        <f>IF($A4750="","",YEAR($A4750)*100+MONTH($A4750))</f>
        <v/>
      </c>
      <c r="P4750" s="79">
        <f>IF(OR($F4750="",$D4750=""),"",IF($D4750="Receita",$F4750,IF($D4750="Transferência",0,-$F4750)))</f>
        <v/>
      </c>
    </row>
    <row r="4751">
      <c r="A4751" s="73" t="n"/>
      <c r="B4751" s="74" t="n"/>
      <c r="C4751" s="74" t="n"/>
      <c r="D4751" s="75">
        <f>IF($C4751="","",IFERROR(INDEX(CAT_TIPO,MATCH($C4751,CAT_NOME,0)),"Sem categoria"))</f>
        <v/>
      </c>
      <c r="E4751" s="75">
        <f>IF($C4751="","",IFERROR(INDEX(CAT_GRUPO,MATCH($C4751,CAT_NOME,0)),"Sem categoria"))</f>
        <v/>
      </c>
      <c r="F4751" s="76" t="n"/>
      <c r="G4751" s="74" t="n"/>
      <c r="H4751" s="74" t="n"/>
      <c r="I4751" s="74" t="n"/>
      <c r="J4751" s="77" t="n"/>
      <c r="K4751" s="77" t="n"/>
      <c r="L4751" s="74" t="n"/>
      <c r="M4751" s="74" t="n"/>
      <c r="O4751" s="78">
        <f>IF($A4751="","",YEAR($A4751)*100+MONTH($A4751))</f>
        <v/>
      </c>
      <c r="P4751" s="79">
        <f>IF(OR($F4751="",$D4751=""),"",IF($D4751="Receita",$F4751,IF($D4751="Transferência",0,-$F4751)))</f>
        <v/>
      </c>
    </row>
    <row r="4752">
      <c r="A4752" s="73" t="n"/>
      <c r="B4752" s="74" t="n"/>
      <c r="C4752" s="74" t="n"/>
      <c r="D4752" s="75">
        <f>IF($C4752="","",IFERROR(INDEX(CAT_TIPO,MATCH($C4752,CAT_NOME,0)),"Sem categoria"))</f>
        <v/>
      </c>
      <c r="E4752" s="75">
        <f>IF($C4752="","",IFERROR(INDEX(CAT_GRUPO,MATCH($C4752,CAT_NOME,0)),"Sem categoria"))</f>
        <v/>
      </c>
      <c r="F4752" s="76" t="n"/>
      <c r="G4752" s="74" t="n"/>
      <c r="H4752" s="74" t="n"/>
      <c r="I4752" s="74" t="n"/>
      <c r="J4752" s="77" t="n"/>
      <c r="K4752" s="77" t="n"/>
      <c r="L4752" s="74" t="n"/>
      <c r="M4752" s="74" t="n"/>
      <c r="O4752" s="78">
        <f>IF($A4752="","",YEAR($A4752)*100+MONTH($A4752))</f>
        <v/>
      </c>
      <c r="P4752" s="79">
        <f>IF(OR($F4752="",$D4752=""),"",IF($D4752="Receita",$F4752,IF($D4752="Transferência",0,-$F4752)))</f>
        <v/>
      </c>
    </row>
    <row r="4753">
      <c r="A4753" s="73" t="n"/>
      <c r="B4753" s="74" t="n"/>
      <c r="C4753" s="74" t="n"/>
      <c r="D4753" s="75">
        <f>IF($C4753="","",IFERROR(INDEX(CAT_TIPO,MATCH($C4753,CAT_NOME,0)),"Sem categoria"))</f>
        <v/>
      </c>
      <c r="E4753" s="75">
        <f>IF($C4753="","",IFERROR(INDEX(CAT_GRUPO,MATCH($C4753,CAT_NOME,0)),"Sem categoria"))</f>
        <v/>
      </c>
      <c r="F4753" s="76" t="n"/>
      <c r="G4753" s="74" t="n"/>
      <c r="H4753" s="74" t="n"/>
      <c r="I4753" s="74" t="n"/>
      <c r="J4753" s="77" t="n"/>
      <c r="K4753" s="77" t="n"/>
      <c r="L4753" s="74" t="n"/>
      <c r="M4753" s="74" t="n"/>
      <c r="O4753" s="78">
        <f>IF($A4753="","",YEAR($A4753)*100+MONTH($A4753))</f>
        <v/>
      </c>
      <c r="P4753" s="79">
        <f>IF(OR($F4753="",$D4753=""),"",IF($D4753="Receita",$F4753,IF($D4753="Transferência",0,-$F4753)))</f>
        <v/>
      </c>
    </row>
    <row r="4754">
      <c r="A4754" s="73" t="n"/>
      <c r="B4754" s="74" t="n"/>
      <c r="C4754" s="74" t="n"/>
      <c r="D4754" s="75">
        <f>IF($C4754="","",IFERROR(INDEX(CAT_TIPO,MATCH($C4754,CAT_NOME,0)),"Sem categoria"))</f>
        <v/>
      </c>
      <c r="E4754" s="75">
        <f>IF($C4754="","",IFERROR(INDEX(CAT_GRUPO,MATCH($C4754,CAT_NOME,0)),"Sem categoria"))</f>
        <v/>
      </c>
      <c r="F4754" s="76" t="n"/>
      <c r="G4754" s="74" t="n"/>
      <c r="H4754" s="74" t="n"/>
      <c r="I4754" s="74" t="n"/>
      <c r="J4754" s="77" t="n"/>
      <c r="K4754" s="77" t="n"/>
      <c r="L4754" s="74" t="n"/>
      <c r="M4754" s="74" t="n"/>
      <c r="O4754" s="78">
        <f>IF($A4754="","",YEAR($A4754)*100+MONTH($A4754))</f>
        <v/>
      </c>
      <c r="P4754" s="79">
        <f>IF(OR($F4754="",$D4754=""),"",IF($D4754="Receita",$F4754,IF($D4754="Transferência",0,-$F4754)))</f>
        <v/>
      </c>
    </row>
    <row r="4755">
      <c r="A4755" s="73" t="n"/>
      <c r="B4755" s="74" t="n"/>
      <c r="C4755" s="74" t="n"/>
      <c r="D4755" s="75">
        <f>IF($C4755="","",IFERROR(INDEX(CAT_TIPO,MATCH($C4755,CAT_NOME,0)),"Sem categoria"))</f>
        <v/>
      </c>
      <c r="E4755" s="75">
        <f>IF($C4755="","",IFERROR(INDEX(CAT_GRUPO,MATCH($C4755,CAT_NOME,0)),"Sem categoria"))</f>
        <v/>
      </c>
      <c r="F4755" s="76" t="n"/>
      <c r="G4755" s="74" t="n"/>
      <c r="H4755" s="74" t="n"/>
      <c r="I4755" s="74" t="n"/>
      <c r="J4755" s="77" t="n"/>
      <c r="K4755" s="77" t="n"/>
      <c r="L4755" s="74" t="n"/>
      <c r="M4755" s="74" t="n"/>
      <c r="O4755" s="78">
        <f>IF($A4755="","",YEAR($A4755)*100+MONTH($A4755))</f>
        <v/>
      </c>
      <c r="P4755" s="79">
        <f>IF(OR($F4755="",$D4755=""),"",IF($D4755="Receita",$F4755,IF($D4755="Transferência",0,-$F4755)))</f>
        <v/>
      </c>
    </row>
    <row r="4756">
      <c r="A4756" s="73" t="n"/>
      <c r="B4756" s="74" t="n"/>
      <c r="C4756" s="74" t="n"/>
      <c r="D4756" s="75">
        <f>IF($C4756="","",IFERROR(INDEX(CAT_TIPO,MATCH($C4756,CAT_NOME,0)),"Sem categoria"))</f>
        <v/>
      </c>
      <c r="E4756" s="75">
        <f>IF($C4756="","",IFERROR(INDEX(CAT_GRUPO,MATCH($C4756,CAT_NOME,0)),"Sem categoria"))</f>
        <v/>
      </c>
      <c r="F4756" s="76" t="n"/>
      <c r="G4756" s="74" t="n"/>
      <c r="H4756" s="74" t="n"/>
      <c r="I4756" s="74" t="n"/>
      <c r="J4756" s="77" t="n"/>
      <c r="K4756" s="77" t="n"/>
      <c r="L4756" s="74" t="n"/>
      <c r="M4756" s="74" t="n"/>
      <c r="O4756" s="78">
        <f>IF($A4756="","",YEAR($A4756)*100+MONTH($A4756))</f>
        <v/>
      </c>
      <c r="P4756" s="79">
        <f>IF(OR($F4756="",$D4756=""),"",IF($D4756="Receita",$F4756,IF($D4756="Transferência",0,-$F4756)))</f>
        <v/>
      </c>
    </row>
    <row r="4757">
      <c r="A4757" s="73" t="n"/>
      <c r="B4757" s="74" t="n"/>
      <c r="C4757" s="74" t="n"/>
      <c r="D4757" s="75">
        <f>IF($C4757="","",IFERROR(INDEX(CAT_TIPO,MATCH($C4757,CAT_NOME,0)),"Sem categoria"))</f>
        <v/>
      </c>
      <c r="E4757" s="75">
        <f>IF($C4757="","",IFERROR(INDEX(CAT_GRUPO,MATCH($C4757,CAT_NOME,0)),"Sem categoria"))</f>
        <v/>
      </c>
      <c r="F4757" s="76" t="n"/>
      <c r="G4757" s="74" t="n"/>
      <c r="H4757" s="74" t="n"/>
      <c r="I4757" s="74" t="n"/>
      <c r="J4757" s="77" t="n"/>
      <c r="K4757" s="77" t="n"/>
      <c r="L4757" s="74" t="n"/>
      <c r="M4757" s="74" t="n"/>
      <c r="O4757" s="78">
        <f>IF($A4757="","",YEAR($A4757)*100+MONTH($A4757))</f>
        <v/>
      </c>
      <c r="P4757" s="79">
        <f>IF(OR($F4757="",$D4757=""),"",IF($D4757="Receita",$F4757,IF($D4757="Transferência",0,-$F4757)))</f>
        <v/>
      </c>
    </row>
    <row r="4758">
      <c r="A4758" s="73" t="n"/>
      <c r="B4758" s="74" t="n"/>
      <c r="C4758" s="74" t="n"/>
      <c r="D4758" s="75">
        <f>IF($C4758="","",IFERROR(INDEX(CAT_TIPO,MATCH($C4758,CAT_NOME,0)),"Sem categoria"))</f>
        <v/>
      </c>
      <c r="E4758" s="75">
        <f>IF($C4758="","",IFERROR(INDEX(CAT_GRUPO,MATCH($C4758,CAT_NOME,0)),"Sem categoria"))</f>
        <v/>
      </c>
      <c r="F4758" s="76" t="n"/>
      <c r="G4758" s="74" t="n"/>
      <c r="H4758" s="74" t="n"/>
      <c r="I4758" s="74" t="n"/>
      <c r="J4758" s="77" t="n"/>
      <c r="K4758" s="77" t="n"/>
      <c r="L4758" s="74" t="n"/>
      <c r="M4758" s="74" t="n"/>
      <c r="O4758" s="78">
        <f>IF($A4758="","",YEAR($A4758)*100+MONTH($A4758))</f>
        <v/>
      </c>
      <c r="P4758" s="79">
        <f>IF(OR($F4758="",$D4758=""),"",IF($D4758="Receita",$F4758,IF($D4758="Transferência",0,-$F4758)))</f>
        <v/>
      </c>
    </row>
    <row r="4759">
      <c r="A4759" s="73" t="n"/>
      <c r="B4759" s="74" t="n"/>
      <c r="C4759" s="74" t="n"/>
      <c r="D4759" s="75">
        <f>IF($C4759="","",IFERROR(INDEX(CAT_TIPO,MATCH($C4759,CAT_NOME,0)),"Sem categoria"))</f>
        <v/>
      </c>
      <c r="E4759" s="75">
        <f>IF($C4759="","",IFERROR(INDEX(CAT_GRUPO,MATCH($C4759,CAT_NOME,0)),"Sem categoria"))</f>
        <v/>
      </c>
      <c r="F4759" s="76" t="n"/>
      <c r="G4759" s="74" t="n"/>
      <c r="H4759" s="74" t="n"/>
      <c r="I4759" s="74" t="n"/>
      <c r="J4759" s="77" t="n"/>
      <c r="K4759" s="77" t="n"/>
      <c r="L4759" s="74" t="n"/>
      <c r="M4759" s="74" t="n"/>
      <c r="O4759" s="78">
        <f>IF($A4759="","",YEAR($A4759)*100+MONTH($A4759))</f>
        <v/>
      </c>
      <c r="P4759" s="79">
        <f>IF(OR($F4759="",$D4759=""),"",IF($D4759="Receita",$F4759,IF($D4759="Transferência",0,-$F4759)))</f>
        <v/>
      </c>
    </row>
    <row r="4760">
      <c r="A4760" s="73" t="n"/>
      <c r="B4760" s="74" t="n"/>
      <c r="C4760" s="74" t="n"/>
      <c r="D4760" s="75">
        <f>IF($C4760="","",IFERROR(INDEX(CAT_TIPO,MATCH($C4760,CAT_NOME,0)),"Sem categoria"))</f>
        <v/>
      </c>
      <c r="E4760" s="75">
        <f>IF($C4760="","",IFERROR(INDEX(CAT_GRUPO,MATCH($C4760,CAT_NOME,0)),"Sem categoria"))</f>
        <v/>
      </c>
      <c r="F4760" s="76" t="n"/>
      <c r="G4760" s="74" t="n"/>
      <c r="H4760" s="74" t="n"/>
      <c r="I4760" s="74" t="n"/>
      <c r="J4760" s="77" t="n"/>
      <c r="K4760" s="77" t="n"/>
      <c r="L4760" s="74" t="n"/>
      <c r="M4760" s="74" t="n"/>
      <c r="O4760" s="78">
        <f>IF($A4760="","",YEAR($A4760)*100+MONTH($A4760))</f>
        <v/>
      </c>
      <c r="P4760" s="79">
        <f>IF(OR($F4760="",$D4760=""),"",IF($D4760="Receita",$F4760,IF($D4760="Transferência",0,-$F4760)))</f>
        <v/>
      </c>
    </row>
    <row r="4761">
      <c r="A4761" s="73" t="n"/>
      <c r="B4761" s="74" t="n"/>
      <c r="C4761" s="74" t="n"/>
      <c r="D4761" s="75">
        <f>IF($C4761="","",IFERROR(INDEX(CAT_TIPO,MATCH($C4761,CAT_NOME,0)),"Sem categoria"))</f>
        <v/>
      </c>
      <c r="E4761" s="75">
        <f>IF($C4761="","",IFERROR(INDEX(CAT_GRUPO,MATCH($C4761,CAT_NOME,0)),"Sem categoria"))</f>
        <v/>
      </c>
      <c r="F4761" s="76" t="n"/>
      <c r="G4761" s="74" t="n"/>
      <c r="H4761" s="74" t="n"/>
      <c r="I4761" s="74" t="n"/>
      <c r="J4761" s="77" t="n"/>
      <c r="K4761" s="77" t="n"/>
      <c r="L4761" s="74" t="n"/>
      <c r="M4761" s="74" t="n"/>
      <c r="O4761" s="78">
        <f>IF($A4761="","",YEAR($A4761)*100+MONTH($A4761))</f>
        <v/>
      </c>
      <c r="P4761" s="79">
        <f>IF(OR($F4761="",$D4761=""),"",IF($D4761="Receita",$F4761,IF($D4761="Transferência",0,-$F4761)))</f>
        <v/>
      </c>
    </row>
    <row r="4762">
      <c r="A4762" s="73" t="n"/>
      <c r="B4762" s="74" t="n"/>
      <c r="C4762" s="74" t="n"/>
      <c r="D4762" s="75">
        <f>IF($C4762="","",IFERROR(INDEX(CAT_TIPO,MATCH($C4762,CAT_NOME,0)),"Sem categoria"))</f>
        <v/>
      </c>
      <c r="E4762" s="75">
        <f>IF($C4762="","",IFERROR(INDEX(CAT_GRUPO,MATCH($C4762,CAT_NOME,0)),"Sem categoria"))</f>
        <v/>
      </c>
      <c r="F4762" s="76" t="n"/>
      <c r="G4762" s="74" t="n"/>
      <c r="H4762" s="74" t="n"/>
      <c r="I4762" s="74" t="n"/>
      <c r="J4762" s="77" t="n"/>
      <c r="K4762" s="77" t="n"/>
      <c r="L4762" s="74" t="n"/>
      <c r="M4762" s="74" t="n"/>
      <c r="O4762" s="78">
        <f>IF($A4762="","",YEAR($A4762)*100+MONTH($A4762))</f>
        <v/>
      </c>
      <c r="P4762" s="79">
        <f>IF(OR($F4762="",$D4762=""),"",IF($D4762="Receita",$F4762,IF($D4762="Transferência",0,-$F4762)))</f>
        <v/>
      </c>
    </row>
    <row r="4763">
      <c r="A4763" s="73" t="n"/>
      <c r="B4763" s="74" t="n"/>
      <c r="C4763" s="74" t="n"/>
      <c r="D4763" s="75">
        <f>IF($C4763="","",IFERROR(INDEX(CAT_TIPO,MATCH($C4763,CAT_NOME,0)),"Sem categoria"))</f>
        <v/>
      </c>
      <c r="E4763" s="75">
        <f>IF($C4763="","",IFERROR(INDEX(CAT_GRUPO,MATCH($C4763,CAT_NOME,0)),"Sem categoria"))</f>
        <v/>
      </c>
      <c r="F4763" s="76" t="n"/>
      <c r="G4763" s="74" t="n"/>
      <c r="H4763" s="74" t="n"/>
      <c r="I4763" s="74" t="n"/>
      <c r="J4763" s="77" t="n"/>
      <c r="K4763" s="77" t="n"/>
      <c r="L4763" s="74" t="n"/>
      <c r="M4763" s="74" t="n"/>
      <c r="O4763" s="78">
        <f>IF($A4763="","",YEAR($A4763)*100+MONTH($A4763))</f>
        <v/>
      </c>
      <c r="P4763" s="79">
        <f>IF(OR($F4763="",$D4763=""),"",IF($D4763="Receita",$F4763,IF($D4763="Transferência",0,-$F4763)))</f>
        <v/>
      </c>
    </row>
    <row r="4764">
      <c r="A4764" s="73" t="n"/>
      <c r="B4764" s="74" t="n"/>
      <c r="C4764" s="74" t="n"/>
      <c r="D4764" s="75">
        <f>IF($C4764="","",IFERROR(INDEX(CAT_TIPO,MATCH($C4764,CAT_NOME,0)),"Sem categoria"))</f>
        <v/>
      </c>
      <c r="E4764" s="75">
        <f>IF($C4764="","",IFERROR(INDEX(CAT_GRUPO,MATCH($C4764,CAT_NOME,0)),"Sem categoria"))</f>
        <v/>
      </c>
      <c r="F4764" s="76" t="n"/>
      <c r="G4764" s="74" t="n"/>
      <c r="H4764" s="74" t="n"/>
      <c r="I4764" s="74" t="n"/>
      <c r="J4764" s="77" t="n"/>
      <c r="K4764" s="77" t="n"/>
      <c r="L4764" s="74" t="n"/>
      <c r="M4764" s="74" t="n"/>
      <c r="O4764" s="78">
        <f>IF($A4764="","",YEAR($A4764)*100+MONTH($A4764))</f>
        <v/>
      </c>
      <c r="P4764" s="79">
        <f>IF(OR($F4764="",$D4764=""),"",IF($D4764="Receita",$F4764,IF($D4764="Transferência",0,-$F4764)))</f>
        <v/>
      </c>
    </row>
    <row r="4765">
      <c r="A4765" s="73" t="n"/>
      <c r="B4765" s="74" t="n"/>
      <c r="C4765" s="74" t="n"/>
      <c r="D4765" s="75">
        <f>IF($C4765="","",IFERROR(INDEX(CAT_TIPO,MATCH($C4765,CAT_NOME,0)),"Sem categoria"))</f>
        <v/>
      </c>
      <c r="E4765" s="75">
        <f>IF($C4765="","",IFERROR(INDEX(CAT_GRUPO,MATCH($C4765,CAT_NOME,0)),"Sem categoria"))</f>
        <v/>
      </c>
      <c r="F4765" s="76" t="n"/>
      <c r="G4765" s="74" t="n"/>
      <c r="H4765" s="74" t="n"/>
      <c r="I4765" s="74" t="n"/>
      <c r="J4765" s="77" t="n"/>
      <c r="K4765" s="77" t="n"/>
      <c r="L4765" s="74" t="n"/>
      <c r="M4765" s="74" t="n"/>
      <c r="O4765" s="78">
        <f>IF($A4765="","",YEAR($A4765)*100+MONTH($A4765))</f>
        <v/>
      </c>
      <c r="P4765" s="79">
        <f>IF(OR($F4765="",$D4765=""),"",IF($D4765="Receita",$F4765,IF($D4765="Transferência",0,-$F4765)))</f>
        <v/>
      </c>
    </row>
    <row r="4766">
      <c r="A4766" s="73" t="n"/>
      <c r="B4766" s="74" t="n"/>
      <c r="C4766" s="74" t="n"/>
      <c r="D4766" s="75">
        <f>IF($C4766="","",IFERROR(INDEX(CAT_TIPO,MATCH($C4766,CAT_NOME,0)),"Sem categoria"))</f>
        <v/>
      </c>
      <c r="E4766" s="75">
        <f>IF($C4766="","",IFERROR(INDEX(CAT_GRUPO,MATCH($C4766,CAT_NOME,0)),"Sem categoria"))</f>
        <v/>
      </c>
      <c r="F4766" s="76" t="n"/>
      <c r="G4766" s="74" t="n"/>
      <c r="H4766" s="74" t="n"/>
      <c r="I4766" s="74" t="n"/>
      <c r="J4766" s="77" t="n"/>
      <c r="K4766" s="77" t="n"/>
      <c r="L4766" s="74" t="n"/>
      <c r="M4766" s="74" t="n"/>
      <c r="O4766" s="78">
        <f>IF($A4766="","",YEAR($A4766)*100+MONTH($A4766))</f>
        <v/>
      </c>
      <c r="P4766" s="79">
        <f>IF(OR($F4766="",$D4766=""),"",IF($D4766="Receita",$F4766,IF($D4766="Transferência",0,-$F4766)))</f>
        <v/>
      </c>
    </row>
    <row r="4767">
      <c r="A4767" s="73" t="n"/>
      <c r="B4767" s="74" t="n"/>
      <c r="C4767" s="74" t="n"/>
      <c r="D4767" s="75">
        <f>IF($C4767="","",IFERROR(INDEX(CAT_TIPO,MATCH($C4767,CAT_NOME,0)),"Sem categoria"))</f>
        <v/>
      </c>
      <c r="E4767" s="75">
        <f>IF($C4767="","",IFERROR(INDEX(CAT_GRUPO,MATCH($C4767,CAT_NOME,0)),"Sem categoria"))</f>
        <v/>
      </c>
      <c r="F4767" s="76" t="n"/>
      <c r="G4767" s="74" t="n"/>
      <c r="H4767" s="74" t="n"/>
      <c r="I4767" s="74" t="n"/>
      <c r="J4767" s="77" t="n"/>
      <c r="K4767" s="77" t="n"/>
      <c r="L4767" s="74" t="n"/>
      <c r="M4767" s="74" t="n"/>
      <c r="O4767" s="78">
        <f>IF($A4767="","",YEAR($A4767)*100+MONTH($A4767))</f>
        <v/>
      </c>
      <c r="P4767" s="79">
        <f>IF(OR($F4767="",$D4767=""),"",IF($D4767="Receita",$F4767,IF($D4767="Transferência",0,-$F4767)))</f>
        <v/>
      </c>
    </row>
    <row r="4768">
      <c r="A4768" s="73" t="n"/>
      <c r="B4768" s="74" t="n"/>
      <c r="C4768" s="74" t="n"/>
      <c r="D4768" s="75">
        <f>IF($C4768="","",IFERROR(INDEX(CAT_TIPO,MATCH($C4768,CAT_NOME,0)),"Sem categoria"))</f>
        <v/>
      </c>
      <c r="E4768" s="75">
        <f>IF($C4768="","",IFERROR(INDEX(CAT_GRUPO,MATCH($C4768,CAT_NOME,0)),"Sem categoria"))</f>
        <v/>
      </c>
      <c r="F4768" s="76" t="n"/>
      <c r="G4768" s="74" t="n"/>
      <c r="H4768" s="74" t="n"/>
      <c r="I4768" s="74" t="n"/>
      <c r="J4768" s="77" t="n"/>
      <c r="K4768" s="77" t="n"/>
      <c r="L4768" s="74" t="n"/>
      <c r="M4768" s="74" t="n"/>
      <c r="O4768" s="78">
        <f>IF($A4768="","",YEAR($A4768)*100+MONTH($A4768))</f>
        <v/>
      </c>
      <c r="P4768" s="79">
        <f>IF(OR($F4768="",$D4768=""),"",IF($D4768="Receita",$F4768,IF($D4768="Transferência",0,-$F4768)))</f>
        <v/>
      </c>
    </row>
    <row r="4769">
      <c r="A4769" s="73" t="n"/>
      <c r="B4769" s="74" t="n"/>
      <c r="C4769" s="74" t="n"/>
      <c r="D4769" s="75">
        <f>IF($C4769="","",IFERROR(INDEX(CAT_TIPO,MATCH($C4769,CAT_NOME,0)),"Sem categoria"))</f>
        <v/>
      </c>
      <c r="E4769" s="75">
        <f>IF($C4769="","",IFERROR(INDEX(CAT_GRUPO,MATCH($C4769,CAT_NOME,0)),"Sem categoria"))</f>
        <v/>
      </c>
      <c r="F4769" s="76" t="n"/>
      <c r="G4769" s="74" t="n"/>
      <c r="H4769" s="74" t="n"/>
      <c r="I4769" s="74" t="n"/>
      <c r="J4769" s="77" t="n"/>
      <c r="K4769" s="77" t="n"/>
      <c r="L4769" s="74" t="n"/>
      <c r="M4769" s="74" t="n"/>
      <c r="O4769" s="78">
        <f>IF($A4769="","",YEAR($A4769)*100+MONTH($A4769))</f>
        <v/>
      </c>
      <c r="P4769" s="79">
        <f>IF(OR($F4769="",$D4769=""),"",IF($D4769="Receita",$F4769,IF($D4769="Transferência",0,-$F4769)))</f>
        <v/>
      </c>
    </row>
    <row r="4770">
      <c r="A4770" s="73" t="n"/>
      <c r="B4770" s="74" t="n"/>
      <c r="C4770" s="74" t="n"/>
      <c r="D4770" s="75">
        <f>IF($C4770="","",IFERROR(INDEX(CAT_TIPO,MATCH($C4770,CAT_NOME,0)),"Sem categoria"))</f>
        <v/>
      </c>
      <c r="E4770" s="75">
        <f>IF($C4770="","",IFERROR(INDEX(CAT_GRUPO,MATCH($C4770,CAT_NOME,0)),"Sem categoria"))</f>
        <v/>
      </c>
      <c r="F4770" s="76" t="n"/>
      <c r="G4770" s="74" t="n"/>
      <c r="H4770" s="74" t="n"/>
      <c r="I4770" s="74" t="n"/>
      <c r="J4770" s="77" t="n"/>
      <c r="K4770" s="77" t="n"/>
      <c r="L4770" s="74" t="n"/>
      <c r="M4770" s="74" t="n"/>
      <c r="O4770" s="78">
        <f>IF($A4770="","",YEAR($A4770)*100+MONTH($A4770))</f>
        <v/>
      </c>
      <c r="P4770" s="79">
        <f>IF(OR($F4770="",$D4770=""),"",IF($D4770="Receita",$F4770,IF($D4770="Transferência",0,-$F4770)))</f>
        <v/>
      </c>
    </row>
    <row r="4771">
      <c r="A4771" s="73" t="n"/>
      <c r="B4771" s="74" t="n"/>
      <c r="C4771" s="74" t="n"/>
      <c r="D4771" s="75">
        <f>IF($C4771="","",IFERROR(INDEX(CAT_TIPO,MATCH($C4771,CAT_NOME,0)),"Sem categoria"))</f>
        <v/>
      </c>
      <c r="E4771" s="75">
        <f>IF($C4771="","",IFERROR(INDEX(CAT_GRUPO,MATCH($C4771,CAT_NOME,0)),"Sem categoria"))</f>
        <v/>
      </c>
      <c r="F4771" s="76" t="n"/>
      <c r="G4771" s="74" t="n"/>
      <c r="H4771" s="74" t="n"/>
      <c r="I4771" s="74" t="n"/>
      <c r="J4771" s="77" t="n"/>
      <c r="K4771" s="77" t="n"/>
      <c r="L4771" s="74" t="n"/>
      <c r="M4771" s="74" t="n"/>
      <c r="O4771" s="78">
        <f>IF($A4771="","",YEAR($A4771)*100+MONTH($A4771))</f>
        <v/>
      </c>
      <c r="P4771" s="79">
        <f>IF(OR($F4771="",$D4771=""),"",IF($D4771="Receita",$F4771,IF($D4771="Transferência",0,-$F4771)))</f>
        <v/>
      </c>
    </row>
    <row r="4772">
      <c r="A4772" s="73" t="n"/>
      <c r="B4772" s="74" t="n"/>
      <c r="C4772" s="74" t="n"/>
      <c r="D4772" s="75">
        <f>IF($C4772="","",IFERROR(INDEX(CAT_TIPO,MATCH($C4772,CAT_NOME,0)),"Sem categoria"))</f>
        <v/>
      </c>
      <c r="E4772" s="75">
        <f>IF($C4772="","",IFERROR(INDEX(CAT_GRUPO,MATCH($C4772,CAT_NOME,0)),"Sem categoria"))</f>
        <v/>
      </c>
      <c r="F4772" s="76" t="n"/>
      <c r="G4772" s="74" t="n"/>
      <c r="H4772" s="74" t="n"/>
      <c r="I4772" s="74" t="n"/>
      <c r="J4772" s="77" t="n"/>
      <c r="K4772" s="77" t="n"/>
      <c r="L4772" s="74" t="n"/>
      <c r="M4772" s="74" t="n"/>
      <c r="O4772" s="78">
        <f>IF($A4772="","",YEAR($A4772)*100+MONTH($A4772))</f>
        <v/>
      </c>
      <c r="P4772" s="79">
        <f>IF(OR($F4772="",$D4772=""),"",IF($D4772="Receita",$F4772,IF($D4772="Transferência",0,-$F4772)))</f>
        <v/>
      </c>
    </row>
    <row r="4773">
      <c r="A4773" s="73" t="n"/>
      <c r="B4773" s="74" t="n"/>
      <c r="C4773" s="74" t="n"/>
      <c r="D4773" s="75">
        <f>IF($C4773="","",IFERROR(INDEX(CAT_TIPO,MATCH($C4773,CAT_NOME,0)),"Sem categoria"))</f>
        <v/>
      </c>
      <c r="E4773" s="75">
        <f>IF($C4773="","",IFERROR(INDEX(CAT_GRUPO,MATCH($C4773,CAT_NOME,0)),"Sem categoria"))</f>
        <v/>
      </c>
      <c r="F4773" s="76" t="n"/>
      <c r="G4773" s="74" t="n"/>
      <c r="H4773" s="74" t="n"/>
      <c r="I4773" s="74" t="n"/>
      <c r="J4773" s="77" t="n"/>
      <c r="K4773" s="77" t="n"/>
      <c r="L4773" s="74" t="n"/>
      <c r="M4773" s="74" t="n"/>
      <c r="O4773" s="78">
        <f>IF($A4773="","",YEAR($A4773)*100+MONTH($A4773))</f>
        <v/>
      </c>
      <c r="P4773" s="79">
        <f>IF(OR($F4773="",$D4773=""),"",IF($D4773="Receita",$F4773,IF($D4773="Transferência",0,-$F4773)))</f>
        <v/>
      </c>
    </row>
    <row r="4774">
      <c r="A4774" s="73" t="n"/>
      <c r="B4774" s="74" t="n"/>
      <c r="C4774" s="74" t="n"/>
      <c r="D4774" s="75">
        <f>IF($C4774="","",IFERROR(INDEX(CAT_TIPO,MATCH($C4774,CAT_NOME,0)),"Sem categoria"))</f>
        <v/>
      </c>
      <c r="E4774" s="75">
        <f>IF($C4774="","",IFERROR(INDEX(CAT_GRUPO,MATCH($C4774,CAT_NOME,0)),"Sem categoria"))</f>
        <v/>
      </c>
      <c r="F4774" s="76" t="n"/>
      <c r="G4774" s="74" t="n"/>
      <c r="H4774" s="74" t="n"/>
      <c r="I4774" s="74" t="n"/>
      <c r="J4774" s="77" t="n"/>
      <c r="K4774" s="77" t="n"/>
      <c r="L4774" s="74" t="n"/>
      <c r="M4774" s="74" t="n"/>
      <c r="O4774" s="78">
        <f>IF($A4774="","",YEAR($A4774)*100+MONTH($A4774))</f>
        <v/>
      </c>
      <c r="P4774" s="79">
        <f>IF(OR($F4774="",$D4774=""),"",IF($D4774="Receita",$F4774,IF($D4774="Transferência",0,-$F4774)))</f>
        <v/>
      </c>
    </row>
    <row r="4775">
      <c r="A4775" s="73" t="n"/>
      <c r="B4775" s="74" t="n"/>
      <c r="C4775" s="74" t="n"/>
      <c r="D4775" s="75">
        <f>IF($C4775="","",IFERROR(INDEX(CAT_TIPO,MATCH($C4775,CAT_NOME,0)),"Sem categoria"))</f>
        <v/>
      </c>
      <c r="E4775" s="75">
        <f>IF($C4775="","",IFERROR(INDEX(CAT_GRUPO,MATCH($C4775,CAT_NOME,0)),"Sem categoria"))</f>
        <v/>
      </c>
      <c r="F4775" s="76" t="n"/>
      <c r="G4775" s="74" t="n"/>
      <c r="H4775" s="74" t="n"/>
      <c r="I4775" s="74" t="n"/>
      <c r="J4775" s="77" t="n"/>
      <c r="K4775" s="77" t="n"/>
      <c r="L4775" s="74" t="n"/>
      <c r="M4775" s="74" t="n"/>
      <c r="O4775" s="78">
        <f>IF($A4775="","",YEAR($A4775)*100+MONTH($A4775))</f>
        <v/>
      </c>
      <c r="P4775" s="79">
        <f>IF(OR($F4775="",$D4775=""),"",IF($D4775="Receita",$F4775,IF($D4775="Transferência",0,-$F4775)))</f>
        <v/>
      </c>
    </row>
    <row r="4776">
      <c r="A4776" s="73" t="n"/>
      <c r="B4776" s="74" t="n"/>
      <c r="C4776" s="74" t="n"/>
      <c r="D4776" s="75">
        <f>IF($C4776="","",IFERROR(INDEX(CAT_TIPO,MATCH($C4776,CAT_NOME,0)),"Sem categoria"))</f>
        <v/>
      </c>
      <c r="E4776" s="75">
        <f>IF($C4776="","",IFERROR(INDEX(CAT_GRUPO,MATCH($C4776,CAT_NOME,0)),"Sem categoria"))</f>
        <v/>
      </c>
      <c r="F4776" s="76" t="n"/>
      <c r="G4776" s="74" t="n"/>
      <c r="H4776" s="74" t="n"/>
      <c r="I4776" s="74" t="n"/>
      <c r="J4776" s="77" t="n"/>
      <c r="K4776" s="77" t="n"/>
      <c r="L4776" s="74" t="n"/>
      <c r="M4776" s="74" t="n"/>
      <c r="O4776" s="78">
        <f>IF($A4776="","",YEAR($A4776)*100+MONTH($A4776))</f>
        <v/>
      </c>
      <c r="P4776" s="79">
        <f>IF(OR($F4776="",$D4776=""),"",IF($D4776="Receita",$F4776,IF($D4776="Transferência",0,-$F4776)))</f>
        <v/>
      </c>
    </row>
    <row r="4777">
      <c r="A4777" s="73" t="n"/>
      <c r="B4777" s="74" t="n"/>
      <c r="C4777" s="74" t="n"/>
      <c r="D4777" s="75">
        <f>IF($C4777="","",IFERROR(INDEX(CAT_TIPO,MATCH($C4777,CAT_NOME,0)),"Sem categoria"))</f>
        <v/>
      </c>
      <c r="E4777" s="75">
        <f>IF($C4777="","",IFERROR(INDEX(CAT_GRUPO,MATCH($C4777,CAT_NOME,0)),"Sem categoria"))</f>
        <v/>
      </c>
      <c r="F4777" s="76" t="n"/>
      <c r="G4777" s="74" t="n"/>
      <c r="H4777" s="74" t="n"/>
      <c r="I4777" s="74" t="n"/>
      <c r="J4777" s="77" t="n"/>
      <c r="K4777" s="77" t="n"/>
      <c r="L4777" s="74" t="n"/>
      <c r="M4777" s="74" t="n"/>
      <c r="O4777" s="78">
        <f>IF($A4777="","",YEAR($A4777)*100+MONTH($A4777))</f>
        <v/>
      </c>
      <c r="P4777" s="79">
        <f>IF(OR($F4777="",$D4777=""),"",IF($D4777="Receita",$F4777,IF($D4777="Transferência",0,-$F4777)))</f>
        <v/>
      </c>
    </row>
    <row r="4778">
      <c r="A4778" s="73" t="n"/>
      <c r="B4778" s="74" t="n"/>
      <c r="C4778" s="74" t="n"/>
      <c r="D4778" s="75">
        <f>IF($C4778="","",IFERROR(INDEX(CAT_TIPO,MATCH($C4778,CAT_NOME,0)),"Sem categoria"))</f>
        <v/>
      </c>
      <c r="E4778" s="75">
        <f>IF($C4778="","",IFERROR(INDEX(CAT_GRUPO,MATCH($C4778,CAT_NOME,0)),"Sem categoria"))</f>
        <v/>
      </c>
      <c r="F4778" s="76" t="n"/>
      <c r="G4778" s="74" t="n"/>
      <c r="H4778" s="74" t="n"/>
      <c r="I4778" s="74" t="n"/>
      <c r="J4778" s="77" t="n"/>
      <c r="K4778" s="77" t="n"/>
      <c r="L4778" s="74" t="n"/>
      <c r="M4778" s="74" t="n"/>
      <c r="O4778" s="78">
        <f>IF($A4778="","",YEAR($A4778)*100+MONTH($A4778))</f>
        <v/>
      </c>
      <c r="P4778" s="79">
        <f>IF(OR($F4778="",$D4778=""),"",IF($D4778="Receita",$F4778,IF($D4778="Transferência",0,-$F4778)))</f>
        <v/>
      </c>
    </row>
    <row r="4779">
      <c r="A4779" s="73" t="n"/>
      <c r="B4779" s="74" t="n"/>
      <c r="C4779" s="74" t="n"/>
      <c r="D4779" s="75">
        <f>IF($C4779="","",IFERROR(INDEX(CAT_TIPO,MATCH($C4779,CAT_NOME,0)),"Sem categoria"))</f>
        <v/>
      </c>
      <c r="E4779" s="75">
        <f>IF($C4779="","",IFERROR(INDEX(CAT_GRUPO,MATCH($C4779,CAT_NOME,0)),"Sem categoria"))</f>
        <v/>
      </c>
      <c r="F4779" s="76" t="n"/>
      <c r="G4779" s="74" t="n"/>
      <c r="H4779" s="74" t="n"/>
      <c r="I4779" s="74" t="n"/>
      <c r="J4779" s="77" t="n"/>
      <c r="K4779" s="77" t="n"/>
      <c r="L4779" s="74" t="n"/>
      <c r="M4779" s="74" t="n"/>
      <c r="O4779" s="78">
        <f>IF($A4779="","",YEAR($A4779)*100+MONTH($A4779))</f>
        <v/>
      </c>
      <c r="P4779" s="79">
        <f>IF(OR($F4779="",$D4779=""),"",IF($D4779="Receita",$F4779,IF($D4779="Transferência",0,-$F4779)))</f>
        <v/>
      </c>
    </row>
    <row r="4780">
      <c r="A4780" s="73" t="n"/>
      <c r="B4780" s="74" t="n"/>
      <c r="C4780" s="74" t="n"/>
      <c r="D4780" s="75">
        <f>IF($C4780="","",IFERROR(INDEX(CAT_TIPO,MATCH($C4780,CAT_NOME,0)),"Sem categoria"))</f>
        <v/>
      </c>
      <c r="E4780" s="75">
        <f>IF($C4780="","",IFERROR(INDEX(CAT_GRUPO,MATCH($C4780,CAT_NOME,0)),"Sem categoria"))</f>
        <v/>
      </c>
      <c r="F4780" s="76" t="n"/>
      <c r="G4780" s="74" t="n"/>
      <c r="H4780" s="74" t="n"/>
      <c r="I4780" s="74" t="n"/>
      <c r="J4780" s="77" t="n"/>
      <c r="K4780" s="77" t="n"/>
      <c r="L4780" s="74" t="n"/>
      <c r="M4780" s="74" t="n"/>
      <c r="O4780" s="78">
        <f>IF($A4780="","",YEAR($A4780)*100+MONTH($A4780))</f>
        <v/>
      </c>
      <c r="P4780" s="79">
        <f>IF(OR($F4780="",$D4780=""),"",IF($D4780="Receita",$F4780,IF($D4780="Transferência",0,-$F4780)))</f>
        <v/>
      </c>
    </row>
    <row r="4781">
      <c r="A4781" s="73" t="n"/>
      <c r="B4781" s="74" t="n"/>
      <c r="C4781" s="74" t="n"/>
      <c r="D4781" s="75">
        <f>IF($C4781="","",IFERROR(INDEX(CAT_TIPO,MATCH($C4781,CAT_NOME,0)),"Sem categoria"))</f>
        <v/>
      </c>
      <c r="E4781" s="75">
        <f>IF($C4781="","",IFERROR(INDEX(CAT_GRUPO,MATCH($C4781,CAT_NOME,0)),"Sem categoria"))</f>
        <v/>
      </c>
      <c r="F4781" s="76" t="n"/>
      <c r="G4781" s="74" t="n"/>
      <c r="H4781" s="74" t="n"/>
      <c r="I4781" s="74" t="n"/>
      <c r="J4781" s="77" t="n"/>
      <c r="K4781" s="77" t="n"/>
      <c r="L4781" s="74" t="n"/>
      <c r="M4781" s="74" t="n"/>
      <c r="O4781" s="78">
        <f>IF($A4781="","",YEAR($A4781)*100+MONTH($A4781))</f>
        <v/>
      </c>
      <c r="P4781" s="79">
        <f>IF(OR($F4781="",$D4781=""),"",IF($D4781="Receita",$F4781,IF($D4781="Transferência",0,-$F4781)))</f>
        <v/>
      </c>
    </row>
    <row r="4782">
      <c r="A4782" s="73" t="n"/>
      <c r="B4782" s="74" t="n"/>
      <c r="C4782" s="74" t="n"/>
      <c r="D4782" s="75">
        <f>IF($C4782="","",IFERROR(INDEX(CAT_TIPO,MATCH($C4782,CAT_NOME,0)),"Sem categoria"))</f>
        <v/>
      </c>
      <c r="E4782" s="75">
        <f>IF($C4782="","",IFERROR(INDEX(CAT_GRUPO,MATCH($C4782,CAT_NOME,0)),"Sem categoria"))</f>
        <v/>
      </c>
      <c r="F4782" s="76" t="n"/>
      <c r="G4782" s="74" t="n"/>
      <c r="H4782" s="74" t="n"/>
      <c r="I4782" s="74" t="n"/>
      <c r="J4782" s="77" t="n"/>
      <c r="K4782" s="77" t="n"/>
      <c r="L4782" s="74" t="n"/>
      <c r="M4782" s="74" t="n"/>
      <c r="O4782" s="78">
        <f>IF($A4782="","",YEAR($A4782)*100+MONTH($A4782))</f>
        <v/>
      </c>
      <c r="P4782" s="79">
        <f>IF(OR($F4782="",$D4782=""),"",IF($D4782="Receita",$F4782,IF($D4782="Transferência",0,-$F4782)))</f>
        <v/>
      </c>
    </row>
    <row r="4783">
      <c r="A4783" s="73" t="n"/>
      <c r="B4783" s="74" t="n"/>
      <c r="C4783" s="74" t="n"/>
      <c r="D4783" s="75">
        <f>IF($C4783="","",IFERROR(INDEX(CAT_TIPO,MATCH($C4783,CAT_NOME,0)),"Sem categoria"))</f>
        <v/>
      </c>
      <c r="E4783" s="75">
        <f>IF($C4783="","",IFERROR(INDEX(CAT_GRUPO,MATCH($C4783,CAT_NOME,0)),"Sem categoria"))</f>
        <v/>
      </c>
      <c r="F4783" s="76" t="n"/>
      <c r="G4783" s="74" t="n"/>
      <c r="H4783" s="74" t="n"/>
      <c r="I4783" s="74" t="n"/>
      <c r="J4783" s="77" t="n"/>
      <c r="K4783" s="77" t="n"/>
      <c r="L4783" s="74" t="n"/>
      <c r="M4783" s="74" t="n"/>
      <c r="O4783" s="78">
        <f>IF($A4783="","",YEAR($A4783)*100+MONTH($A4783))</f>
        <v/>
      </c>
      <c r="P4783" s="79">
        <f>IF(OR($F4783="",$D4783=""),"",IF($D4783="Receita",$F4783,IF($D4783="Transferência",0,-$F4783)))</f>
        <v/>
      </c>
    </row>
    <row r="4784">
      <c r="A4784" s="73" t="n"/>
      <c r="B4784" s="74" t="n"/>
      <c r="C4784" s="74" t="n"/>
      <c r="D4784" s="75">
        <f>IF($C4784="","",IFERROR(INDEX(CAT_TIPO,MATCH($C4784,CAT_NOME,0)),"Sem categoria"))</f>
        <v/>
      </c>
      <c r="E4784" s="75">
        <f>IF($C4784="","",IFERROR(INDEX(CAT_GRUPO,MATCH($C4784,CAT_NOME,0)),"Sem categoria"))</f>
        <v/>
      </c>
      <c r="F4784" s="76" t="n"/>
      <c r="G4784" s="74" t="n"/>
      <c r="H4784" s="74" t="n"/>
      <c r="I4784" s="74" t="n"/>
      <c r="J4784" s="77" t="n"/>
      <c r="K4784" s="77" t="n"/>
      <c r="L4784" s="74" t="n"/>
      <c r="M4784" s="74" t="n"/>
      <c r="O4784" s="78">
        <f>IF($A4784="","",YEAR($A4784)*100+MONTH($A4784))</f>
        <v/>
      </c>
      <c r="P4784" s="79">
        <f>IF(OR($F4784="",$D4784=""),"",IF($D4784="Receita",$F4784,IF($D4784="Transferência",0,-$F4784)))</f>
        <v/>
      </c>
    </row>
    <row r="4785">
      <c r="A4785" s="73" t="n"/>
      <c r="B4785" s="74" t="n"/>
      <c r="C4785" s="74" t="n"/>
      <c r="D4785" s="75">
        <f>IF($C4785="","",IFERROR(INDEX(CAT_TIPO,MATCH($C4785,CAT_NOME,0)),"Sem categoria"))</f>
        <v/>
      </c>
      <c r="E4785" s="75">
        <f>IF($C4785="","",IFERROR(INDEX(CAT_GRUPO,MATCH($C4785,CAT_NOME,0)),"Sem categoria"))</f>
        <v/>
      </c>
      <c r="F4785" s="76" t="n"/>
      <c r="G4785" s="74" t="n"/>
      <c r="H4785" s="74" t="n"/>
      <c r="I4785" s="74" t="n"/>
      <c r="J4785" s="77" t="n"/>
      <c r="K4785" s="77" t="n"/>
      <c r="L4785" s="74" t="n"/>
      <c r="M4785" s="74" t="n"/>
      <c r="O4785" s="78">
        <f>IF($A4785="","",YEAR($A4785)*100+MONTH($A4785))</f>
        <v/>
      </c>
      <c r="P4785" s="79">
        <f>IF(OR($F4785="",$D4785=""),"",IF($D4785="Receita",$F4785,IF($D4785="Transferência",0,-$F4785)))</f>
        <v/>
      </c>
    </row>
    <row r="4786">
      <c r="A4786" s="73" t="n"/>
      <c r="B4786" s="74" t="n"/>
      <c r="C4786" s="74" t="n"/>
      <c r="D4786" s="75">
        <f>IF($C4786="","",IFERROR(INDEX(CAT_TIPO,MATCH($C4786,CAT_NOME,0)),"Sem categoria"))</f>
        <v/>
      </c>
      <c r="E4786" s="75">
        <f>IF($C4786="","",IFERROR(INDEX(CAT_GRUPO,MATCH($C4786,CAT_NOME,0)),"Sem categoria"))</f>
        <v/>
      </c>
      <c r="F4786" s="76" t="n"/>
      <c r="G4786" s="74" t="n"/>
      <c r="H4786" s="74" t="n"/>
      <c r="I4786" s="74" t="n"/>
      <c r="J4786" s="77" t="n"/>
      <c r="K4786" s="77" t="n"/>
      <c r="L4786" s="74" t="n"/>
      <c r="M4786" s="74" t="n"/>
      <c r="O4786" s="78">
        <f>IF($A4786="","",YEAR($A4786)*100+MONTH($A4786))</f>
        <v/>
      </c>
      <c r="P4786" s="79">
        <f>IF(OR($F4786="",$D4786=""),"",IF($D4786="Receita",$F4786,IF($D4786="Transferência",0,-$F4786)))</f>
        <v/>
      </c>
    </row>
    <row r="4787">
      <c r="A4787" s="73" t="n"/>
      <c r="B4787" s="74" t="n"/>
      <c r="C4787" s="74" t="n"/>
      <c r="D4787" s="75">
        <f>IF($C4787="","",IFERROR(INDEX(CAT_TIPO,MATCH($C4787,CAT_NOME,0)),"Sem categoria"))</f>
        <v/>
      </c>
      <c r="E4787" s="75">
        <f>IF($C4787="","",IFERROR(INDEX(CAT_GRUPO,MATCH($C4787,CAT_NOME,0)),"Sem categoria"))</f>
        <v/>
      </c>
      <c r="F4787" s="76" t="n"/>
      <c r="G4787" s="74" t="n"/>
      <c r="H4787" s="74" t="n"/>
      <c r="I4787" s="74" t="n"/>
      <c r="J4787" s="77" t="n"/>
      <c r="K4787" s="77" t="n"/>
      <c r="L4787" s="74" t="n"/>
      <c r="M4787" s="74" t="n"/>
      <c r="O4787" s="78">
        <f>IF($A4787="","",YEAR($A4787)*100+MONTH($A4787))</f>
        <v/>
      </c>
      <c r="P4787" s="79">
        <f>IF(OR($F4787="",$D4787=""),"",IF($D4787="Receita",$F4787,IF($D4787="Transferência",0,-$F4787)))</f>
        <v/>
      </c>
    </row>
    <row r="4788">
      <c r="A4788" s="73" t="n"/>
      <c r="B4788" s="74" t="n"/>
      <c r="C4788" s="74" t="n"/>
      <c r="D4788" s="75">
        <f>IF($C4788="","",IFERROR(INDEX(CAT_TIPO,MATCH($C4788,CAT_NOME,0)),"Sem categoria"))</f>
        <v/>
      </c>
      <c r="E4788" s="75">
        <f>IF($C4788="","",IFERROR(INDEX(CAT_GRUPO,MATCH($C4788,CAT_NOME,0)),"Sem categoria"))</f>
        <v/>
      </c>
      <c r="F4788" s="76" t="n"/>
      <c r="G4788" s="74" t="n"/>
      <c r="H4788" s="74" t="n"/>
      <c r="I4788" s="74" t="n"/>
      <c r="J4788" s="77" t="n"/>
      <c r="K4788" s="77" t="n"/>
      <c r="L4788" s="74" t="n"/>
      <c r="M4788" s="74" t="n"/>
      <c r="O4788" s="78">
        <f>IF($A4788="","",YEAR($A4788)*100+MONTH($A4788))</f>
        <v/>
      </c>
      <c r="P4788" s="79">
        <f>IF(OR($F4788="",$D4788=""),"",IF($D4788="Receita",$F4788,IF($D4788="Transferência",0,-$F4788)))</f>
        <v/>
      </c>
    </row>
    <row r="4789">
      <c r="A4789" s="73" t="n"/>
      <c r="B4789" s="74" t="n"/>
      <c r="C4789" s="74" t="n"/>
      <c r="D4789" s="75">
        <f>IF($C4789="","",IFERROR(INDEX(CAT_TIPO,MATCH($C4789,CAT_NOME,0)),"Sem categoria"))</f>
        <v/>
      </c>
      <c r="E4789" s="75">
        <f>IF($C4789="","",IFERROR(INDEX(CAT_GRUPO,MATCH($C4789,CAT_NOME,0)),"Sem categoria"))</f>
        <v/>
      </c>
      <c r="F4789" s="76" t="n"/>
      <c r="G4789" s="74" t="n"/>
      <c r="H4789" s="74" t="n"/>
      <c r="I4789" s="74" t="n"/>
      <c r="J4789" s="77" t="n"/>
      <c r="K4789" s="77" t="n"/>
      <c r="L4789" s="74" t="n"/>
      <c r="M4789" s="74" t="n"/>
      <c r="O4789" s="78">
        <f>IF($A4789="","",YEAR($A4789)*100+MONTH($A4789))</f>
        <v/>
      </c>
      <c r="P4789" s="79">
        <f>IF(OR($F4789="",$D4789=""),"",IF($D4789="Receita",$F4789,IF($D4789="Transferência",0,-$F4789)))</f>
        <v/>
      </c>
    </row>
    <row r="4790">
      <c r="A4790" s="73" t="n"/>
      <c r="B4790" s="74" t="n"/>
      <c r="C4790" s="74" t="n"/>
      <c r="D4790" s="75">
        <f>IF($C4790="","",IFERROR(INDEX(CAT_TIPO,MATCH($C4790,CAT_NOME,0)),"Sem categoria"))</f>
        <v/>
      </c>
      <c r="E4790" s="75">
        <f>IF($C4790="","",IFERROR(INDEX(CAT_GRUPO,MATCH($C4790,CAT_NOME,0)),"Sem categoria"))</f>
        <v/>
      </c>
      <c r="F4790" s="76" t="n"/>
      <c r="G4790" s="74" t="n"/>
      <c r="H4790" s="74" t="n"/>
      <c r="I4790" s="74" t="n"/>
      <c r="J4790" s="77" t="n"/>
      <c r="K4790" s="77" t="n"/>
      <c r="L4790" s="74" t="n"/>
      <c r="M4790" s="74" t="n"/>
      <c r="O4790" s="78">
        <f>IF($A4790="","",YEAR($A4790)*100+MONTH($A4790))</f>
        <v/>
      </c>
      <c r="P4790" s="79">
        <f>IF(OR($F4790="",$D4790=""),"",IF($D4790="Receita",$F4790,IF($D4790="Transferência",0,-$F4790)))</f>
        <v/>
      </c>
    </row>
    <row r="4791">
      <c r="A4791" s="73" t="n"/>
      <c r="B4791" s="74" t="n"/>
      <c r="C4791" s="74" t="n"/>
      <c r="D4791" s="75">
        <f>IF($C4791="","",IFERROR(INDEX(CAT_TIPO,MATCH($C4791,CAT_NOME,0)),"Sem categoria"))</f>
        <v/>
      </c>
      <c r="E4791" s="75">
        <f>IF($C4791="","",IFERROR(INDEX(CAT_GRUPO,MATCH($C4791,CAT_NOME,0)),"Sem categoria"))</f>
        <v/>
      </c>
      <c r="F4791" s="76" t="n"/>
      <c r="G4791" s="74" t="n"/>
      <c r="H4791" s="74" t="n"/>
      <c r="I4791" s="74" t="n"/>
      <c r="J4791" s="77" t="n"/>
      <c r="K4791" s="77" t="n"/>
      <c r="L4791" s="74" t="n"/>
      <c r="M4791" s="74" t="n"/>
      <c r="O4791" s="78">
        <f>IF($A4791="","",YEAR($A4791)*100+MONTH($A4791))</f>
        <v/>
      </c>
      <c r="P4791" s="79">
        <f>IF(OR($F4791="",$D4791=""),"",IF($D4791="Receita",$F4791,IF($D4791="Transferência",0,-$F4791)))</f>
        <v/>
      </c>
    </row>
    <row r="4792">
      <c r="A4792" s="73" t="n"/>
      <c r="B4792" s="74" t="n"/>
      <c r="C4792" s="74" t="n"/>
      <c r="D4792" s="75">
        <f>IF($C4792="","",IFERROR(INDEX(CAT_TIPO,MATCH($C4792,CAT_NOME,0)),"Sem categoria"))</f>
        <v/>
      </c>
      <c r="E4792" s="75">
        <f>IF($C4792="","",IFERROR(INDEX(CAT_GRUPO,MATCH($C4792,CAT_NOME,0)),"Sem categoria"))</f>
        <v/>
      </c>
      <c r="F4792" s="76" t="n"/>
      <c r="G4792" s="74" t="n"/>
      <c r="H4792" s="74" t="n"/>
      <c r="I4792" s="74" t="n"/>
      <c r="J4792" s="77" t="n"/>
      <c r="K4792" s="77" t="n"/>
      <c r="L4792" s="74" t="n"/>
      <c r="M4792" s="74" t="n"/>
      <c r="O4792" s="78">
        <f>IF($A4792="","",YEAR($A4792)*100+MONTH($A4792))</f>
        <v/>
      </c>
      <c r="P4792" s="79">
        <f>IF(OR($F4792="",$D4792=""),"",IF($D4792="Receita",$F4792,IF($D4792="Transferência",0,-$F4792)))</f>
        <v/>
      </c>
    </row>
    <row r="4793">
      <c r="A4793" s="73" t="n"/>
      <c r="B4793" s="74" t="n"/>
      <c r="C4793" s="74" t="n"/>
      <c r="D4793" s="75">
        <f>IF($C4793="","",IFERROR(INDEX(CAT_TIPO,MATCH($C4793,CAT_NOME,0)),"Sem categoria"))</f>
        <v/>
      </c>
      <c r="E4793" s="75">
        <f>IF($C4793="","",IFERROR(INDEX(CAT_GRUPO,MATCH($C4793,CAT_NOME,0)),"Sem categoria"))</f>
        <v/>
      </c>
      <c r="F4793" s="76" t="n"/>
      <c r="G4793" s="74" t="n"/>
      <c r="H4793" s="74" t="n"/>
      <c r="I4793" s="74" t="n"/>
      <c r="J4793" s="77" t="n"/>
      <c r="K4793" s="77" t="n"/>
      <c r="L4793" s="74" t="n"/>
      <c r="M4793" s="74" t="n"/>
      <c r="O4793" s="78">
        <f>IF($A4793="","",YEAR($A4793)*100+MONTH($A4793))</f>
        <v/>
      </c>
      <c r="P4793" s="79">
        <f>IF(OR($F4793="",$D4793=""),"",IF($D4793="Receita",$F4793,IF($D4793="Transferência",0,-$F4793)))</f>
        <v/>
      </c>
    </row>
    <row r="4794">
      <c r="A4794" s="73" t="n"/>
      <c r="B4794" s="74" t="n"/>
      <c r="C4794" s="74" t="n"/>
      <c r="D4794" s="75">
        <f>IF($C4794="","",IFERROR(INDEX(CAT_TIPO,MATCH($C4794,CAT_NOME,0)),"Sem categoria"))</f>
        <v/>
      </c>
      <c r="E4794" s="75">
        <f>IF($C4794="","",IFERROR(INDEX(CAT_GRUPO,MATCH($C4794,CAT_NOME,0)),"Sem categoria"))</f>
        <v/>
      </c>
      <c r="F4794" s="76" t="n"/>
      <c r="G4794" s="74" t="n"/>
      <c r="H4794" s="74" t="n"/>
      <c r="I4794" s="74" t="n"/>
      <c r="J4794" s="77" t="n"/>
      <c r="K4794" s="77" t="n"/>
      <c r="L4794" s="74" t="n"/>
      <c r="M4794" s="74" t="n"/>
      <c r="O4794" s="78">
        <f>IF($A4794="","",YEAR($A4794)*100+MONTH($A4794))</f>
        <v/>
      </c>
      <c r="P4794" s="79">
        <f>IF(OR($F4794="",$D4794=""),"",IF($D4794="Receita",$F4794,IF($D4794="Transferência",0,-$F4794)))</f>
        <v/>
      </c>
    </row>
    <row r="4795">
      <c r="A4795" s="73" t="n"/>
      <c r="B4795" s="74" t="n"/>
      <c r="C4795" s="74" t="n"/>
      <c r="D4795" s="75">
        <f>IF($C4795="","",IFERROR(INDEX(CAT_TIPO,MATCH($C4795,CAT_NOME,0)),"Sem categoria"))</f>
        <v/>
      </c>
      <c r="E4795" s="75">
        <f>IF($C4795="","",IFERROR(INDEX(CAT_GRUPO,MATCH($C4795,CAT_NOME,0)),"Sem categoria"))</f>
        <v/>
      </c>
      <c r="F4795" s="76" t="n"/>
      <c r="G4795" s="74" t="n"/>
      <c r="H4795" s="74" t="n"/>
      <c r="I4795" s="74" t="n"/>
      <c r="J4795" s="77" t="n"/>
      <c r="K4795" s="77" t="n"/>
      <c r="L4795" s="74" t="n"/>
      <c r="M4795" s="74" t="n"/>
      <c r="O4795" s="78">
        <f>IF($A4795="","",YEAR($A4795)*100+MONTH($A4795))</f>
        <v/>
      </c>
      <c r="P4795" s="79">
        <f>IF(OR($F4795="",$D4795=""),"",IF($D4795="Receita",$F4795,IF($D4795="Transferência",0,-$F4795)))</f>
        <v/>
      </c>
    </row>
    <row r="4796">
      <c r="A4796" s="73" t="n"/>
      <c r="B4796" s="74" t="n"/>
      <c r="C4796" s="74" t="n"/>
      <c r="D4796" s="75">
        <f>IF($C4796="","",IFERROR(INDEX(CAT_TIPO,MATCH($C4796,CAT_NOME,0)),"Sem categoria"))</f>
        <v/>
      </c>
      <c r="E4796" s="75">
        <f>IF($C4796="","",IFERROR(INDEX(CAT_GRUPO,MATCH($C4796,CAT_NOME,0)),"Sem categoria"))</f>
        <v/>
      </c>
      <c r="F4796" s="76" t="n"/>
      <c r="G4796" s="74" t="n"/>
      <c r="H4796" s="74" t="n"/>
      <c r="I4796" s="74" t="n"/>
      <c r="J4796" s="77" t="n"/>
      <c r="K4796" s="77" t="n"/>
      <c r="L4796" s="74" t="n"/>
      <c r="M4796" s="74" t="n"/>
      <c r="O4796" s="78">
        <f>IF($A4796="","",YEAR($A4796)*100+MONTH($A4796))</f>
        <v/>
      </c>
      <c r="P4796" s="79">
        <f>IF(OR($F4796="",$D4796=""),"",IF($D4796="Receita",$F4796,IF($D4796="Transferência",0,-$F4796)))</f>
        <v/>
      </c>
    </row>
    <row r="4797">
      <c r="A4797" s="73" t="n"/>
      <c r="B4797" s="74" t="n"/>
      <c r="C4797" s="74" t="n"/>
      <c r="D4797" s="75">
        <f>IF($C4797="","",IFERROR(INDEX(CAT_TIPO,MATCH($C4797,CAT_NOME,0)),"Sem categoria"))</f>
        <v/>
      </c>
      <c r="E4797" s="75">
        <f>IF($C4797="","",IFERROR(INDEX(CAT_GRUPO,MATCH($C4797,CAT_NOME,0)),"Sem categoria"))</f>
        <v/>
      </c>
      <c r="F4797" s="76" t="n"/>
      <c r="G4797" s="74" t="n"/>
      <c r="H4797" s="74" t="n"/>
      <c r="I4797" s="74" t="n"/>
      <c r="J4797" s="77" t="n"/>
      <c r="K4797" s="77" t="n"/>
      <c r="L4797" s="74" t="n"/>
      <c r="M4797" s="74" t="n"/>
      <c r="O4797" s="78">
        <f>IF($A4797="","",YEAR($A4797)*100+MONTH($A4797))</f>
        <v/>
      </c>
      <c r="P4797" s="79">
        <f>IF(OR($F4797="",$D4797=""),"",IF($D4797="Receita",$F4797,IF($D4797="Transferência",0,-$F4797)))</f>
        <v/>
      </c>
    </row>
    <row r="4798">
      <c r="A4798" s="73" t="n"/>
      <c r="B4798" s="74" t="n"/>
      <c r="C4798" s="74" t="n"/>
      <c r="D4798" s="75">
        <f>IF($C4798="","",IFERROR(INDEX(CAT_TIPO,MATCH($C4798,CAT_NOME,0)),"Sem categoria"))</f>
        <v/>
      </c>
      <c r="E4798" s="75">
        <f>IF($C4798="","",IFERROR(INDEX(CAT_GRUPO,MATCH($C4798,CAT_NOME,0)),"Sem categoria"))</f>
        <v/>
      </c>
      <c r="F4798" s="76" t="n"/>
      <c r="G4798" s="74" t="n"/>
      <c r="H4798" s="74" t="n"/>
      <c r="I4798" s="74" t="n"/>
      <c r="J4798" s="77" t="n"/>
      <c r="K4798" s="77" t="n"/>
      <c r="L4798" s="74" t="n"/>
      <c r="M4798" s="74" t="n"/>
      <c r="O4798" s="78">
        <f>IF($A4798="","",YEAR($A4798)*100+MONTH($A4798))</f>
        <v/>
      </c>
      <c r="P4798" s="79">
        <f>IF(OR($F4798="",$D4798=""),"",IF($D4798="Receita",$F4798,IF($D4798="Transferência",0,-$F4798)))</f>
        <v/>
      </c>
    </row>
    <row r="4799">
      <c r="A4799" s="73" t="n"/>
      <c r="B4799" s="74" t="n"/>
      <c r="C4799" s="74" t="n"/>
      <c r="D4799" s="75">
        <f>IF($C4799="","",IFERROR(INDEX(CAT_TIPO,MATCH($C4799,CAT_NOME,0)),"Sem categoria"))</f>
        <v/>
      </c>
      <c r="E4799" s="75">
        <f>IF($C4799="","",IFERROR(INDEX(CAT_GRUPO,MATCH($C4799,CAT_NOME,0)),"Sem categoria"))</f>
        <v/>
      </c>
      <c r="F4799" s="76" t="n"/>
      <c r="G4799" s="74" t="n"/>
      <c r="H4799" s="74" t="n"/>
      <c r="I4799" s="74" t="n"/>
      <c r="J4799" s="77" t="n"/>
      <c r="K4799" s="77" t="n"/>
      <c r="L4799" s="74" t="n"/>
      <c r="M4799" s="74" t="n"/>
      <c r="O4799" s="78">
        <f>IF($A4799="","",YEAR($A4799)*100+MONTH($A4799))</f>
        <v/>
      </c>
      <c r="P4799" s="79">
        <f>IF(OR($F4799="",$D4799=""),"",IF($D4799="Receita",$F4799,IF($D4799="Transferência",0,-$F4799)))</f>
        <v/>
      </c>
    </row>
    <row r="4800">
      <c r="A4800" s="73" t="n"/>
      <c r="B4800" s="74" t="n"/>
      <c r="C4800" s="74" t="n"/>
      <c r="D4800" s="75">
        <f>IF($C4800="","",IFERROR(INDEX(CAT_TIPO,MATCH($C4800,CAT_NOME,0)),"Sem categoria"))</f>
        <v/>
      </c>
      <c r="E4800" s="75">
        <f>IF($C4800="","",IFERROR(INDEX(CAT_GRUPO,MATCH($C4800,CAT_NOME,0)),"Sem categoria"))</f>
        <v/>
      </c>
      <c r="F4800" s="76" t="n"/>
      <c r="G4800" s="74" t="n"/>
      <c r="H4800" s="74" t="n"/>
      <c r="I4800" s="74" t="n"/>
      <c r="J4800" s="77" t="n"/>
      <c r="K4800" s="77" t="n"/>
      <c r="L4800" s="74" t="n"/>
      <c r="M4800" s="74" t="n"/>
      <c r="O4800" s="78">
        <f>IF($A4800="","",YEAR($A4800)*100+MONTH($A4800))</f>
        <v/>
      </c>
      <c r="P4800" s="79">
        <f>IF(OR($F4800="",$D4800=""),"",IF($D4800="Receita",$F4800,IF($D4800="Transferência",0,-$F4800)))</f>
        <v/>
      </c>
    </row>
    <row r="4801">
      <c r="A4801" s="73" t="n"/>
      <c r="B4801" s="74" t="n"/>
      <c r="C4801" s="74" t="n"/>
      <c r="D4801" s="75">
        <f>IF($C4801="","",IFERROR(INDEX(CAT_TIPO,MATCH($C4801,CAT_NOME,0)),"Sem categoria"))</f>
        <v/>
      </c>
      <c r="E4801" s="75">
        <f>IF($C4801="","",IFERROR(INDEX(CAT_GRUPO,MATCH($C4801,CAT_NOME,0)),"Sem categoria"))</f>
        <v/>
      </c>
      <c r="F4801" s="76" t="n"/>
      <c r="G4801" s="74" t="n"/>
      <c r="H4801" s="74" t="n"/>
      <c r="I4801" s="74" t="n"/>
      <c r="J4801" s="77" t="n"/>
      <c r="K4801" s="77" t="n"/>
      <c r="L4801" s="74" t="n"/>
      <c r="M4801" s="74" t="n"/>
      <c r="O4801" s="78">
        <f>IF($A4801="","",YEAR($A4801)*100+MONTH($A4801))</f>
        <v/>
      </c>
      <c r="P4801" s="79">
        <f>IF(OR($F4801="",$D4801=""),"",IF($D4801="Receita",$F4801,IF($D4801="Transferência",0,-$F4801)))</f>
        <v/>
      </c>
    </row>
    <row r="4802">
      <c r="A4802" s="73" t="n"/>
      <c r="B4802" s="74" t="n"/>
      <c r="C4802" s="74" t="n"/>
      <c r="D4802" s="75">
        <f>IF($C4802="","",IFERROR(INDEX(CAT_TIPO,MATCH($C4802,CAT_NOME,0)),"Sem categoria"))</f>
        <v/>
      </c>
      <c r="E4802" s="75">
        <f>IF($C4802="","",IFERROR(INDEX(CAT_GRUPO,MATCH($C4802,CAT_NOME,0)),"Sem categoria"))</f>
        <v/>
      </c>
      <c r="F4802" s="76" t="n"/>
      <c r="G4802" s="74" t="n"/>
      <c r="H4802" s="74" t="n"/>
      <c r="I4802" s="74" t="n"/>
      <c r="J4802" s="77" t="n"/>
      <c r="K4802" s="77" t="n"/>
      <c r="L4802" s="74" t="n"/>
      <c r="M4802" s="74" t="n"/>
      <c r="O4802" s="78">
        <f>IF($A4802="","",YEAR($A4802)*100+MONTH($A4802))</f>
        <v/>
      </c>
      <c r="P4802" s="79">
        <f>IF(OR($F4802="",$D4802=""),"",IF($D4802="Receita",$F4802,IF($D4802="Transferência",0,-$F4802)))</f>
        <v/>
      </c>
    </row>
    <row r="4803">
      <c r="A4803" s="73" t="n"/>
      <c r="B4803" s="74" t="n"/>
      <c r="C4803" s="74" t="n"/>
      <c r="D4803" s="75">
        <f>IF($C4803="","",IFERROR(INDEX(CAT_TIPO,MATCH($C4803,CAT_NOME,0)),"Sem categoria"))</f>
        <v/>
      </c>
      <c r="E4803" s="75">
        <f>IF($C4803="","",IFERROR(INDEX(CAT_GRUPO,MATCH($C4803,CAT_NOME,0)),"Sem categoria"))</f>
        <v/>
      </c>
      <c r="F4803" s="76" t="n"/>
      <c r="G4803" s="74" t="n"/>
      <c r="H4803" s="74" t="n"/>
      <c r="I4803" s="74" t="n"/>
      <c r="J4803" s="77" t="n"/>
      <c r="K4803" s="77" t="n"/>
      <c r="L4803" s="74" t="n"/>
      <c r="M4803" s="74" t="n"/>
      <c r="O4803" s="78">
        <f>IF($A4803="","",YEAR($A4803)*100+MONTH($A4803))</f>
        <v/>
      </c>
      <c r="P4803" s="79">
        <f>IF(OR($F4803="",$D4803=""),"",IF($D4803="Receita",$F4803,IF($D4803="Transferência",0,-$F4803)))</f>
        <v/>
      </c>
    </row>
    <row r="4804">
      <c r="A4804" s="73" t="n"/>
      <c r="B4804" s="74" t="n"/>
      <c r="C4804" s="74" t="n"/>
      <c r="D4804" s="75">
        <f>IF($C4804="","",IFERROR(INDEX(CAT_TIPO,MATCH($C4804,CAT_NOME,0)),"Sem categoria"))</f>
        <v/>
      </c>
      <c r="E4804" s="75">
        <f>IF($C4804="","",IFERROR(INDEX(CAT_GRUPO,MATCH($C4804,CAT_NOME,0)),"Sem categoria"))</f>
        <v/>
      </c>
      <c r="F4804" s="76" t="n"/>
      <c r="G4804" s="74" t="n"/>
      <c r="H4804" s="74" t="n"/>
      <c r="I4804" s="74" t="n"/>
      <c r="J4804" s="77" t="n"/>
      <c r="K4804" s="77" t="n"/>
      <c r="L4804" s="74" t="n"/>
      <c r="M4804" s="74" t="n"/>
      <c r="O4804" s="78">
        <f>IF($A4804="","",YEAR($A4804)*100+MONTH($A4804))</f>
        <v/>
      </c>
      <c r="P4804" s="79">
        <f>IF(OR($F4804="",$D4804=""),"",IF($D4804="Receita",$F4804,IF($D4804="Transferência",0,-$F4804)))</f>
        <v/>
      </c>
    </row>
    <row r="4805">
      <c r="A4805" s="73" t="n"/>
      <c r="B4805" s="74" t="n"/>
      <c r="C4805" s="74" t="n"/>
      <c r="D4805" s="75">
        <f>IF($C4805="","",IFERROR(INDEX(CAT_TIPO,MATCH($C4805,CAT_NOME,0)),"Sem categoria"))</f>
        <v/>
      </c>
      <c r="E4805" s="75">
        <f>IF($C4805="","",IFERROR(INDEX(CAT_GRUPO,MATCH($C4805,CAT_NOME,0)),"Sem categoria"))</f>
        <v/>
      </c>
      <c r="F4805" s="76" t="n"/>
      <c r="G4805" s="74" t="n"/>
      <c r="H4805" s="74" t="n"/>
      <c r="I4805" s="74" t="n"/>
      <c r="J4805" s="77" t="n"/>
      <c r="K4805" s="77" t="n"/>
      <c r="L4805" s="74" t="n"/>
      <c r="M4805" s="74" t="n"/>
      <c r="O4805" s="78">
        <f>IF($A4805="","",YEAR($A4805)*100+MONTH($A4805))</f>
        <v/>
      </c>
      <c r="P4805" s="79">
        <f>IF(OR($F4805="",$D4805=""),"",IF($D4805="Receita",$F4805,IF($D4805="Transferência",0,-$F4805)))</f>
        <v/>
      </c>
    </row>
    <row r="4806">
      <c r="A4806" s="73" t="n"/>
      <c r="B4806" s="74" t="n"/>
      <c r="C4806" s="74" t="n"/>
      <c r="D4806" s="75">
        <f>IF($C4806="","",IFERROR(INDEX(CAT_TIPO,MATCH($C4806,CAT_NOME,0)),"Sem categoria"))</f>
        <v/>
      </c>
      <c r="E4806" s="75">
        <f>IF($C4806="","",IFERROR(INDEX(CAT_GRUPO,MATCH($C4806,CAT_NOME,0)),"Sem categoria"))</f>
        <v/>
      </c>
      <c r="F4806" s="76" t="n"/>
      <c r="G4806" s="74" t="n"/>
      <c r="H4806" s="74" t="n"/>
      <c r="I4806" s="74" t="n"/>
      <c r="J4806" s="77" t="n"/>
      <c r="K4806" s="77" t="n"/>
      <c r="L4806" s="74" t="n"/>
      <c r="M4806" s="74" t="n"/>
      <c r="O4806" s="78">
        <f>IF($A4806="","",YEAR($A4806)*100+MONTH($A4806))</f>
        <v/>
      </c>
      <c r="P4806" s="79">
        <f>IF(OR($F4806="",$D4806=""),"",IF($D4806="Receita",$F4806,IF($D4806="Transferência",0,-$F4806)))</f>
        <v/>
      </c>
    </row>
    <row r="4807">
      <c r="A4807" s="73" t="n"/>
      <c r="B4807" s="74" t="n"/>
      <c r="C4807" s="74" t="n"/>
      <c r="D4807" s="75">
        <f>IF($C4807="","",IFERROR(INDEX(CAT_TIPO,MATCH($C4807,CAT_NOME,0)),"Sem categoria"))</f>
        <v/>
      </c>
      <c r="E4807" s="75">
        <f>IF($C4807="","",IFERROR(INDEX(CAT_GRUPO,MATCH($C4807,CAT_NOME,0)),"Sem categoria"))</f>
        <v/>
      </c>
      <c r="F4807" s="76" t="n"/>
      <c r="G4807" s="74" t="n"/>
      <c r="H4807" s="74" t="n"/>
      <c r="I4807" s="74" t="n"/>
      <c r="J4807" s="77" t="n"/>
      <c r="K4807" s="77" t="n"/>
      <c r="L4807" s="74" t="n"/>
      <c r="M4807" s="74" t="n"/>
      <c r="O4807" s="78">
        <f>IF($A4807="","",YEAR($A4807)*100+MONTH($A4807))</f>
        <v/>
      </c>
      <c r="P4807" s="79">
        <f>IF(OR($F4807="",$D4807=""),"",IF($D4807="Receita",$F4807,IF($D4807="Transferência",0,-$F4807)))</f>
        <v/>
      </c>
    </row>
    <row r="4808">
      <c r="A4808" s="73" t="n"/>
      <c r="B4808" s="74" t="n"/>
      <c r="C4808" s="74" t="n"/>
      <c r="D4808" s="75">
        <f>IF($C4808="","",IFERROR(INDEX(CAT_TIPO,MATCH($C4808,CAT_NOME,0)),"Sem categoria"))</f>
        <v/>
      </c>
      <c r="E4808" s="75">
        <f>IF($C4808="","",IFERROR(INDEX(CAT_GRUPO,MATCH($C4808,CAT_NOME,0)),"Sem categoria"))</f>
        <v/>
      </c>
      <c r="F4808" s="76" t="n"/>
      <c r="G4808" s="74" t="n"/>
      <c r="H4808" s="74" t="n"/>
      <c r="I4808" s="74" t="n"/>
      <c r="J4808" s="77" t="n"/>
      <c r="K4808" s="77" t="n"/>
      <c r="L4808" s="74" t="n"/>
      <c r="M4808" s="74" t="n"/>
      <c r="O4808" s="78">
        <f>IF($A4808="","",YEAR($A4808)*100+MONTH($A4808))</f>
        <v/>
      </c>
      <c r="P4808" s="79">
        <f>IF(OR($F4808="",$D4808=""),"",IF($D4808="Receita",$F4808,IF($D4808="Transferência",0,-$F4808)))</f>
        <v/>
      </c>
    </row>
    <row r="4809">
      <c r="A4809" s="73" t="n"/>
      <c r="B4809" s="74" t="n"/>
      <c r="C4809" s="74" t="n"/>
      <c r="D4809" s="75">
        <f>IF($C4809="","",IFERROR(INDEX(CAT_TIPO,MATCH($C4809,CAT_NOME,0)),"Sem categoria"))</f>
        <v/>
      </c>
      <c r="E4809" s="75">
        <f>IF($C4809="","",IFERROR(INDEX(CAT_GRUPO,MATCH($C4809,CAT_NOME,0)),"Sem categoria"))</f>
        <v/>
      </c>
      <c r="F4809" s="76" t="n"/>
      <c r="G4809" s="74" t="n"/>
      <c r="H4809" s="74" t="n"/>
      <c r="I4809" s="74" t="n"/>
      <c r="J4809" s="77" t="n"/>
      <c r="K4809" s="77" t="n"/>
      <c r="L4809" s="74" t="n"/>
      <c r="M4809" s="74" t="n"/>
      <c r="O4809" s="78">
        <f>IF($A4809="","",YEAR($A4809)*100+MONTH($A4809))</f>
        <v/>
      </c>
      <c r="P4809" s="79">
        <f>IF(OR($F4809="",$D4809=""),"",IF($D4809="Receita",$F4809,IF($D4809="Transferência",0,-$F4809)))</f>
        <v/>
      </c>
    </row>
    <row r="4810">
      <c r="A4810" s="73" t="n"/>
      <c r="B4810" s="74" t="n"/>
      <c r="C4810" s="74" t="n"/>
      <c r="D4810" s="75">
        <f>IF($C4810="","",IFERROR(INDEX(CAT_TIPO,MATCH($C4810,CAT_NOME,0)),"Sem categoria"))</f>
        <v/>
      </c>
      <c r="E4810" s="75">
        <f>IF($C4810="","",IFERROR(INDEX(CAT_GRUPO,MATCH($C4810,CAT_NOME,0)),"Sem categoria"))</f>
        <v/>
      </c>
      <c r="F4810" s="76" t="n"/>
      <c r="G4810" s="74" t="n"/>
      <c r="H4810" s="74" t="n"/>
      <c r="I4810" s="74" t="n"/>
      <c r="J4810" s="77" t="n"/>
      <c r="K4810" s="77" t="n"/>
      <c r="L4810" s="74" t="n"/>
      <c r="M4810" s="74" t="n"/>
      <c r="O4810" s="78">
        <f>IF($A4810="","",YEAR($A4810)*100+MONTH($A4810))</f>
        <v/>
      </c>
      <c r="P4810" s="79">
        <f>IF(OR($F4810="",$D4810=""),"",IF($D4810="Receita",$F4810,IF($D4810="Transferência",0,-$F4810)))</f>
        <v/>
      </c>
    </row>
    <row r="4811">
      <c r="A4811" s="73" t="n"/>
      <c r="B4811" s="74" t="n"/>
      <c r="C4811" s="74" t="n"/>
      <c r="D4811" s="75">
        <f>IF($C4811="","",IFERROR(INDEX(CAT_TIPO,MATCH($C4811,CAT_NOME,0)),"Sem categoria"))</f>
        <v/>
      </c>
      <c r="E4811" s="75">
        <f>IF($C4811="","",IFERROR(INDEX(CAT_GRUPO,MATCH($C4811,CAT_NOME,0)),"Sem categoria"))</f>
        <v/>
      </c>
      <c r="F4811" s="76" t="n"/>
      <c r="G4811" s="74" t="n"/>
      <c r="H4811" s="74" t="n"/>
      <c r="I4811" s="74" t="n"/>
      <c r="J4811" s="77" t="n"/>
      <c r="K4811" s="77" t="n"/>
      <c r="L4811" s="74" t="n"/>
      <c r="M4811" s="74" t="n"/>
      <c r="O4811" s="78">
        <f>IF($A4811="","",YEAR($A4811)*100+MONTH($A4811))</f>
        <v/>
      </c>
      <c r="P4811" s="79">
        <f>IF(OR($F4811="",$D4811=""),"",IF($D4811="Receita",$F4811,IF($D4811="Transferência",0,-$F4811)))</f>
        <v/>
      </c>
    </row>
    <row r="4812">
      <c r="A4812" s="73" t="n"/>
      <c r="B4812" s="74" t="n"/>
      <c r="C4812" s="74" t="n"/>
      <c r="D4812" s="75">
        <f>IF($C4812="","",IFERROR(INDEX(CAT_TIPO,MATCH($C4812,CAT_NOME,0)),"Sem categoria"))</f>
        <v/>
      </c>
      <c r="E4812" s="75">
        <f>IF($C4812="","",IFERROR(INDEX(CAT_GRUPO,MATCH($C4812,CAT_NOME,0)),"Sem categoria"))</f>
        <v/>
      </c>
      <c r="F4812" s="76" t="n"/>
      <c r="G4812" s="74" t="n"/>
      <c r="H4812" s="74" t="n"/>
      <c r="I4812" s="74" t="n"/>
      <c r="J4812" s="77" t="n"/>
      <c r="K4812" s="77" t="n"/>
      <c r="L4812" s="74" t="n"/>
      <c r="M4812" s="74" t="n"/>
      <c r="O4812" s="78">
        <f>IF($A4812="","",YEAR($A4812)*100+MONTH($A4812))</f>
        <v/>
      </c>
      <c r="P4812" s="79">
        <f>IF(OR($F4812="",$D4812=""),"",IF($D4812="Receita",$F4812,IF($D4812="Transferência",0,-$F4812)))</f>
        <v/>
      </c>
    </row>
    <row r="4813">
      <c r="A4813" s="73" t="n"/>
      <c r="B4813" s="74" t="n"/>
      <c r="C4813" s="74" t="n"/>
      <c r="D4813" s="75">
        <f>IF($C4813="","",IFERROR(INDEX(CAT_TIPO,MATCH($C4813,CAT_NOME,0)),"Sem categoria"))</f>
        <v/>
      </c>
      <c r="E4813" s="75">
        <f>IF($C4813="","",IFERROR(INDEX(CAT_GRUPO,MATCH($C4813,CAT_NOME,0)),"Sem categoria"))</f>
        <v/>
      </c>
      <c r="F4813" s="76" t="n"/>
      <c r="G4813" s="74" t="n"/>
      <c r="H4813" s="74" t="n"/>
      <c r="I4813" s="74" t="n"/>
      <c r="J4813" s="77" t="n"/>
      <c r="K4813" s="77" t="n"/>
      <c r="L4813" s="74" t="n"/>
      <c r="M4813" s="74" t="n"/>
      <c r="O4813" s="78">
        <f>IF($A4813="","",YEAR($A4813)*100+MONTH($A4813))</f>
        <v/>
      </c>
      <c r="P4813" s="79">
        <f>IF(OR($F4813="",$D4813=""),"",IF($D4813="Receita",$F4813,IF($D4813="Transferência",0,-$F4813)))</f>
        <v/>
      </c>
    </row>
    <row r="4814">
      <c r="A4814" s="73" t="n"/>
      <c r="B4814" s="74" t="n"/>
      <c r="C4814" s="74" t="n"/>
      <c r="D4814" s="75">
        <f>IF($C4814="","",IFERROR(INDEX(CAT_TIPO,MATCH($C4814,CAT_NOME,0)),"Sem categoria"))</f>
        <v/>
      </c>
      <c r="E4814" s="75">
        <f>IF($C4814="","",IFERROR(INDEX(CAT_GRUPO,MATCH($C4814,CAT_NOME,0)),"Sem categoria"))</f>
        <v/>
      </c>
      <c r="F4814" s="76" t="n"/>
      <c r="G4814" s="74" t="n"/>
      <c r="H4814" s="74" t="n"/>
      <c r="I4814" s="74" t="n"/>
      <c r="J4814" s="77" t="n"/>
      <c r="K4814" s="77" t="n"/>
      <c r="L4814" s="74" t="n"/>
      <c r="M4814" s="74" t="n"/>
      <c r="O4814" s="78">
        <f>IF($A4814="","",YEAR($A4814)*100+MONTH($A4814))</f>
        <v/>
      </c>
      <c r="P4814" s="79">
        <f>IF(OR($F4814="",$D4814=""),"",IF($D4814="Receita",$F4814,IF($D4814="Transferência",0,-$F4814)))</f>
        <v/>
      </c>
    </row>
    <row r="4815">
      <c r="A4815" s="73" t="n"/>
      <c r="B4815" s="74" t="n"/>
      <c r="C4815" s="74" t="n"/>
      <c r="D4815" s="75">
        <f>IF($C4815="","",IFERROR(INDEX(CAT_TIPO,MATCH($C4815,CAT_NOME,0)),"Sem categoria"))</f>
        <v/>
      </c>
      <c r="E4815" s="75">
        <f>IF($C4815="","",IFERROR(INDEX(CAT_GRUPO,MATCH($C4815,CAT_NOME,0)),"Sem categoria"))</f>
        <v/>
      </c>
      <c r="F4815" s="76" t="n"/>
      <c r="G4815" s="74" t="n"/>
      <c r="H4815" s="74" t="n"/>
      <c r="I4815" s="74" t="n"/>
      <c r="J4815" s="77" t="n"/>
      <c r="K4815" s="77" t="n"/>
      <c r="L4815" s="74" t="n"/>
      <c r="M4815" s="74" t="n"/>
      <c r="O4815" s="78">
        <f>IF($A4815="","",YEAR($A4815)*100+MONTH($A4815))</f>
        <v/>
      </c>
      <c r="P4815" s="79">
        <f>IF(OR($F4815="",$D4815=""),"",IF($D4815="Receita",$F4815,IF($D4815="Transferência",0,-$F4815)))</f>
        <v/>
      </c>
    </row>
    <row r="4816">
      <c r="A4816" s="73" t="n"/>
      <c r="B4816" s="74" t="n"/>
      <c r="C4816" s="74" t="n"/>
      <c r="D4816" s="75">
        <f>IF($C4816="","",IFERROR(INDEX(CAT_TIPO,MATCH($C4816,CAT_NOME,0)),"Sem categoria"))</f>
        <v/>
      </c>
      <c r="E4816" s="75">
        <f>IF($C4816="","",IFERROR(INDEX(CAT_GRUPO,MATCH($C4816,CAT_NOME,0)),"Sem categoria"))</f>
        <v/>
      </c>
      <c r="F4816" s="76" t="n"/>
      <c r="G4816" s="74" t="n"/>
      <c r="H4816" s="74" t="n"/>
      <c r="I4816" s="74" t="n"/>
      <c r="J4816" s="77" t="n"/>
      <c r="K4816" s="77" t="n"/>
      <c r="L4816" s="74" t="n"/>
      <c r="M4816" s="74" t="n"/>
      <c r="O4816" s="78">
        <f>IF($A4816="","",YEAR($A4816)*100+MONTH($A4816))</f>
        <v/>
      </c>
      <c r="P4816" s="79">
        <f>IF(OR($F4816="",$D4816=""),"",IF($D4816="Receita",$F4816,IF($D4816="Transferência",0,-$F4816)))</f>
        <v/>
      </c>
    </row>
    <row r="4817">
      <c r="A4817" s="73" t="n"/>
      <c r="B4817" s="74" t="n"/>
      <c r="C4817" s="74" t="n"/>
      <c r="D4817" s="75">
        <f>IF($C4817="","",IFERROR(INDEX(CAT_TIPO,MATCH($C4817,CAT_NOME,0)),"Sem categoria"))</f>
        <v/>
      </c>
      <c r="E4817" s="75">
        <f>IF($C4817="","",IFERROR(INDEX(CAT_GRUPO,MATCH($C4817,CAT_NOME,0)),"Sem categoria"))</f>
        <v/>
      </c>
      <c r="F4817" s="76" t="n"/>
      <c r="G4817" s="74" t="n"/>
      <c r="H4817" s="74" t="n"/>
      <c r="I4817" s="74" t="n"/>
      <c r="J4817" s="77" t="n"/>
      <c r="K4817" s="77" t="n"/>
      <c r="L4817" s="74" t="n"/>
      <c r="M4817" s="74" t="n"/>
      <c r="O4817" s="78">
        <f>IF($A4817="","",YEAR($A4817)*100+MONTH($A4817))</f>
        <v/>
      </c>
      <c r="P4817" s="79">
        <f>IF(OR($F4817="",$D4817=""),"",IF($D4817="Receita",$F4817,IF($D4817="Transferência",0,-$F4817)))</f>
        <v/>
      </c>
    </row>
    <row r="4818">
      <c r="A4818" s="73" t="n"/>
      <c r="B4818" s="74" t="n"/>
      <c r="C4818" s="74" t="n"/>
      <c r="D4818" s="75">
        <f>IF($C4818="","",IFERROR(INDEX(CAT_TIPO,MATCH($C4818,CAT_NOME,0)),"Sem categoria"))</f>
        <v/>
      </c>
      <c r="E4818" s="75">
        <f>IF($C4818="","",IFERROR(INDEX(CAT_GRUPO,MATCH($C4818,CAT_NOME,0)),"Sem categoria"))</f>
        <v/>
      </c>
      <c r="F4818" s="76" t="n"/>
      <c r="G4818" s="74" t="n"/>
      <c r="H4818" s="74" t="n"/>
      <c r="I4818" s="74" t="n"/>
      <c r="J4818" s="77" t="n"/>
      <c r="K4818" s="77" t="n"/>
      <c r="L4818" s="74" t="n"/>
      <c r="M4818" s="74" t="n"/>
      <c r="O4818" s="78">
        <f>IF($A4818="","",YEAR($A4818)*100+MONTH($A4818))</f>
        <v/>
      </c>
      <c r="P4818" s="79">
        <f>IF(OR($F4818="",$D4818=""),"",IF($D4818="Receita",$F4818,IF($D4818="Transferência",0,-$F4818)))</f>
        <v/>
      </c>
    </row>
    <row r="4819">
      <c r="A4819" s="73" t="n"/>
      <c r="B4819" s="74" t="n"/>
      <c r="C4819" s="74" t="n"/>
      <c r="D4819" s="75">
        <f>IF($C4819="","",IFERROR(INDEX(CAT_TIPO,MATCH($C4819,CAT_NOME,0)),"Sem categoria"))</f>
        <v/>
      </c>
      <c r="E4819" s="75">
        <f>IF($C4819="","",IFERROR(INDEX(CAT_GRUPO,MATCH($C4819,CAT_NOME,0)),"Sem categoria"))</f>
        <v/>
      </c>
      <c r="F4819" s="76" t="n"/>
      <c r="G4819" s="74" t="n"/>
      <c r="H4819" s="74" t="n"/>
      <c r="I4819" s="74" t="n"/>
      <c r="J4819" s="77" t="n"/>
      <c r="K4819" s="77" t="n"/>
      <c r="L4819" s="74" t="n"/>
      <c r="M4819" s="74" t="n"/>
      <c r="O4819" s="78">
        <f>IF($A4819="","",YEAR($A4819)*100+MONTH($A4819))</f>
        <v/>
      </c>
      <c r="P4819" s="79">
        <f>IF(OR($F4819="",$D4819=""),"",IF($D4819="Receita",$F4819,IF($D4819="Transferência",0,-$F4819)))</f>
        <v/>
      </c>
    </row>
    <row r="4820">
      <c r="A4820" s="73" t="n"/>
      <c r="B4820" s="74" t="n"/>
      <c r="C4820" s="74" t="n"/>
      <c r="D4820" s="75">
        <f>IF($C4820="","",IFERROR(INDEX(CAT_TIPO,MATCH($C4820,CAT_NOME,0)),"Sem categoria"))</f>
        <v/>
      </c>
      <c r="E4820" s="75">
        <f>IF($C4820="","",IFERROR(INDEX(CAT_GRUPO,MATCH($C4820,CAT_NOME,0)),"Sem categoria"))</f>
        <v/>
      </c>
      <c r="F4820" s="76" t="n"/>
      <c r="G4820" s="74" t="n"/>
      <c r="H4820" s="74" t="n"/>
      <c r="I4820" s="74" t="n"/>
      <c r="J4820" s="77" t="n"/>
      <c r="K4820" s="77" t="n"/>
      <c r="L4820" s="74" t="n"/>
      <c r="M4820" s="74" t="n"/>
      <c r="O4820" s="78">
        <f>IF($A4820="","",YEAR($A4820)*100+MONTH($A4820))</f>
        <v/>
      </c>
      <c r="P4820" s="79">
        <f>IF(OR($F4820="",$D4820=""),"",IF($D4820="Receita",$F4820,IF($D4820="Transferência",0,-$F4820)))</f>
        <v/>
      </c>
    </row>
    <row r="4821">
      <c r="A4821" s="73" t="n"/>
      <c r="B4821" s="74" t="n"/>
      <c r="C4821" s="74" t="n"/>
      <c r="D4821" s="75">
        <f>IF($C4821="","",IFERROR(INDEX(CAT_TIPO,MATCH($C4821,CAT_NOME,0)),"Sem categoria"))</f>
        <v/>
      </c>
      <c r="E4821" s="75">
        <f>IF($C4821="","",IFERROR(INDEX(CAT_GRUPO,MATCH($C4821,CAT_NOME,0)),"Sem categoria"))</f>
        <v/>
      </c>
      <c r="F4821" s="76" t="n"/>
      <c r="G4821" s="74" t="n"/>
      <c r="H4821" s="74" t="n"/>
      <c r="I4821" s="74" t="n"/>
      <c r="J4821" s="77" t="n"/>
      <c r="K4821" s="77" t="n"/>
      <c r="L4821" s="74" t="n"/>
      <c r="M4821" s="74" t="n"/>
      <c r="O4821" s="78">
        <f>IF($A4821="","",YEAR($A4821)*100+MONTH($A4821))</f>
        <v/>
      </c>
      <c r="P4821" s="79">
        <f>IF(OR($F4821="",$D4821=""),"",IF($D4821="Receita",$F4821,IF($D4821="Transferência",0,-$F4821)))</f>
        <v/>
      </c>
    </row>
    <row r="4822">
      <c r="A4822" s="73" t="n"/>
      <c r="B4822" s="74" t="n"/>
      <c r="C4822" s="74" t="n"/>
      <c r="D4822" s="75">
        <f>IF($C4822="","",IFERROR(INDEX(CAT_TIPO,MATCH($C4822,CAT_NOME,0)),"Sem categoria"))</f>
        <v/>
      </c>
      <c r="E4822" s="75">
        <f>IF($C4822="","",IFERROR(INDEX(CAT_GRUPO,MATCH($C4822,CAT_NOME,0)),"Sem categoria"))</f>
        <v/>
      </c>
      <c r="F4822" s="76" t="n"/>
      <c r="G4822" s="74" t="n"/>
      <c r="H4822" s="74" t="n"/>
      <c r="I4822" s="74" t="n"/>
      <c r="J4822" s="77" t="n"/>
      <c r="K4822" s="77" t="n"/>
      <c r="L4822" s="74" t="n"/>
      <c r="M4822" s="74" t="n"/>
      <c r="O4822" s="78">
        <f>IF($A4822="","",YEAR($A4822)*100+MONTH($A4822))</f>
        <v/>
      </c>
      <c r="P4822" s="79">
        <f>IF(OR($F4822="",$D4822=""),"",IF($D4822="Receita",$F4822,IF($D4822="Transferência",0,-$F4822)))</f>
        <v/>
      </c>
    </row>
    <row r="4823">
      <c r="A4823" s="73" t="n"/>
      <c r="B4823" s="74" t="n"/>
      <c r="C4823" s="74" t="n"/>
      <c r="D4823" s="75">
        <f>IF($C4823="","",IFERROR(INDEX(CAT_TIPO,MATCH($C4823,CAT_NOME,0)),"Sem categoria"))</f>
        <v/>
      </c>
      <c r="E4823" s="75">
        <f>IF($C4823="","",IFERROR(INDEX(CAT_GRUPO,MATCH($C4823,CAT_NOME,0)),"Sem categoria"))</f>
        <v/>
      </c>
      <c r="F4823" s="76" t="n"/>
      <c r="G4823" s="74" t="n"/>
      <c r="H4823" s="74" t="n"/>
      <c r="I4823" s="74" t="n"/>
      <c r="J4823" s="77" t="n"/>
      <c r="K4823" s="77" t="n"/>
      <c r="L4823" s="74" t="n"/>
      <c r="M4823" s="74" t="n"/>
      <c r="O4823" s="78">
        <f>IF($A4823="","",YEAR($A4823)*100+MONTH($A4823))</f>
        <v/>
      </c>
      <c r="P4823" s="79">
        <f>IF(OR($F4823="",$D4823=""),"",IF($D4823="Receita",$F4823,IF($D4823="Transferência",0,-$F4823)))</f>
        <v/>
      </c>
    </row>
    <row r="4824">
      <c r="A4824" s="73" t="n"/>
      <c r="B4824" s="74" t="n"/>
      <c r="C4824" s="74" t="n"/>
      <c r="D4824" s="75">
        <f>IF($C4824="","",IFERROR(INDEX(CAT_TIPO,MATCH($C4824,CAT_NOME,0)),"Sem categoria"))</f>
        <v/>
      </c>
      <c r="E4824" s="75">
        <f>IF($C4824="","",IFERROR(INDEX(CAT_GRUPO,MATCH($C4824,CAT_NOME,0)),"Sem categoria"))</f>
        <v/>
      </c>
      <c r="F4824" s="76" t="n"/>
      <c r="G4824" s="74" t="n"/>
      <c r="H4824" s="74" t="n"/>
      <c r="I4824" s="74" t="n"/>
      <c r="J4824" s="77" t="n"/>
      <c r="K4824" s="77" t="n"/>
      <c r="L4824" s="74" t="n"/>
      <c r="M4824" s="74" t="n"/>
      <c r="O4824" s="78">
        <f>IF($A4824="","",YEAR($A4824)*100+MONTH($A4824))</f>
        <v/>
      </c>
      <c r="P4824" s="79">
        <f>IF(OR($F4824="",$D4824=""),"",IF($D4824="Receita",$F4824,IF($D4824="Transferência",0,-$F4824)))</f>
        <v/>
      </c>
    </row>
    <row r="4825">
      <c r="A4825" s="73" t="n"/>
      <c r="B4825" s="74" t="n"/>
      <c r="C4825" s="74" t="n"/>
      <c r="D4825" s="75">
        <f>IF($C4825="","",IFERROR(INDEX(CAT_TIPO,MATCH($C4825,CAT_NOME,0)),"Sem categoria"))</f>
        <v/>
      </c>
      <c r="E4825" s="75">
        <f>IF($C4825="","",IFERROR(INDEX(CAT_GRUPO,MATCH($C4825,CAT_NOME,0)),"Sem categoria"))</f>
        <v/>
      </c>
      <c r="F4825" s="76" t="n"/>
      <c r="G4825" s="74" t="n"/>
      <c r="H4825" s="74" t="n"/>
      <c r="I4825" s="74" t="n"/>
      <c r="J4825" s="77" t="n"/>
      <c r="K4825" s="77" t="n"/>
      <c r="L4825" s="74" t="n"/>
      <c r="M4825" s="74" t="n"/>
      <c r="O4825" s="78">
        <f>IF($A4825="","",YEAR($A4825)*100+MONTH($A4825))</f>
        <v/>
      </c>
      <c r="P4825" s="79">
        <f>IF(OR($F4825="",$D4825=""),"",IF($D4825="Receita",$F4825,IF($D4825="Transferência",0,-$F4825)))</f>
        <v/>
      </c>
    </row>
    <row r="4826">
      <c r="A4826" s="73" t="n"/>
      <c r="B4826" s="74" t="n"/>
      <c r="C4826" s="74" t="n"/>
      <c r="D4826" s="75">
        <f>IF($C4826="","",IFERROR(INDEX(CAT_TIPO,MATCH($C4826,CAT_NOME,0)),"Sem categoria"))</f>
        <v/>
      </c>
      <c r="E4826" s="75">
        <f>IF($C4826="","",IFERROR(INDEX(CAT_GRUPO,MATCH($C4826,CAT_NOME,0)),"Sem categoria"))</f>
        <v/>
      </c>
      <c r="F4826" s="76" t="n"/>
      <c r="G4826" s="74" t="n"/>
      <c r="H4826" s="74" t="n"/>
      <c r="I4826" s="74" t="n"/>
      <c r="J4826" s="77" t="n"/>
      <c r="K4826" s="77" t="n"/>
      <c r="L4826" s="74" t="n"/>
      <c r="M4826" s="74" t="n"/>
      <c r="O4826" s="78">
        <f>IF($A4826="","",YEAR($A4826)*100+MONTH($A4826))</f>
        <v/>
      </c>
      <c r="P4826" s="79">
        <f>IF(OR($F4826="",$D4826=""),"",IF($D4826="Receita",$F4826,IF($D4826="Transferência",0,-$F4826)))</f>
        <v/>
      </c>
    </row>
    <row r="4827">
      <c r="A4827" s="73" t="n"/>
      <c r="B4827" s="74" t="n"/>
      <c r="C4827" s="74" t="n"/>
      <c r="D4827" s="75">
        <f>IF($C4827="","",IFERROR(INDEX(CAT_TIPO,MATCH($C4827,CAT_NOME,0)),"Sem categoria"))</f>
        <v/>
      </c>
      <c r="E4827" s="75">
        <f>IF($C4827="","",IFERROR(INDEX(CAT_GRUPO,MATCH($C4827,CAT_NOME,0)),"Sem categoria"))</f>
        <v/>
      </c>
      <c r="F4827" s="76" t="n"/>
      <c r="G4827" s="74" t="n"/>
      <c r="H4827" s="74" t="n"/>
      <c r="I4827" s="74" t="n"/>
      <c r="J4827" s="77" t="n"/>
      <c r="K4827" s="77" t="n"/>
      <c r="L4827" s="74" t="n"/>
      <c r="M4827" s="74" t="n"/>
      <c r="O4827" s="78">
        <f>IF($A4827="","",YEAR($A4827)*100+MONTH($A4827))</f>
        <v/>
      </c>
      <c r="P4827" s="79">
        <f>IF(OR($F4827="",$D4827=""),"",IF($D4827="Receita",$F4827,IF($D4827="Transferência",0,-$F4827)))</f>
        <v/>
      </c>
    </row>
    <row r="4828">
      <c r="A4828" s="73" t="n"/>
      <c r="B4828" s="74" t="n"/>
      <c r="C4828" s="74" t="n"/>
      <c r="D4828" s="75">
        <f>IF($C4828="","",IFERROR(INDEX(CAT_TIPO,MATCH($C4828,CAT_NOME,0)),"Sem categoria"))</f>
        <v/>
      </c>
      <c r="E4828" s="75">
        <f>IF($C4828="","",IFERROR(INDEX(CAT_GRUPO,MATCH($C4828,CAT_NOME,0)),"Sem categoria"))</f>
        <v/>
      </c>
      <c r="F4828" s="76" t="n"/>
      <c r="G4828" s="74" t="n"/>
      <c r="H4828" s="74" t="n"/>
      <c r="I4828" s="74" t="n"/>
      <c r="J4828" s="77" t="n"/>
      <c r="K4828" s="77" t="n"/>
      <c r="L4828" s="74" t="n"/>
      <c r="M4828" s="74" t="n"/>
      <c r="O4828" s="78">
        <f>IF($A4828="","",YEAR($A4828)*100+MONTH($A4828))</f>
        <v/>
      </c>
      <c r="P4828" s="79">
        <f>IF(OR($F4828="",$D4828=""),"",IF($D4828="Receita",$F4828,IF($D4828="Transferência",0,-$F4828)))</f>
        <v/>
      </c>
    </row>
    <row r="4829">
      <c r="A4829" s="73" t="n"/>
      <c r="B4829" s="74" t="n"/>
      <c r="C4829" s="74" t="n"/>
      <c r="D4829" s="75">
        <f>IF($C4829="","",IFERROR(INDEX(CAT_TIPO,MATCH($C4829,CAT_NOME,0)),"Sem categoria"))</f>
        <v/>
      </c>
      <c r="E4829" s="75">
        <f>IF($C4829="","",IFERROR(INDEX(CAT_GRUPO,MATCH($C4829,CAT_NOME,0)),"Sem categoria"))</f>
        <v/>
      </c>
      <c r="F4829" s="76" t="n"/>
      <c r="G4829" s="74" t="n"/>
      <c r="H4829" s="74" t="n"/>
      <c r="I4829" s="74" t="n"/>
      <c r="J4829" s="77" t="n"/>
      <c r="K4829" s="77" t="n"/>
      <c r="L4829" s="74" t="n"/>
      <c r="M4829" s="74" t="n"/>
      <c r="O4829" s="78">
        <f>IF($A4829="","",YEAR($A4829)*100+MONTH($A4829))</f>
        <v/>
      </c>
      <c r="P4829" s="79">
        <f>IF(OR($F4829="",$D4829=""),"",IF($D4829="Receita",$F4829,IF($D4829="Transferência",0,-$F4829)))</f>
        <v/>
      </c>
    </row>
    <row r="4830">
      <c r="A4830" s="73" t="n"/>
      <c r="B4830" s="74" t="n"/>
      <c r="C4830" s="74" t="n"/>
      <c r="D4830" s="75">
        <f>IF($C4830="","",IFERROR(INDEX(CAT_TIPO,MATCH($C4830,CAT_NOME,0)),"Sem categoria"))</f>
        <v/>
      </c>
      <c r="E4830" s="75">
        <f>IF($C4830="","",IFERROR(INDEX(CAT_GRUPO,MATCH($C4830,CAT_NOME,0)),"Sem categoria"))</f>
        <v/>
      </c>
      <c r="F4830" s="76" t="n"/>
      <c r="G4830" s="74" t="n"/>
      <c r="H4830" s="74" t="n"/>
      <c r="I4830" s="74" t="n"/>
      <c r="J4830" s="77" t="n"/>
      <c r="K4830" s="77" t="n"/>
      <c r="L4830" s="74" t="n"/>
      <c r="M4830" s="74" t="n"/>
      <c r="O4830" s="78">
        <f>IF($A4830="","",YEAR($A4830)*100+MONTH($A4830))</f>
        <v/>
      </c>
      <c r="P4830" s="79">
        <f>IF(OR($F4830="",$D4830=""),"",IF($D4830="Receita",$F4830,IF($D4830="Transferência",0,-$F4830)))</f>
        <v/>
      </c>
    </row>
    <row r="4831">
      <c r="A4831" s="73" t="n"/>
      <c r="B4831" s="74" t="n"/>
      <c r="C4831" s="74" t="n"/>
      <c r="D4831" s="75">
        <f>IF($C4831="","",IFERROR(INDEX(CAT_TIPO,MATCH($C4831,CAT_NOME,0)),"Sem categoria"))</f>
        <v/>
      </c>
      <c r="E4831" s="75">
        <f>IF($C4831="","",IFERROR(INDEX(CAT_GRUPO,MATCH($C4831,CAT_NOME,0)),"Sem categoria"))</f>
        <v/>
      </c>
      <c r="F4831" s="76" t="n"/>
      <c r="G4831" s="74" t="n"/>
      <c r="H4831" s="74" t="n"/>
      <c r="I4831" s="74" t="n"/>
      <c r="J4831" s="77" t="n"/>
      <c r="K4831" s="77" t="n"/>
      <c r="L4831" s="74" t="n"/>
      <c r="M4831" s="74" t="n"/>
      <c r="O4831" s="78">
        <f>IF($A4831="","",YEAR($A4831)*100+MONTH($A4831))</f>
        <v/>
      </c>
      <c r="P4831" s="79">
        <f>IF(OR($F4831="",$D4831=""),"",IF($D4831="Receita",$F4831,IF($D4831="Transferência",0,-$F4831)))</f>
        <v/>
      </c>
    </row>
    <row r="4832">
      <c r="A4832" s="73" t="n"/>
      <c r="B4832" s="74" t="n"/>
      <c r="C4832" s="74" t="n"/>
      <c r="D4832" s="75">
        <f>IF($C4832="","",IFERROR(INDEX(CAT_TIPO,MATCH($C4832,CAT_NOME,0)),"Sem categoria"))</f>
        <v/>
      </c>
      <c r="E4832" s="75">
        <f>IF($C4832="","",IFERROR(INDEX(CAT_GRUPO,MATCH($C4832,CAT_NOME,0)),"Sem categoria"))</f>
        <v/>
      </c>
      <c r="F4832" s="76" t="n"/>
      <c r="G4832" s="74" t="n"/>
      <c r="H4832" s="74" t="n"/>
      <c r="I4832" s="74" t="n"/>
      <c r="J4832" s="77" t="n"/>
      <c r="K4832" s="77" t="n"/>
      <c r="L4832" s="74" t="n"/>
      <c r="M4832" s="74" t="n"/>
      <c r="O4832" s="78">
        <f>IF($A4832="","",YEAR($A4832)*100+MONTH($A4832))</f>
        <v/>
      </c>
      <c r="P4832" s="79">
        <f>IF(OR($F4832="",$D4832=""),"",IF($D4832="Receita",$F4832,IF($D4832="Transferência",0,-$F4832)))</f>
        <v/>
      </c>
    </row>
    <row r="4833">
      <c r="A4833" s="73" t="n"/>
      <c r="B4833" s="74" t="n"/>
      <c r="C4833" s="74" t="n"/>
      <c r="D4833" s="75">
        <f>IF($C4833="","",IFERROR(INDEX(CAT_TIPO,MATCH($C4833,CAT_NOME,0)),"Sem categoria"))</f>
        <v/>
      </c>
      <c r="E4833" s="75">
        <f>IF($C4833="","",IFERROR(INDEX(CAT_GRUPO,MATCH($C4833,CAT_NOME,0)),"Sem categoria"))</f>
        <v/>
      </c>
      <c r="F4833" s="76" t="n"/>
      <c r="G4833" s="74" t="n"/>
      <c r="H4833" s="74" t="n"/>
      <c r="I4833" s="74" t="n"/>
      <c r="J4833" s="77" t="n"/>
      <c r="K4833" s="77" t="n"/>
      <c r="L4833" s="74" t="n"/>
      <c r="M4833" s="74" t="n"/>
      <c r="O4833" s="78">
        <f>IF($A4833="","",YEAR($A4833)*100+MONTH($A4833))</f>
        <v/>
      </c>
      <c r="P4833" s="79">
        <f>IF(OR($F4833="",$D4833=""),"",IF($D4833="Receita",$F4833,IF($D4833="Transferência",0,-$F4833)))</f>
        <v/>
      </c>
    </row>
    <row r="4834">
      <c r="A4834" s="73" t="n"/>
      <c r="B4834" s="74" t="n"/>
      <c r="C4834" s="74" t="n"/>
      <c r="D4834" s="75">
        <f>IF($C4834="","",IFERROR(INDEX(CAT_TIPO,MATCH($C4834,CAT_NOME,0)),"Sem categoria"))</f>
        <v/>
      </c>
      <c r="E4834" s="75">
        <f>IF($C4834="","",IFERROR(INDEX(CAT_GRUPO,MATCH($C4834,CAT_NOME,0)),"Sem categoria"))</f>
        <v/>
      </c>
      <c r="F4834" s="76" t="n"/>
      <c r="G4834" s="74" t="n"/>
      <c r="H4834" s="74" t="n"/>
      <c r="I4834" s="74" t="n"/>
      <c r="J4834" s="77" t="n"/>
      <c r="K4834" s="77" t="n"/>
      <c r="L4834" s="74" t="n"/>
      <c r="M4834" s="74" t="n"/>
      <c r="O4834" s="78">
        <f>IF($A4834="","",YEAR($A4834)*100+MONTH($A4834))</f>
        <v/>
      </c>
      <c r="P4834" s="79">
        <f>IF(OR($F4834="",$D4834=""),"",IF($D4834="Receita",$F4834,IF($D4834="Transferência",0,-$F4834)))</f>
        <v/>
      </c>
    </row>
    <row r="4835">
      <c r="A4835" s="73" t="n"/>
      <c r="B4835" s="74" t="n"/>
      <c r="C4835" s="74" t="n"/>
      <c r="D4835" s="75">
        <f>IF($C4835="","",IFERROR(INDEX(CAT_TIPO,MATCH($C4835,CAT_NOME,0)),"Sem categoria"))</f>
        <v/>
      </c>
      <c r="E4835" s="75">
        <f>IF($C4835="","",IFERROR(INDEX(CAT_GRUPO,MATCH($C4835,CAT_NOME,0)),"Sem categoria"))</f>
        <v/>
      </c>
      <c r="F4835" s="76" t="n"/>
      <c r="G4835" s="74" t="n"/>
      <c r="H4835" s="74" t="n"/>
      <c r="I4835" s="74" t="n"/>
      <c r="J4835" s="77" t="n"/>
      <c r="K4835" s="77" t="n"/>
      <c r="L4835" s="74" t="n"/>
      <c r="M4835" s="74" t="n"/>
      <c r="O4835" s="78">
        <f>IF($A4835="","",YEAR($A4835)*100+MONTH($A4835))</f>
        <v/>
      </c>
      <c r="P4835" s="79">
        <f>IF(OR($F4835="",$D4835=""),"",IF($D4835="Receita",$F4835,IF($D4835="Transferência",0,-$F4835)))</f>
        <v/>
      </c>
    </row>
    <row r="4836">
      <c r="A4836" s="73" t="n"/>
      <c r="B4836" s="74" t="n"/>
      <c r="C4836" s="74" t="n"/>
      <c r="D4836" s="75">
        <f>IF($C4836="","",IFERROR(INDEX(CAT_TIPO,MATCH($C4836,CAT_NOME,0)),"Sem categoria"))</f>
        <v/>
      </c>
      <c r="E4836" s="75">
        <f>IF($C4836="","",IFERROR(INDEX(CAT_GRUPO,MATCH($C4836,CAT_NOME,0)),"Sem categoria"))</f>
        <v/>
      </c>
      <c r="F4836" s="76" t="n"/>
      <c r="G4836" s="74" t="n"/>
      <c r="H4836" s="74" t="n"/>
      <c r="I4836" s="74" t="n"/>
      <c r="J4836" s="77" t="n"/>
      <c r="K4836" s="77" t="n"/>
      <c r="L4836" s="74" t="n"/>
      <c r="M4836" s="74" t="n"/>
      <c r="O4836" s="78">
        <f>IF($A4836="","",YEAR($A4836)*100+MONTH($A4836))</f>
        <v/>
      </c>
      <c r="P4836" s="79">
        <f>IF(OR($F4836="",$D4836=""),"",IF($D4836="Receita",$F4836,IF($D4836="Transferência",0,-$F4836)))</f>
        <v/>
      </c>
    </row>
    <row r="4837">
      <c r="A4837" s="73" t="n"/>
      <c r="B4837" s="74" t="n"/>
      <c r="C4837" s="74" t="n"/>
      <c r="D4837" s="75">
        <f>IF($C4837="","",IFERROR(INDEX(CAT_TIPO,MATCH($C4837,CAT_NOME,0)),"Sem categoria"))</f>
        <v/>
      </c>
      <c r="E4837" s="75">
        <f>IF($C4837="","",IFERROR(INDEX(CAT_GRUPO,MATCH($C4837,CAT_NOME,0)),"Sem categoria"))</f>
        <v/>
      </c>
      <c r="F4837" s="76" t="n"/>
      <c r="G4837" s="74" t="n"/>
      <c r="H4837" s="74" t="n"/>
      <c r="I4837" s="74" t="n"/>
      <c r="J4837" s="77" t="n"/>
      <c r="K4837" s="77" t="n"/>
      <c r="L4837" s="74" t="n"/>
      <c r="M4837" s="74" t="n"/>
      <c r="O4837" s="78">
        <f>IF($A4837="","",YEAR($A4837)*100+MONTH($A4837))</f>
        <v/>
      </c>
      <c r="P4837" s="79">
        <f>IF(OR($F4837="",$D4837=""),"",IF($D4837="Receita",$F4837,IF($D4837="Transferência",0,-$F4837)))</f>
        <v/>
      </c>
    </row>
    <row r="4838">
      <c r="A4838" s="73" t="n"/>
      <c r="B4838" s="74" t="n"/>
      <c r="C4838" s="74" t="n"/>
      <c r="D4838" s="75">
        <f>IF($C4838="","",IFERROR(INDEX(CAT_TIPO,MATCH($C4838,CAT_NOME,0)),"Sem categoria"))</f>
        <v/>
      </c>
      <c r="E4838" s="75">
        <f>IF($C4838="","",IFERROR(INDEX(CAT_GRUPO,MATCH($C4838,CAT_NOME,0)),"Sem categoria"))</f>
        <v/>
      </c>
      <c r="F4838" s="76" t="n"/>
      <c r="G4838" s="74" t="n"/>
      <c r="H4838" s="74" t="n"/>
      <c r="I4838" s="74" t="n"/>
      <c r="J4838" s="77" t="n"/>
      <c r="K4838" s="77" t="n"/>
      <c r="L4838" s="74" t="n"/>
      <c r="M4838" s="74" t="n"/>
      <c r="O4838" s="78">
        <f>IF($A4838="","",YEAR($A4838)*100+MONTH($A4838))</f>
        <v/>
      </c>
      <c r="P4838" s="79">
        <f>IF(OR($F4838="",$D4838=""),"",IF($D4838="Receita",$F4838,IF($D4838="Transferência",0,-$F4838)))</f>
        <v/>
      </c>
    </row>
    <row r="4839">
      <c r="A4839" s="73" t="n"/>
      <c r="B4839" s="74" t="n"/>
      <c r="C4839" s="74" t="n"/>
      <c r="D4839" s="75">
        <f>IF($C4839="","",IFERROR(INDEX(CAT_TIPO,MATCH($C4839,CAT_NOME,0)),"Sem categoria"))</f>
        <v/>
      </c>
      <c r="E4839" s="75">
        <f>IF($C4839="","",IFERROR(INDEX(CAT_GRUPO,MATCH($C4839,CAT_NOME,0)),"Sem categoria"))</f>
        <v/>
      </c>
      <c r="F4839" s="76" t="n"/>
      <c r="G4839" s="74" t="n"/>
      <c r="H4839" s="74" t="n"/>
      <c r="I4839" s="74" t="n"/>
      <c r="J4839" s="77" t="n"/>
      <c r="K4839" s="77" t="n"/>
      <c r="L4839" s="74" t="n"/>
      <c r="M4839" s="74" t="n"/>
      <c r="O4839" s="78">
        <f>IF($A4839="","",YEAR($A4839)*100+MONTH($A4839))</f>
        <v/>
      </c>
      <c r="P4839" s="79">
        <f>IF(OR($F4839="",$D4839=""),"",IF($D4839="Receita",$F4839,IF($D4839="Transferência",0,-$F4839)))</f>
        <v/>
      </c>
    </row>
    <row r="4840">
      <c r="A4840" s="73" t="n"/>
      <c r="B4840" s="74" t="n"/>
      <c r="C4840" s="74" t="n"/>
      <c r="D4840" s="75">
        <f>IF($C4840="","",IFERROR(INDEX(CAT_TIPO,MATCH($C4840,CAT_NOME,0)),"Sem categoria"))</f>
        <v/>
      </c>
      <c r="E4840" s="75">
        <f>IF($C4840="","",IFERROR(INDEX(CAT_GRUPO,MATCH($C4840,CAT_NOME,0)),"Sem categoria"))</f>
        <v/>
      </c>
      <c r="F4840" s="76" t="n"/>
      <c r="G4840" s="74" t="n"/>
      <c r="H4840" s="74" t="n"/>
      <c r="I4840" s="74" t="n"/>
      <c r="J4840" s="77" t="n"/>
      <c r="K4840" s="77" t="n"/>
      <c r="L4840" s="74" t="n"/>
      <c r="M4840" s="74" t="n"/>
      <c r="O4840" s="78">
        <f>IF($A4840="","",YEAR($A4840)*100+MONTH($A4840))</f>
        <v/>
      </c>
      <c r="P4840" s="79">
        <f>IF(OR($F4840="",$D4840=""),"",IF($D4840="Receita",$F4840,IF($D4840="Transferência",0,-$F4840)))</f>
        <v/>
      </c>
    </row>
    <row r="4841">
      <c r="A4841" s="73" t="n"/>
      <c r="B4841" s="74" t="n"/>
      <c r="C4841" s="74" t="n"/>
      <c r="D4841" s="75">
        <f>IF($C4841="","",IFERROR(INDEX(CAT_TIPO,MATCH($C4841,CAT_NOME,0)),"Sem categoria"))</f>
        <v/>
      </c>
      <c r="E4841" s="75">
        <f>IF($C4841="","",IFERROR(INDEX(CAT_GRUPO,MATCH($C4841,CAT_NOME,0)),"Sem categoria"))</f>
        <v/>
      </c>
      <c r="F4841" s="76" t="n"/>
      <c r="G4841" s="74" t="n"/>
      <c r="H4841" s="74" t="n"/>
      <c r="I4841" s="74" t="n"/>
      <c r="J4841" s="77" t="n"/>
      <c r="K4841" s="77" t="n"/>
      <c r="L4841" s="74" t="n"/>
      <c r="M4841" s="74" t="n"/>
      <c r="O4841" s="78">
        <f>IF($A4841="","",YEAR($A4841)*100+MONTH($A4841))</f>
        <v/>
      </c>
      <c r="P4841" s="79">
        <f>IF(OR($F4841="",$D4841=""),"",IF($D4841="Receita",$F4841,IF($D4841="Transferência",0,-$F4841)))</f>
        <v/>
      </c>
    </row>
    <row r="4842">
      <c r="A4842" s="73" t="n"/>
      <c r="B4842" s="74" t="n"/>
      <c r="C4842" s="74" t="n"/>
      <c r="D4842" s="75">
        <f>IF($C4842="","",IFERROR(INDEX(CAT_TIPO,MATCH($C4842,CAT_NOME,0)),"Sem categoria"))</f>
        <v/>
      </c>
      <c r="E4842" s="75">
        <f>IF($C4842="","",IFERROR(INDEX(CAT_GRUPO,MATCH($C4842,CAT_NOME,0)),"Sem categoria"))</f>
        <v/>
      </c>
      <c r="F4842" s="76" t="n"/>
      <c r="G4842" s="74" t="n"/>
      <c r="H4842" s="74" t="n"/>
      <c r="I4842" s="74" t="n"/>
      <c r="J4842" s="77" t="n"/>
      <c r="K4842" s="77" t="n"/>
      <c r="L4842" s="74" t="n"/>
      <c r="M4842" s="74" t="n"/>
      <c r="O4842" s="78">
        <f>IF($A4842="","",YEAR($A4842)*100+MONTH($A4842))</f>
        <v/>
      </c>
      <c r="P4842" s="79">
        <f>IF(OR($F4842="",$D4842=""),"",IF($D4842="Receita",$F4842,IF($D4842="Transferência",0,-$F4842)))</f>
        <v/>
      </c>
    </row>
    <row r="4843">
      <c r="A4843" s="73" t="n"/>
      <c r="B4843" s="74" t="n"/>
      <c r="C4843" s="74" t="n"/>
      <c r="D4843" s="75">
        <f>IF($C4843="","",IFERROR(INDEX(CAT_TIPO,MATCH($C4843,CAT_NOME,0)),"Sem categoria"))</f>
        <v/>
      </c>
      <c r="E4843" s="75">
        <f>IF($C4843="","",IFERROR(INDEX(CAT_GRUPO,MATCH($C4843,CAT_NOME,0)),"Sem categoria"))</f>
        <v/>
      </c>
      <c r="F4843" s="76" t="n"/>
      <c r="G4843" s="74" t="n"/>
      <c r="H4843" s="74" t="n"/>
      <c r="I4843" s="74" t="n"/>
      <c r="J4843" s="77" t="n"/>
      <c r="K4843" s="77" t="n"/>
      <c r="L4843" s="74" t="n"/>
      <c r="M4843" s="74" t="n"/>
      <c r="O4843" s="78">
        <f>IF($A4843="","",YEAR($A4843)*100+MONTH($A4843))</f>
        <v/>
      </c>
      <c r="P4843" s="79">
        <f>IF(OR($F4843="",$D4843=""),"",IF($D4843="Receita",$F4843,IF($D4843="Transferência",0,-$F4843)))</f>
        <v/>
      </c>
    </row>
    <row r="4844">
      <c r="A4844" s="73" t="n"/>
      <c r="B4844" s="74" t="n"/>
      <c r="C4844" s="74" t="n"/>
      <c r="D4844" s="75">
        <f>IF($C4844="","",IFERROR(INDEX(CAT_TIPO,MATCH($C4844,CAT_NOME,0)),"Sem categoria"))</f>
        <v/>
      </c>
      <c r="E4844" s="75">
        <f>IF($C4844="","",IFERROR(INDEX(CAT_GRUPO,MATCH($C4844,CAT_NOME,0)),"Sem categoria"))</f>
        <v/>
      </c>
      <c r="F4844" s="76" t="n"/>
      <c r="G4844" s="74" t="n"/>
      <c r="H4844" s="74" t="n"/>
      <c r="I4844" s="74" t="n"/>
      <c r="J4844" s="77" t="n"/>
      <c r="K4844" s="77" t="n"/>
      <c r="L4844" s="74" t="n"/>
      <c r="M4844" s="74" t="n"/>
      <c r="O4844" s="78">
        <f>IF($A4844="","",YEAR($A4844)*100+MONTH($A4844))</f>
        <v/>
      </c>
      <c r="P4844" s="79">
        <f>IF(OR($F4844="",$D4844=""),"",IF($D4844="Receita",$F4844,IF($D4844="Transferência",0,-$F4844)))</f>
        <v/>
      </c>
    </row>
    <row r="4845">
      <c r="A4845" s="73" t="n"/>
      <c r="B4845" s="74" t="n"/>
      <c r="C4845" s="74" t="n"/>
      <c r="D4845" s="75">
        <f>IF($C4845="","",IFERROR(INDEX(CAT_TIPO,MATCH($C4845,CAT_NOME,0)),"Sem categoria"))</f>
        <v/>
      </c>
      <c r="E4845" s="75">
        <f>IF($C4845="","",IFERROR(INDEX(CAT_GRUPO,MATCH($C4845,CAT_NOME,0)),"Sem categoria"))</f>
        <v/>
      </c>
      <c r="F4845" s="76" t="n"/>
      <c r="G4845" s="74" t="n"/>
      <c r="H4845" s="74" t="n"/>
      <c r="I4845" s="74" t="n"/>
      <c r="J4845" s="77" t="n"/>
      <c r="K4845" s="77" t="n"/>
      <c r="L4845" s="74" t="n"/>
      <c r="M4845" s="74" t="n"/>
      <c r="O4845" s="78">
        <f>IF($A4845="","",YEAR($A4845)*100+MONTH($A4845))</f>
        <v/>
      </c>
      <c r="P4845" s="79">
        <f>IF(OR($F4845="",$D4845=""),"",IF($D4845="Receita",$F4845,IF($D4845="Transferência",0,-$F4845)))</f>
        <v/>
      </c>
    </row>
    <row r="4846">
      <c r="A4846" s="73" t="n"/>
      <c r="B4846" s="74" t="n"/>
      <c r="C4846" s="74" t="n"/>
      <c r="D4846" s="75">
        <f>IF($C4846="","",IFERROR(INDEX(CAT_TIPO,MATCH($C4846,CAT_NOME,0)),"Sem categoria"))</f>
        <v/>
      </c>
      <c r="E4846" s="75">
        <f>IF($C4846="","",IFERROR(INDEX(CAT_GRUPO,MATCH($C4846,CAT_NOME,0)),"Sem categoria"))</f>
        <v/>
      </c>
      <c r="F4846" s="76" t="n"/>
      <c r="G4846" s="74" t="n"/>
      <c r="H4846" s="74" t="n"/>
      <c r="I4846" s="74" t="n"/>
      <c r="J4846" s="77" t="n"/>
      <c r="K4846" s="77" t="n"/>
      <c r="L4846" s="74" t="n"/>
      <c r="M4846" s="74" t="n"/>
      <c r="O4846" s="78">
        <f>IF($A4846="","",YEAR($A4846)*100+MONTH($A4846))</f>
        <v/>
      </c>
      <c r="P4846" s="79">
        <f>IF(OR($F4846="",$D4846=""),"",IF($D4846="Receita",$F4846,IF($D4846="Transferência",0,-$F4846)))</f>
        <v/>
      </c>
    </row>
    <row r="4847">
      <c r="A4847" s="73" t="n"/>
      <c r="B4847" s="74" t="n"/>
      <c r="C4847" s="74" t="n"/>
      <c r="D4847" s="75">
        <f>IF($C4847="","",IFERROR(INDEX(CAT_TIPO,MATCH($C4847,CAT_NOME,0)),"Sem categoria"))</f>
        <v/>
      </c>
      <c r="E4847" s="75">
        <f>IF($C4847="","",IFERROR(INDEX(CAT_GRUPO,MATCH($C4847,CAT_NOME,0)),"Sem categoria"))</f>
        <v/>
      </c>
      <c r="F4847" s="76" t="n"/>
      <c r="G4847" s="74" t="n"/>
      <c r="H4847" s="74" t="n"/>
      <c r="I4847" s="74" t="n"/>
      <c r="J4847" s="77" t="n"/>
      <c r="K4847" s="77" t="n"/>
      <c r="L4847" s="74" t="n"/>
      <c r="M4847" s="74" t="n"/>
      <c r="O4847" s="78">
        <f>IF($A4847="","",YEAR($A4847)*100+MONTH($A4847))</f>
        <v/>
      </c>
      <c r="P4847" s="79">
        <f>IF(OR($F4847="",$D4847=""),"",IF($D4847="Receita",$F4847,IF($D4847="Transferência",0,-$F4847)))</f>
        <v/>
      </c>
    </row>
    <row r="4848">
      <c r="A4848" s="73" t="n"/>
      <c r="B4848" s="74" t="n"/>
      <c r="C4848" s="74" t="n"/>
      <c r="D4848" s="75">
        <f>IF($C4848="","",IFERROR(INDEX(CAT_TIPO,MATCH($C4848,CAT_NOME,0)),"Sem categoria"))</f>
        <v/>
      </c>
      <c r="E4848" s="75">
        <f>IF($C4848="","",IFERROR(INDEX(CAT_GRUPO,MATCH($C4848,CAT_NOME,0)),"Sem categoria"))</f>
        <v/>
      </c>
      <c r="F4848" s="76" t="n"/>
      <c r="G4848" s="74" t="n"/>
      <c r="H4848" s="74" t="n"/>
      <c r="I4848" s="74" t="n"/>
      <c r="J4848" s="77" t="n"/>
      <c r="K4848" s="77" t="n"/>
      <c r="L4848" s="74" t="n"/>
      <c r="M4848" s="74" t="n"/>
      <c r="O4848" s="78">
        <f>IF($A4848="","",YEAR($A4848)*100+MONTH($A4848))</f>
        <v/>
      </c>
      <c r="P4848" s="79">
        <f>IF(OR($F4848="",$D4848=""),"",IF($D4848="Receita",$F4848,IF($D4848="Transferência",0,-$F4848)))</f>
        <v/>
      </c>
    </row>
    <row r="4849">
      <c r="A4849" s="73" t="n"/>
      <c r="B4849" s="74" t="n"/>
      <c r="C4849" s="74" t="n"/>
      <c r="D4849" s="75">
        <f>IF($C4849="","",IFERROR(INDEX(CAT_TIPO,MATCH($C4849,CAT_NOME,0)),"Sem categoria"))</f>
        <v/>
      </c>
      <c r="E4849" s="75">
        <f>IF($C4849="","",IFERROR(INDEX(CAT_GRUPO,MATCH($C4849,CAT_NOME,0)),"Sem categoria"))</f>
        <v/>
      </c>
      <c r="F4849" s="76" t="n"/>
      <c r="G4849" s="74" t="n"/>
      <c r="H4849" s="74" t="n"/>
      <c r="I4849" s="74" t="n"/>
      <c r="J4849" s="77" t="n"/>
      <c r="K4849" s="77" t="n"/>
      <c r="L4849" s="74" t="n"/>
      <c r="M4849" s="74" t="n"/>
      <c r="O4849" s="78">
        <f>IF($A4849="","",YEAR($A4849)*100+MONTH($A4849))</f>
        <v/>
      </c>
      <c r="P4849" s="79">
        <f>IF(OR($F4849="",$D4849=""),"",IF($D4849="Receita",$F4849,IF($D4849="Transferência",0,-$F4849)))</f>
        <v/>
      </c>
    </row>
    <row r="4850">
      <c r="A4850" s="73" t="n"/>
      <c r="B4850" s="74" t="n"/>
      <c r="C4850" s="74" t="n"/>
      <c r="D4850" s="75">
        <f>IF($C4850="","",IFERROR(INDEX(CAT_TIPO,MATCH($C4850,CAT_NOME,0)),"Sem categoria"))</f>
        <v/>
      </c>
      <c r="E4850" s="75">
        <f>IF($C4850="","",IFERROR(INDEX(CAT_GRUPO,MATCH($C4850,CAT_NOME,0)),"Sem categoria"))</f>
        <v/>
      </c>
      <c r="F4850" s="76" t="n"/>
      <c r="G4850" s="74" t="n"/>
      <c r="H4850" s="74" t="n"/>
      <c r="I4850" s="74" t="n"/>
      <c r="J4850" s="77" t="n"/>
      <c r="K4850" s="77" t="n"/>
      <c r="L4850" s="74" t="n"/>
      <c r="M4850" s="74" t="n"/>
      <c r="O4850" s="78">
        <f>IF($A4850="","",YEAR($A4850)*100+MONTH($A4850))</f>
        <v/>
      </c>
      <c r="P4850" s="79">
        <f>IF(OR($F4850="",$D4850=""),"",IF($D4850="Receita",$F4850,IF($D4850="Transferência",0,-$F4850)))</f>
        <v/>
      </c>
    </row>
    <row r="4851">
      <c r="A4851" s="73" t="n"/>
      <c r="B4851" s="74" t="n"/>
      <c r="C4851" s="74" t="n"/>
      <c r="D4851" s="75">
        <f>IF($C4851="","",IFERROR(INDEX(CAT_TIPO,MATCH($C4851,CAT_NOME,0)),"Sem categoria"))</f>
        <v/>
      </c>
      <c r="E4851" s="75">
        <f>IF($C4851="","",IFERROR(INDEX(CAT_GRUPO,MATCH($C4851,CAT_NOME,0)),"Sem categoria"))</f>
        <v/>
      </c>
      <c r="F4851" s="76" t="n"/>
      <c r="G4851" s="74" t="n"/>
      <c r="H4851" s="74" t="n"/>
      <c r="I4851" s="74" t="n"/>
      <c r="J4851" s="77" t="n"/>
      <c r="K4851" s="77" t="n"/>
      <c r="L4851" s="74" t="n"/>
      <c r="M4851" s="74" t="n"/>
      <c r="O4851" s="78">
        <f>IF($A4851="","",YEAR($A4851)*100+MONTH($A4851))</f>
        <v/>
      </c>
      <c r="P4851" s="79">
        <f>IF(OR($F4851="",$D4851=""),"",IF($D4851="Receita",$F4851,IF($D4851="Transferência",0,-$F4851)))</f>
        <v/>
      </c>
    </row>
    <row r="4852">
      <c r="A4852" s="73" t="n"/>
      <c r="B4852" s="74" t="n"/>
      <c r="C4852" s="74" t="n"/>
      <c r="D4852" s="75">
        <f>IF($C4852="","",IFERROR(INDEX(CAT_TIPO,MATCH($C4852,CAT_NOME,0)),"Sem categoria"))</f>
        <v/>
      </c>
      <c r="E4852" s="75">
        <f>IF($C4852="","",IFERROR(INDEX(CAT_GRUPO,MATCH($C4852,CAT_NOME,0)),"Sem categoria"))</f>
        <v/>
      </c>
      <c r="F4852" s="76" t="n"/>
      <c r="G4852" s="74" t="n"/>
      <c r="H4852" s="74" t="n"/>
      <c r="I4852" s="74" t="n"/>
      <c r="J4852" s="77" t="n"/>
      <c r="K4852" s="77" t="n"/>
      <c r="L4852" s="74" t="n"/>
      <c r="M4852" s="74" t="n"/>
      <c r="O4852" s="78">
        <f>IF($A4852="","",YEAR($A4852)*100+MONTH($A4852))</f>
        <v/>
      </c>
      <c r="P4852" s="79">
        <f>IF(OR($F4852="",$D4852=""),"",IF($D4852="Receita",$F4852,IF($D4852="Transferência",0,-$F4852)))</f>
        <v/>
      </c>
    </row>
    <row r="4853">
      <c r="A4853" s="73" t="n"/>
      <c r="B4853" s="74" t="n"/>
      <c r="C4853" s="74" t="n"/>
      <c r="D4853" s="75">
        <f>IF($C4853="","",IFERROR(INDEX(CAT_TIPO,MATCH($C4853,CAT_NOME,0)),"Sem categoria"))</f>
        <v/>
      </c>
      <c r="E4853" s="75">
        <f>IF($C4853="","",IFERROR(INDEX(CAT_GRUPO,MATCH($C4853,CAT_NOME,0)),"Sem categoria"))</f>
        <v/>
      </c>
      <c r="F4853" s="76" t="n"/>
      <c r="G4853" s="74" t="n"/>
      <c r="H4853" s="74" t="n"/>
      <c r="I4853" s="74" t="n"/>
      <c r="J4853" s="77" t="n"/>
      <c r="K4853" s="77" t="n"/>
      <c r="L4853" s="74" t="n"/>
      <c r="M4853" s="74" t="n"/>
      <c r="O4853" s="78">
        <f>IF($A4853="","",YEAR($A4853)*100+MONTH($A4853))</f>
        <v/>
      </c>
      <c r="P4853" s="79">
        <f>IF(OR($F4853="",$D4853=""),"",IF($D4853="Receita",$F4853,IF($D4853="Transferência",0,-$F4853)))</f>
        <v/>
      </c>
    </row>
    <row r="4854">
      <c r="A4854" s="73" t="n"/>
      <c r="B4854" s="74" t="n"/>
      <c r="C4854" s="74" t="n"/>
      <c r="D4854" s="75">
        <f>IF($C4854="","",IFERROR(INDEX(CAT_TIPO,MATCH($C4854,CAT_NOME,0)),"Sem categoria"))</f>
        <v/>
      </c>
      <c r="E4854" s="75">
        <f>IF($C4854="","",IFERROR(INDEX(CAT_GRUPO,MATCH($C4854,CAT_NOME,0)),"Sem categoria"))</f>
        <v/>
      </c>
      <c r="F4854" s="76" t="n"/>
      <c r="G4854" s="74" t="n"/>
      <c r="H4854" s="74" t="n"/>
      <c r="I4854" s="74" t="n"/>
      <c r="J4854" s="77" t="n"/>
      <c r="K4854" s="77" t="n"/>
      <c r="L4854" s="74" t="n"/>
      <c r="M4854" s="74" t="n"/>
      <c r="O4854" s="78">
        <f>IF($A4854="","",YEAR($A4854)*100+MONTH($A4854))</f>
        <v/>
      </c>
      <c r="P4854" s="79">
        <f>IF(OR($F4854="",$D4854=""),"",IF($D4854="Receita",$F4854,IF($D4854="Transferência",0,-$F4854)))</f>
        <v/>
      </c>
    </row>
    <row r="4855">
      <c r="A4855" s="73" t="n"/>
      <c r="B4855" s="74" t="n"/>
      <c r="C4855" s="74" t="n"/>
      <c r="D4855" s="75">
        <f>IF($C4855="","",IFERROR(INDEX(CAT_TIPO,MATCH($C4855,CAT_NOME,0)),"Sem categoria"))</f>
        <v/>
      </c>
      <c r="E4855" s="75">
        <f>IF($C4855="","",IFERROR(INDEX(CAT_GRUPO,MATCH($C4855,CAT_NOME,0)),"Sem categoria"))</f>
        <v/>
      </c>
      <c r="F4855" s="76" t="n"/>
      <c r="G4855" s="74" t="n"/>
      <c r="H4855" s="74" t="n"/>
      <c r="I4855" s="74" t="n"/>
      <c r="J4855" s="77" t="n"/>
      <c r="K4855" s="77" t="n"/>
      <c r="L4855" s="74" t="n"/>
      <c r="M4855" s="74" t="n"/>
      <c r="O4855" s="78">
        <f>IF($A4855="","",YEAR($A4855)*100+MONTH($A4855))</f>
        <v/>
      </c>
      <c r="P4855" s="79">
        <f>IF(OR($F4855="",$D4855=""),"",IF($D4855="Receita",$F4855,IF($D4855="Transferência",0,-$F4855)))</f>
        <v/>
      </c>
    </row>
    <row r="4856">
      <c r="A4856" s="73" t="n"/>
      <c r="B4856" s="74" t="n"/>
      <c r="C4856" s="74" t="n"/>
      <c r="D4856" s="75">
        <f>IF($C4856="","",IFERROR(INDEX(CAT_TIPO,MATCH($C4856,CAT_NOME,0)),"Sem categoria"))</f>
        <v/>
      </c>
      <c r="E4856" s="75">
        <f>IF($C4856="","",IFERROR(INDEX(CAT_GRUPO,MATCH($C4856,CAT_NOME,0)),"Sem categoria"))</f>
        <v/>
      </c>
      <c r="F4856" s="76" t="n"/>
      <c r="G4856" s="74" t="n"/>
      <c r="H4856" s="74" t="n"/>
      <c r="I4856" s="74" t="n"/>
      <c r="J4856" s="77" t="n"/>
      <c r="K4856" s="77" t="n"/>
      <c r="L4856" s="74" t="n"/>
      <c r="M4856" s="74" t="n"/>
      <c r="O4856" s="78">
        <f>IF($A4856="","",YEAR($A4856)*100+MONTH($A4856))</f>
        <v/>
      </c>
      <c r="P4856" s="79">
        <f>IF(OR($F4856="",$D4856=""),"",IF($D4856="Receita",$F4856,IF($D4856="Transferência",0,-$F4856)))</f>
        <v/>
      </c>
    </row>
    <row r="4857">
      <c r="A4857" s="73" t="n"/>
      <c r="B4857" s="74" t="n"/>
      <c r="C4857" s="74" t="n"/>
      <c r="D4857" s="75">
        <f>IF($C4857="","",IFERROR(INDEX(CAT_TIPO,MATCH($C4857,CAT_NOME,0)),"Sem categoria"))</f>
        <v/>
      </c>
      <c r="E4857" s="75">
        <f>IF($C4857="","",IFERROR(INDEX(CAT_GRUPO,MATCH($C4857,CAT_NOME,0)),"Sem categoria"))</f>
        <v/>
      </c>
      <c r="F4857" s="76" t="n"/>
      <c r="G4857" s="74" t="n"/>
      <c r="H4857" s="74" t="n"/>
      <c r="I4857" s="74" t="n"/>
      <c r="J4857" s="77" t="n"/>
      <c r="K4857" s="77" t="n"/>
      <c r="L4857" s="74" t="n"/>
      <c r="M4857" s="74" t="n"/>
      <c r="O4857" s="78">
        <f>IF($A4857="","",YEAR($A4857)*100+MONTH($A4857))</f>
        <v/>
      </c>
      <c r="P4857" s="79">
        <f>IF(OR($F4857="",$D4857=""),"",IF($D4857="Receita",$F4857,IF($D4857="Transferência",0,-$F4857)))</f>
        <v/>
      </c>
    </row>
    <row r="4858">
      <c r="A4858" s="73" t="n"/>
      <c r="B4858" s="74" t="n"/>
      <c r="C4858" s="74" t="n"/>
      <c r="D4858" s="75">
        <f>IF($C4858="","",IFERROR(INDEX(CAT_TIPO,MATCH($C4858,CAT_NOME,0)),"Sem categoria"))</f>
        <v/>
      </c>
      <c r="E4858" s="75">
        <f>IF($C4858="","",IFERROR(INDEX(CAT_GRUPO,MATCH($C4858,CAT_NOME,0)),"Sem categoria"))</f>
        <v/>
      </c>
      <c r="F4858" s="76" t="n"/>
      <c r="G4858" s="74" t="n"/>
      <c r="H4858" s="74" t="n"/>
      <c r="I4858" s="74" t="n"/>
      <c r="J4858" s="77" t="n"/>
      <c r="K4858" s="77" t="n"/>
      <c r="L4858" s="74" t="n"/>
      <c r="M4858" s="74" t="n"/>
      <c r="O4858" s="78">
        <f>IF($A4858="","",YEAR($A4858)*100+MONTH($A4858))</f>
        <v/>
      </c>
      <c r="P4858" s="79">
        <f>IF(OR($F4858="",$D4858=""),"",IF($D4858="Receita",$F4858,IF($D4858="Transferência",0,-$F4858)))</f>
        <v/>
      </c>
    </row>
    <row r="4859">
      <c r="A4859" s="73" t="n"/>
      <c r="B4859" s="74" t="n"/>
      <c r="C4859" s="74" t="n"/>
      <c r="D4859" s="75">
        <f>IF($C4859="","",IFERROR(INDEX(CAT_TIPO,MATCH($C4859,CAT_NOME,0)),"Sem categoria"))</f>
        <v/>
      </c>
      <c r="E4859" s="75">
        <f>IF($C4859="","",IFERROR(INDEX(CAT_GRUPO,MATCH($C4859,CAT_NOME,0)),"Sem categoria"))</f>
        <v/>
      </c>
      <c r="F4859" s="76" t="n"/>
      <c r="G4859" s="74" t="n"/>
      <c r="H4859" s="74" t="n"/>
      <c r="I4859" s="74" t="n"/>
      <c r="J4859" s="77" t="n"/>
      <c r="K4859" s="77" t="n"/>
      <c r="L4859" s="74" t="n"/>
      <c r="M4859" s="74" t="n"/>
      <c r="O4859" s="78">
        <f>IF($A4859="","",YEAR($A4859)*100+MONTH($A4859))</f>
        <v/>
      </c>
      <c r="P4859" s="79">
        <f>IF(OR($F4859="",$D4859=""),"",IF($D4859="Receita",$F4859,IF($D4859="Transferência",0,-$F4859)))</f>
        <v/>
      </c>
    </row>
    <row r="4860">
      <c r="A4860" s="73" t="n"/>
      <c r="B4860" s="74" t="n"/>
      <c r="C4860" s="74" t="n"/>
      <c r="D4860" s="75">
        <f>IF($C4860="","",IFERROR(INDEX(CAT_TIPO,MATCH($C4860,CAT_NOME,0)),"Sem categoria"))</f>
        <v/>
      </c>
      <c r="E4860" s="75">
        <f>IF($C4860="","",IFERROR(INDEX(CAT_GRUPO,MATCH($C4860,CAT_NOME,0)),"Sem categoria"))</f>
        <v/>
      </c>
      <c r="F4860" s="76" t="n"/>
      <c r="G4860" s="74" t="n"/>
      <c r="H4860" s="74" t="n"/>
      <c r="I4860" s="74" t="n"/>
      <c r="J4860" s="77" t="n"/>
      <c r="K4860" s="77" t="n"/>
      <c r="L4860" s="74" t="n"/>
      <c r="M4860" s="74" t="n"/>
      <c r="O4860" s="78">
        <f>IF($A4860="","",YEAR($A4860)*100+MONTH($A4860))</f>
        <v/>
      </c>
      <c r="P4860" s="79">
        <f>IF(OR($F4860="",$D4860=""),"",IF($D4860="Receita",$F4860,IF($D4860="Transferência",0,-$F4860)))</f>
        <v/>
      </c>
    </row>
    <row r="4861">
      <c r="A4861" s="73" t="n"/>
      <c r="B4861" s="74" t="n"/>
      <c r="C4861" s="74" t="n"/>
      <c r="D4861" s="75">
        <f>IF($C4861="","",IFERROR(INDEX(CAT_TIPO,MATCH($C4861,CAT_NOME,0)),"Sem categoria"))</f>
        <v/>
      </c>
      <c r="E4861" s="75">
        <f>IF($C4861="","",IFERROR(INDEX(CAT_GRUPO,MATCH($C4861,CAT_NOME,0)),"Sem categoria"))</f>
        <v/>
      </c>
      <c r="F4861" s="76" t="n"/>
      <c r="G4861" s="74" t="n"/>
      <c r="H4861" s="74" t="n"/>
      <c r="I4861" s="74" t="n"/>
      <c r="J4861" s="77" t="n"/>
      <c r="K4861" s="77" t="n"/>
      <c r="L4861" s="74" t="n"/>
      <c r="M4861" s="74" t="n"/>
      <c r="O4861" s="78">
        <f>IF($A4861="","",YEAR($A4861)*100+MONTH($A4861))</f>
        <v/>
      </c>
      <c r="P4861" s="79">
        <f>IF(OR($F4861="",$D4861=""),"",IF($D4861="Receita",$F4861,IF($D4861="Transferência",0,-$F4861)))</f>
        <v/>
      </c>
    </row>
    <row r="4862">
      <c r="A4862" s="73" t="n"/>
      <c r="B4862" s="74" t="n"/>
      <c r="C4862" s="74" t="n"/>
      <c r="D4862" s="75">
        <f>IF($C4862="","",IFERROR(INDEX(CAT_TIPO,MATCH($C4862,CAT_NOME,0)),"Sem categoria"))</f>
        <v/>
      </c>
      <c r="E4862" s="75">
        <f>IF($C4862="","",IFERROR(INDEX(CAT_GRUPO,MATCH($C4862,CAT_NOME,0)),"Sem categoria"))</f>
        <v/>
      </c>
      <c r="F4862" s="76" t="n"/>
      <c r="G4862" s="74" t="n"/>
      <c r="H4862" s="74" t="n"/>
      <c r="I4862" s="74" t="n"/>
      <c r="J4862" s="77" t="n"/>
      <c r="K4862" s="77" t="n"/>
      <c r="L4862" s="74" t="n"/>
      <c r="M4862" s="74" t="n"/>
      <c r="O4862" s="78">
        <f>IF($A4862="","",YEAR($A4862)*100+MONTH($A4862))</f>
        <v/>
      </c>
      <c r="P4862" s="79">
        <f>IF(OR($F4862="",$D4862=""),"",IF($D4862="Receita",$F4862,IF($D4862="Transferência",0,-$F4862)))</f>
        <v/>
      </c>
    </row>
    <row r="4863">
      <c r="A4863" s="73" t="n"/>
      <c r="B4863" s="74" t="n"/>
      <c r="C4863" s="74" t="n"/>
      <c r="D4863" s="75">
        <f>IF($C4863="","",IFERROR(INDEX(CAT_TIPO,MATCH($C4863,CAT_NOME,0)),"Sem categoria"))</f>
        <v/>
      </c>
      <c r="E4863" s="75">
        <f>IF($C4863="","",IFERROR(INDEX(CAT_GRUPO,MATCH($C4863,CAT_NOME,0)),"Sem categoria"))</f>
        <v/>
      </c>
      <c r="F4863" s="76" t="n"/>
      <c r="G4863" s="74" t="n"/>
      <c r="H4863" s="74" t="n"/>
      <c r="I4863" s="74" t="n"/>
      <c r="J4863" s="77" t="n"/>
      <c r="K4863" s="77" t="n"/>
      <c r="L4863" s="74" t="n"/>
      <c r="M4863" s="74" t="n"/>
      <c r="O4863" s="78">
        <f>IF($A4863="","",YEAR($A4863)*100+MONTH($A4863))</f>
        <v/>
      </c>
      <c r="P4863" s="79">
        <f>IF(OR($F4863="",$D4863=""),"",IF($D4863="Receita",$F4863,IF($D4863="Transferência",0,-$F4863)))</f>
        <v/>
      </c>
    </row>
    <row r="4864">
      <c r="A4864" s="73" t="n"/>
      <c r="B4864" s="74" t="n"/>
      <c r="C4864" s="74" t="n"/>
      <c r="D4864" s="75">
        <f>IF($C4864="","",IFERROR(INDEX(CAT_TIPO,MATCH($C4864,CAT_NOME,0)),"Sem categoria"))</f>
        <v/>
      </c>
      <c r="E4864" s="75">
        <f>IF($C4864="","",IFERROR(INDEX(CAT_GRUPO,MATCH($C4864,CAT_NOME,0)),"Sem categoria"))</f>
        <v/>
      </c>
      <c r="F4864" s="76" t="n"/>
      <c r="G4864" s="74" t="n"/>
      <c r="H4864" s="74" t="n"/>
      <c r="I4864" s="74" t="n"/>
      <c r="J4864" s="77" t="n"/>
      <c r="K4864" s="77" t="n"/>
      <c r="L4864" s="74" t="n"/>
      <c r="M4864" s="74" t="n"/>
      <c r="O4864" s="78">
        <f>IF($A4864="","",YEAR($A4864)*100+MONTH($A4864))</f>
        <v/>
      </c>
      <c r="P4864" s="79">
        <f>IF(OR($F4864="",$D4864=""),"",IF($D4864="Receita",$F4864,IF($D4864="Transferência",0,-$F4864)))</f>
        <v/>
      </c>
    </row>
    <row r="4865">
      <c r="A4865" s="73" t="n"/>
      <c r="B4865" s="74" t="n"/>
      <c r="C4865" s="74" t="n"/>
      <c r="D4865" s="75">
        <f>IF($C4865="","",IFERROR(INDEX(CAT_TIPO,MATCH($C4865,CAT_NOME,0)),"Sem categoria"))</f>
        <v/>
      </c>
      <c r="E4865" s="75">
        <f>IF($C4865="","",IFERROR(INDEX(CAT_GRUPO,MATCH($C4865,CAT_NOME,0)),"Sem categoria"))</f>
        <v/>
      </c>
      <c r="F4865" s="76" t="n"/>
      <c r="G4865" s="74" t="n"/>
      <c r="H4865" s="74" t="n"/>
      <c r="I4865" s="74" t="n"/>
      <c r="J4865" s="77" t="n"/>
      <c r="K4865" s="77" t="n"/>
      <c r="L4865" s="74" t="n"/>
      <c r="M4865" s="74" t="n"/>
      <c r="O4865" s="78">
        <f>IF($A4865="","",YEAR($A4865)*100+MONTH($A4865))</f>
        <v/>
      </c>
      <c r="P4865" s="79">
        <f>IF(OR($F4865="",$D4865=""),"",IF($D4865="Receita",$F4865,IF($D4865="Transferência",0,-$F4865)))</f>
        <v/>
      </c>
    </row>
    <row r="4866">
      <c r="A4866" s="73" t="n"/>
      <c r="B4866" s="74" t="n"/>
      <c r="C4866" s="74" t="n"/>
      <c r="D4866" s="75">
        <f>IF($C4866="","",IFERROR(INDEX(CAT_TIPO,MATCH($C4866,CAT_NOME,0)),"Sem categoria"))</f>
        <v/>
      </c>
      <c r="E4866" s="75">
        <f>IF($C4866="","",IFERROR(INDEX(CAT_GRUPO,MATCH($C4866,CAT_NOME,0)),"Sem categoria"))</f>
        <v/>
      </c>
      <c r="F4866" s="76" t="n"/>
      <c r="G4866" s="74" t="n"/>
      <c r="H4866" s="74" t="n"/>
      <c r="I4866" s="74" t="n"/>
      <c r="J4866" s="77" t="n"/>
      <c r="K4866" s="77" t="n"/>
      <c r="L4866" s="74" t="n"/>
      <c r="M4866" s="74" t="n"/>
      <c r="O4866" s="78">
        <f>IF($A4866="","",YEAR($A4866)*100+MONTH($A4866))</f>
        <v/>
      </c>
      <c r="P4866" s="79">
        <f>IF(OR($F4866="",$D4866=""),"",IF($D4866="Receita",$F4866,IF($D4866="Transferência",0,-$F4866)))</f>
        <v/>
      </c>
    </row>
    <row r="4867">
      <c r="A4867" s="73" t="n"/>
      <c r="B4867" s="74" t="n"/>
      <c r="C4867" s="74" t="n"/>
      <c r="D4867" s="75">
        <f>IF($C4867="","",IFERROR(INDEX(CAT_TIPO,MATCH($C4867,CAT_NOME,0)),"Sem categoria"))</f>
        <v/>
      </c>
      <c r="E4867" s="75">
        <f>IF($C4867="","",IFERROR(INDEX(CAT_GRUPO,MATCH($C4867,CAT_NOME,0)),"Sem categoria"))</f>
        <v/>
      </c>
      <c r="F4867" s="76" t="n"/>
      <c r="G4867" s="74" t="n"/>
      <c r="H4867" s="74" t="n"/>
      <c r="I4867" s="74" t="n"/>
      <c r="J4867" s="77" t="n"/>
      <c r="K4867" s="77" t="n"/>
      <c r="L4867" s="74" t="n"/>
      <c r="M4867" s="74" t="n"/>
      <c r="O4867" s="78">
        <f>IF($A4867="","",YEAR($A4867)*100+MONTH($A4867))</f>
        <v/>
      </c>
      <c r="P4867" s="79">
        <f>IF(OR($F4867="",$D4867=""),"",IF($D4867="Receita",$F4867,IF($D4867="Transferência",0,-$F4867)))</f>
        <v/>
      </c>
    </row>
    <row r="4868">
      <c r="A4868" s="73" t="n"/>
      <c r="B4868" s="74" t="n"/>
      <c r="C4868" s="74" t="n"/>
      <c r="D4868" s="75">
        <f>IF($C4868="","",IFERROR(INDEX(CAT_TIPO,MATCH($C4868,CAT_NOME,0)),"Sem categoria"))</f>
        <v/>
      </c>
      <c r="E4868" s="75">
        <f>IF($C4868="","",IFERROR(INDEX(CAT_GRUPO,MATCH($C4868,CAT_NOME,0)),"Sem categoria"))</f>
        <v/>
      </c>
      <c r="F4868" s="76" t="n"/>
      <c r="G4868" s="74" t="n"/>
      <c r="H4868" s="74" t="n"/>
      <c r="I4868" s="74" t="n"/>
      <c r="J4868" s="77" t="n"/>
      <c r="K4868" s="77" t="n"/>
      <c r="L4868" s="74" t="n"/>
      <c r="M4868" s="74" t="n"/>
      <c r="O4868" s="78">
        <f>IF($A4868="","",YEAR($A4868)*100+MONTH($A4868))</f>
        <v/>
      </c>
      <c r="P4868" s="79">
        <f>IF(OR($F4868="",$D4868=""),"",IF($D4868="Receita",$F4868,IF($D4868="Transferência",0,-$F4868)))</f>
        <v/>
      </c>
    </row>
    <row r="4869">
      <c r="A4869" s="73" t="n"/>
      <c r="B4869" s="74" t="n"/>
      <c r="C4869" s="74" t="n"/>
      <c r="D4869" s="75">
        <f>IF($C4869="","",IFERROR(INDEX(CAT_TIPO,MATCH($C4869,CAT_NOME,0)),"Sem categoria"))</f>
        <v/>
      </c>
      <c r="E4869" s="75">
        <f>IF($C4869="","",IFERROR(INDEX(CAT_GRUPO,MATCH($C4869,CAT_NOME,0)),"Sem categoria"))</f>
        <v/>
      </c>
      <c r="F4869" s="76" t="n"/>
      <c r="G4869" s="74" t="n"/>
      <c r="H4869" s="74" t="n"/>
      <c r="I4869" s="74" t="n"/>
      <c r="J4869" s="77" t="n"/>
      <c r="K4869" s="77" t="n"/>
      <c r="L4869" s="74" t="n"/>
      <c r="M4869" s="74" t="n"/>
      <c r="O4869" s="78">
        <f>IF($A4869="","",YEAR($A4869)*100+MONTH($A4869))</f>
        <v/>
      </c>
      <c r="P4869" s="79">
        <f>IF(OR($F4869="",$D4869=""),"",IF($D4869="Receita",$F4869,IF($D4869="Transferência",0,-$F4869)))</f>
        <v/>
      </c>
    </row>
    <row r="4870">
      <c r="A4870" s="73" t="n"/>
      <c r="B4870" s="74" t="n"/>
      <c r="C4870" s="74" t="n"/>
      <c r="D4870" s="75">
        <f>IF($C4870="","",IFERROR(INDEX(CAT_TIPO,MATCH($C4870,CAT_NOME,0)),"Sem categoria"))</f>
        <v/>
      </c>
      <c r="E4870" s="75">
        <f>IF($C4870="","",IFERROR(INDEX(CAT_GRUPO,MATCH($C4870,CAT_NOME,0)),"Sem categoria"))</f>
        <v/>
      </c>
      <c r="F4870" s="76" t="n"/>
      <c r="G4870" s="74" t="n"/>
      <c r="H4870" s="74" t="n"/>
      <c r="I4870" s="74" t="n"/>
      <c r="J4870" s="77" t="n"/>
      <c r="K4870" s="77" t="n"/>
      <c r="L4870" s="74" t="n"/>
      <c r="M4870" s="74" t="n"/>
      <c r="O4870" s="78">
        <f>IF($A4870="","",YEAR($A4870)*100+MONTH($A4870))</f>
        <v/>
      </c>
      <c r="P4870" s="79">
        <f>IF(OR($F4870="",$D4870=""),"",IF($D4870="Receita",$F4870,IF($D4870="Transferência",0,-$F4870)))</f>
        <v/>
      </c>
    </row>
    <row r="4871">
      <c r="A4871" s="73" t="n"/>
      <c r="B4871" s="74" t="n"/>
      <c r="C4871" s="74" t="n"/>
      <c r="D4871" s="75">
        <f>IF($C4871="","",IFERROR(INDEX(CAT_TIPO,MATCH($C4871,CAT_NOME,0)),"Sem categoria"))</f>
        <v/>
      </c>
      <c r="E4871" s="75">
        <f>IF($C4871="","",IFERROR(INDEX(CAT_GRUPO,MATCH($C4871,CAT_NOME,0)),"Sem categoria"))</f>
        <v/>
      </c>
      <c r="F4871" s="76" t="n"/>
      <c r="G4871" s="74" t="n"/>
      <c r="H4871" s="74" t="n"/>
      <c r="I4871" s="74" t="n"/>
      <c r="J4871" s="77" t="n"/>
      <c r="K4871" s="77" t="n"/>
      <c r="L4871" s="74" t="n"/>
      <c r="M4871" s="74" t="n"/>
      <c r="O4871" s="78">
        <f>IF($A4871="","",YEAR($A4871)*100+MONTH($A4871))</f>
        <v/>
      </c>
      <c r="P4871" s="79">
        <f>IF(OR($F4871="",$D4871=""),"",IF($D4871="Receita",$F4871,IF($D4871="Transferência",0,-$F4871)))</f>
        <v/>
      </c>
    </row>
    <row r="4872">
      <c r="A4872" s="73" t="n"/>
      <c r="B4872" s="74" t="n"/>
      <c r="C4872" s="74" t="n"/>
      <c r="D4872" s="75">
        <f>IF($C4872="","",IFERROR(INDEX(CAT_TIPO,MATCH($C4872,CAT_NOME,0)),"Sem categoria"))</f>
        <v/>
      </c>
      <c r="E4872" s="75">
        <f>IF($C4872="","",IFERROR(INDEX(CAT_GRUPO,MATCH($C4872,CAT_NOME,0)),"Sem categoria"))</f>
        <v/>
      </c>
      <c r="F4872" s="76" t="n"/>
      <c r="G4872" s="74" t="n"/>
      <c r="H4872" s="74" t="n"/>
      <c r="I4872" s="74" t="n"/>
      <c r="J4872" s="77" t="n"/>
      <c r="K4872" s="77" t="n"/>
      <c r="L4872" s="74" t="n"/>
      <c r="M4872" s="74" t="n"/>
      <c r="O4872" s="78">
        <f>IF($A4872="","",YEAR($A4872)*100+MONTH($A4872))</f>
        <v/>
      </c>
      <c r="P4872" s="79">
        <f>IF(OR($F4872="",$D4872=""),"",IF($D4872="Receita",$F4872,IF($D4872="Transferência",0,-$F4872)))</f>
        <v/>
      </c>
    </row>
    <row r="4873">
      <c r="A4873" s="73" t="n"/>
      <c r="B4873" s="74" t="n"/>
      <c r="C4873" s="74" t="n"/>
      <c r="D4873" s="75">
        <f>IF($C4873="","",IFERROR(INDEX(CAT_TIPO,MATCH($C4873,CAT_NOME,0)),"Sem categoria"))</f>
        <v/>
      </c>
      <c r="E4873" s="75">
        <f>IF($C4873="","",IFERROR(INDEX(CAT_GRUPO,MATCH($C4873,CAT_NOME,0)),"Sem categoria"))</f>
        <v/>
      </c>
      <c r="F4873" s="76" t="n"/>
      <c r="G4873" s="74" t="n"/>
      <c r="H4873" s="74" t="n"/>
      <c r="I4873" s="74" t="n"/>
      <c r="J4873" s="77" t="n"/>
      <c r="K4873" s="77" t="n"/>
      <c r="L4873" s="74" t="n"/>
      <c r="M4873" s="74" t="n"/>
      <c r="O4873" s="78">
        <f>IF($A4873="","",YEAR($A4873)*100+MONTH($A4873))</f>
        <v/>
      </c>
      <c r="P4873" s="79">
        <f>IF(OR($F4873="",$D4873=""),"",IF($D4873="Receita",$F4873,IF($D4873="Transferência",0,-$F4873)))</f>
        <v/>
      </c>
    </row>
    <row r="4874">
      <c r="A4874" s="73" t="n"/>
      <c r="B4874" s="74" t="n"/>
      <c r="C4874" s="74" t="n"/>
      <c r="D4874" s="75">
        <f>IF($C4874="","",IFERROR(INDEX(CAT_TIPO,MATCH($C4874,CAT_NOME,0)),"Sem categoria"))</f>
        <v/>
      </c>
      <c r="E4874" s="75">
        <f>IF($C4874="","",IFERROR(INDEX(CAT_GRUPO,MATCH($C4874,CAT_NOME,0)),"Sem categoria"))</f>
        <v/>
      </c>
      <c r="F4874" s="76" t="n"/>
      <c r="G4874" s="74" t="n"/>
      <c r="H4874" s="74" t="n"/>
      <c r="I4874" s="74" t="n"/>
      <c r="J4874" s="77" t="n"/>
      <c r="K4874" s="77" t="n"/>
      <c r="L4874" s="74" t="n"/>
      <c r="M4874" s="74" t="n"/>
      <c r="O4874" s="78">
        <f>IF($A4874="","",YEAR($A4874)*100+MONTH($A4874))</f>
        <v/>
      </c>
      <c r="P4874" s="79">
        <f>IF(OR($F4874="",$D4874=""),"",IF($D4874="Receita",$F4874,IF($D4874="Transferência",0,-$F4874)))</f>
        <v/>
      </c>
    </row>
    <row r="4875">
      <c r="A4875" s="73" t="n"/>
      <c r="B4875" s="74" t="n"/>
      <c r="C4875" s="74" t="n"/>
      <c r="D4875" s="75">
        <f>IF($C4875="","",IFERROR(INDEX(CAT_TIPO,MATCH($C4875,CAT_NOME,0)),"Sem categoria"))</f>
        <v/>
      </c>
      <c r="E4875" s="75">
        <f>IF($C4875="","",IFERROR(INDEX(CAT_GRUPO,MATCH($C4875,CAT_NOME,0)),"Sem categoria"))</f>
        <v/>
      </c>
      <c r="F4875" s="76" t="n"/>
      <c r="G4875" s="74" t="n"/>
      <c r="H4875" s="74" t="n"/>
      <c r="I4875" s="74" t="n"/>
      <c r="J4875" s="77" t="n"/>
      <c r="K4875" s="77" t="n"/>
      <c r="L4875" s="74" t="n"/>
      <c r="M4875" s="74" t="n"/>
      <c r="O4875" s="78">
        <f>IF($A4875="","",YEAR($A4875)*100+MONTH($A4875))</f>
        <v/>
      </c>
      <c r="P4875" s="79">
        <f>IF(OR($F4875="",$D4875=""),"",IF($D4875="Receita",$F4875,IF($D4875="Transferência",0,-$F4875)))</f>
        <v/>
      </c>
    </row>
    <row r="4876">
      <c r="A4876" s="73" t="n"/>
      <c r="B4876" s="74" t="n"/>
      <c r="C4876" s="74" t="n"/>
      <c r="D4876" s="75">
        <f>IF($C4876="","",IFERROR(INDEX(CAT_TIPO,MATCH($C4876,CAT_NOME,0)),"Sem categoria"))</f>
        <v/>
      </c>
      <c r="E4876" s="75">
        <f>IF($C4876="","",IFERROR(INDEX(CAT_GRUPO,MATCH($C4876,CAT_NOME,0)),"Sem categoria"))</f>
        <v/>
      </c>
      <c r="F4876" s="76" t="n"/>
      <c r="G4876" s="74" t="n"/>
      <c r="H4876" s="74" t="n"/>
      <c r="I4876" s="74" t="n"/>
      <c r="J4876" s="77" t="n"/>
      <c r="K4876" s="77" t="n"/>
      <c r="L4876" s="74" t="n"/>
      <c r="M4876" s="74" t="n"/>
      <c r="O4876" s="78">
        <f>IF($A4876="","",YEAR($A4876)*100+MONTH($A4876))</f>
        <v/>
      </c>
      <c r="P4876" s="79">
        <f>IF(OR($F4876="",$D4876=""),"",IF($D4876="Receita",$F4876,IF($D4876="Transferência",0,-$F4876)))</f>
        <v/>
      </c>
    </row>
    <row r="4877">
      <c r="A4877" s="73" t="n"/>
      <c r="B4877" s="74" t="n"/>
      <c r="C4877" s="74" t="n"/>
      <c r="D4877" s="75">
        <f>IF($C4877="","",IFERROR(INDEX(CAT_TIPO,MATCH($C4877,CAT_NOME,0)),"Sem categoria"))</f>
        <v/>
      </c>
      <c r="E4877" s="75">
        <f>IF($C4877="","",IFERROR(INDEX(CAT_GRUPO,MATCH($C4877,CAT_NOME,0)),"Sem categoria"))</f>
        <v/>
      </c>
      <c r="F4877" s="76" t="n"/>
      <c r="G4877" s="74" t="n"/>
      <c r="H4877" s="74" t="n"/>
      <c r="I4877" s="74" t="n"/>
      <c r="J4877" s="77" t="n"/>
      <c r="K4877" s="77" t="n"/>
      <c r="L4877" s="74" t="n"/>
      <c r="M4877" s="74" t="n"/>
      <c r="O4877" s="78">
        <f>IF($A4877="","",YEAR($A4877)*100+MONTH($A4877))</f>
        <v/>
      </c>
      <c r="P4877" s="79">
        <f>IF(OR($F4877="",$D4877=""),"",IF($D4877="Receita",$F4877,IF($D4877="Transferência",0,-$F4877)))</f>
        <v/>
      </c>
    </row>
    <row r="4878">
      <c r="A4878" s="73" t="n"/>
      <c r="B4878" s="74" t="n"/>
      <c r="C4878" s="74" t="n"/>
      <c r="D4878" s="75">
        <f>IF($C4878="","",IFERROR(INDEX(CAT_TIPO,MATCH($C4878,CAT_NOME,0)),"Sem categoria"))</f>
        <v/>
      </c>
      <c r="E4878" s="75">
        <f>IF($C4878="","",IFERROR(INDEX(CAT_GRUPO,MATCH($C4878,CAT_NOME,0)),"Sem categoria"))</f>
        <v/>
      </c>
      <c r="F4878" s="76" t="n"/>
      <c r="G4878" s="74" t="n"/>
      <c r="H4878" s="74" t="n"/>
      <c r="I4878" s="74" t="n"/>
      <c r="J4878" s="77" t="n"/>
      <c r="K4878" s="77" t="n"/>
      <c r="L4878" s="74" t="n"/>
      <c r="M4878" s="74" t="n"/>
      <c r="O4878" s="78">
        <f>IF($A4878="","",YEAR($A4878)*100+MONTH($A4878))</f>
        <v/>
      </c>
      <c r="P4878" s="79">
        <f>IF(OR($F4878="",$D4878=""),"",IF($D4878="Receita",$F4878,IF($D4878="Transferência",0,-$F4878)))</f>
        <v/>
      </c>
    </row>
    <row r="4879">
      <c r="A4879" s="73" t="n"/>
      <c r="B4879" s="74" t="n"/>
      <c r="C4879" s="74" t="n"/>
      <c r="D4879" s="75">
        <f>IF($C4879="","",IFERROR(INDEX(CAT_TIPO,MATCH($C4879,CAT_NOME,0)),"Sem categoria"))</f>
        <v/>
      </c>
      <c r="E4879" s="75">
        <f>IF($C4879="","",IFERROR(INDEX(CAT_GRUPO,MATCH($C4879,CAT_NOME,0)),"Sem categoria"))</f>
        <v/>
      </c>
      <c r="F4879" s="76" t="n"/>
      <c r="G4879" s="74" t="n"/>
      <c r="H4879" s="74" t="n"/>
      <c r="I4879" s="74" t="n"/>
      <c r="J4879" s="77" t="n"/>
      <c r="K4879" s="77" t="n"/>
      <c r="L4879" s="74" t="n"/>
      <c r="M4879" s="74" t="n"/>
      <c r="O4879" s="78">
        <f>IF($A4879="","",YEAR($A4879)*100+MONTH($A4879))</f>
        <v/>
      </c>
      <c r="P4879" s="79">
        <f>IF(OR($F4879="",$D4879=""),"",IF($D4879="Receita",$F4879,IF($D4879="Transferência",0,-$F4879)))</f>
        <v/>
      </c>
    </row>
    <row r="4880">
      <c r="A4880" s="73" t="n"/>
      <c r="B4880" s="74" t="n"/>
      <c r="C4880" s="74" t="n"/>
      <c r="D4880" s="75">
        <f>IF($C4880="","",IFERROR(INDEX(CAT_TIPO,MATCH($C4880,CAT_NOME,0)),"Sem categoria"))</f>
        <v/>
      </c>
      <c r="E4880" s="75">
        <f>IF($C4880="","",IFERROR(INDEX(CAT_GRUPO,MATCH($C4880,CAT_NOME,0)),"Sem categoria"))</f>
        <v/>
      </c>
      <c r="F4880" s="76" t="n"/>
      <c r="G4880" s="74" t="n"/>
      <c r="H4880" s="74" t="n"/>
      <c r="I4880" s="74" t="n"/>
      <c r="J4880" s="77" t="n"/>
      <c r="K4880" s="77" t="n"/>
      <c r="L4880" s="74" t="n"/>
      <c r="M4880" s="74" t="n"/>
      <c r="O4880" s="78">
        <f>IF($A4880="","",YEAR($A4880)*100+MONTH($A4880))</f>
        <v/>
      </c>
      <c r="P4880" s="79">
        <f>IF(OR($F4880="",$D4880=""),"",IF($D4880="Receita",$F4880,IF($D4880="Transferência",0,-$F4880)))</f>
        <v/>
      </c>
    </row>
    <row r="4881">
      <c r="A4881" s="73" t="n"/>
      <c r="B4881" s="74" t="n"/>
      <c r="C4881" s="74" t="n"/>
      <c r="D4881" s="75">
        <f>IF($C4881="","",IFERROR(INDEX(CAT_TIPO,MATCH($C4881,CAT_NOME,0)),"Sem categoria"))</f>
        <v/>
      </c>
      <c r="E4881" s="75">
        <f>IF($C4881="","",IFERROR(INDEX(CAT_GRUPO,MATCH($C4881,CAT_NOME,0)),"Sem categoria"))</f>
        <v/>
      </c>
      <c r="F4881" s="76" t="n"/>
      <c r="G4881" s="74" t="n"/>
      <c r="H4881" s="74" t="n"/>
      <c r="I4881" s="74" t="n"/>
      <c r="J4881" s="77" t="n"/>
      <c r="K4881" s="77" t="n"/>
      <c r="L4881" s="74" t="n"/>
      <c r="M4881" s="74" t="n"/>
      <c r="O4881" s="78">
        <f>IF($A4881="","",YEAR($A4881)*100+MONTH($A4881))</f>
        <v/>
      </c>
      <c r="P4881" s="79">
        <f>IF(OR($F4881="",$D4881=""),"",IF($D4881="Receita",$F4881,IF($D4881="Transferência",0,-$F4881)))</f>
        <v/>
      </c>
    </row>
    <row r="4882">
      <c r="A4882" s="73" t="n"/>
      <c r="B4882" s="74" t="n"/>
      <c r="C4882" s="74" t="n"/>
      <c r="D4882" s="75">
        <f>IF($C4882="","",IFERROR(INDEX(CAT_TIPO,MATCH($C4882,CAT_NOME,0)),"Sem categoria"))</f>
        <v/>
      </c>
      <c r="E4882" s="75">
        <f>IF($C4882="","",IFERROR(INDEX(CAT_GRUPO,MATCH($C4882,CAT_NOME,0)),"Sem categoria"))</f>
        <v/>
      </c>
      <c r="F4882" s="76" t="n"/>
      <c r="G4882" s="74" t="n"/>
      <c r="H4882" s="74" t="n"/>
      <c r="I4882" s="74" t="n"/>
      <c r="J4882" s="77" t="n"/>
      <c r="K4882" s="77" t="n"/>
      <c r="L4882" s="74" t="n"/>
      <c r="M4882" s="74" t="n"/>
      <c r="O4882" s="78">
        <f>IF($A4882="","",YEAR($A4882)*100+MONTH($A4882))</f>
        <v/>
      </c>
      <c r="P4882" s="79">
        <f>IF(OR($F4882="",$D4882=""),"",IF($D4882="Receita",$F4882,IF($D4882="Transferência",0,-$F4882)))</f>
        <v/>
      </c>
    </row>
    <row r="4883">
      <c r="A4883" s="73" t="n"/>
      <c r="B4883" s="74" t="n"/>
      <c r="C4883" s="74" t="n"/>
      <c r="D4883" s="75">
        <f>IF($C4883="","",IFERROR(INDEX(CAT_TIPO,MATCH($C4883,CAT_NOME,0)),"Sem categoria"))</f>
        <v/>
      </c>
      <c r="E4883" s="75">
        <f>IF($C4883="","",IFERROR(INDEX(CAT_GRUPO,MATCH($C4883,CAT_NOME,0)),"Sem categoria"))</f>
        <v/>
      </c>
      <c r="F4883" s="76" t="n"/>
      <c r="G4883" s="74" t="n"/>
      <c r="H4883" s="74" t="n"/>
      <c r="I4883" s="74" t="n"/>
      <c r="J4883" s="77" t="n"/>
      <c r="K4883" s="77" t="n"/>
      <c r="L4883" s="74" t="n"/>
      <c r="M4883" s="74" t="n"/>
      <c r="O4883" s="78">
        <f>IF($A4883="","",YEAR($A4883)*100+MONTH($A4883))</f>
        <v/>
      </c>
      <c r="P4883" s="79">
        <f>IF(OR($F4883="",$D4883=""),"",IF($D4883="Receita",$F4883,IF($D4883="Transferência",0,-$F4883)))</f>
        <v/>
      </c>
    </row>
    <row r="4884">
      <c r="A4884" s="73" t="n"/>
      <c r="B4884" s="74" t="n"/>
      <c r="C4884" s="74" t="n"/>
      <c r="D4884" s="75">
        <f>IF($C4884="","",IFERROR(INDEX(CAT_TIPO,MATCH($C4884,CAT_NOME,0)),"Sem categoria"))</f>
        <v/>
      </c>
      <c r="E4884" s="75">
        <f>IF($C4884="","",IFERROR(INDEX(CAT_GRUPO,MATCH($C4884,CAT_NOME,0)),"Sem categoria"))</f>
        <v/>
      </c>
      <c r="F4884" s="76" t="n"/>
      <c r="G4884" s="74" t="n"/>
      <c r="H4884" s="74" t="n"/>
      <c r="I4884" s="74" t="n"/>
      <c r="J4884" s="77" t="n"/>
      <c r="K4884" s="77" t="n"/>
      <c r="L4884" s="74" t="n"/>
      <c r="M4884" s="74" t="n"/>
      <c r="O4884" s="78">
        <f>IF($A4884="","",YEAR($A4884)*100+MONTH($A4884))</f>
        <v/>
      </c>
      <c r="P4884" s="79">
        <f>IF(OR($F4884="",$D4884=""),"",IF($D4884="Receita",$F4884,IF($D4884="Transferência",0,-$F4884)))</f>
        <v/>
      </c>
    </row>
    <row r="4885">
      <c r="A4885" s="73" t="n"/>
      <c r="B4885" s="74" t="n"/>
      <c r="C4885" s="74" t="n"/>
      <c r="D4885" s="75">
        <f>IF($C4885="","",IFERROR(INDEX(CAT_TIPO,MATCH($C4885,CAT_NOME,0)),"Sem categoria"))</f>
        <v/>
      </c>
      <c r="E4885" s="75">
        <f>IF($C4885="","",IFERROR(INDEX(CAT_GRUPO,MATCH($C4885,CAT_NOME,0)),"Sem categoria"))</f>
        <v/>
      </c>
      <c r="F4885" s="76" t="n"/>
      <c r="G4885" s="74" t="n"/>
      <c r="H4885" s="74" t="n"/>
      <c r="I4885" s="74" t="n"/>
      <c r="J4885" s="77" t="n"/>
      <c r="K4885" s="77" t="n"/>
      <c r="L4885" s="74" t="n"/>
      <c r="M4885" s="74" t="n"/>
      <c r="O4885" s="78">
        <f>IF($A4885="","",YEAR($A4885)*100+MONTH($A4885))</f>
        <v/>
      </c>
      <c r="P4885" s="79">
        <f>IF(OR($F4885="",$D4885=""),"",IF($D4885="Receita",$F4885,IF($D4885="Transferência",0,-$F4885)))</f>
        <v/>
      </c>
    </row>
    <row r="4886">
      <c r="A4886" s="73" t="n"/>
      <c r="B4886" s="74" t="n"/>
      <c r="C4886" s="74" t="n"/>
      <c r="D4886" s="75">
        <f>IF($C4886="","",IFERROR(INDEX(CAT_TIPO,MATCH($C4886,CAT_NOME,0)),"Sem categoria"))</f>
        <v/>
      </c>
      <c r="E4886" s="75">
        <f>IF($C4886="","",IFERROR(INDEX(CAT_GRUPO,MATCH($C4886,CAT_NOME,0)),"Sem categoria"))</f>
        <v/>
      </c>
      <c r="F4886" s="76" t="n"/>
      <c r="G4886" s="74" t="n"/>
      <c r="H4886" s="74" t="n"/>
      <c r="I4886" s="74" t="n"/>
      <c r="J4886" s="77" t="n"/>
      <c r="K4886" s="77" t="n"/>
      <c r="L4886" s="74" t="n"/>
      <c r="M4886" s="74" t="n"/>
      <c r="O4886" s="78">
        <f>IF($A4886="","",YEAR($A4886)*100+MONTH($A4886))</f>
        <v/>
      </c>
      <c r="P4886" s="79">
        <f>IF(OR($F4886="",$D4886=""),"",IF($D4886="Receita",$F4886,IF($D4886="Transferência",0,-$F4886)))</f>
        <v/>
      </c>
    </row>
    <row r="4887">
      <c r="A4887" s="73" t="n"/>
      <c r="B4887" s="74" t="n"/>
      <c r="C4887" s="74" t="n"/>
      <c r="D4887" s="75">
        <f>IF($C4887="","",IFERROR(INDEX(CAT_TIPO,MATCH($C4887,CAT_NOME,0)),"Sem categoria"))</f>
        <v/>
      </c>
      <c r="E4887" s="75">
        <f>IF($C4887="","",IFERROR(INDEX(CAT_GRUPO,MATCH($C4887,CAT_NOME,0)),"Sem categoria"))</f>
        <v/>
      </c>
      <c r="F4887" s="76" t="n"/>
      <c r="G4887" s="74" t="n"/>
      <c r="H4887" s="74" t="n"/>
      <c r="I4887" s="74" t="n"/>
      <c r="J4887" s="77" t="n"/>
      <c r="K4887" s="77" t="n"/>
      <c r="L4887" s="74" t="n"/>
      <c r="M4887" s="74" t="n"/>
      <c r="O4887" s="78">
        <f>IF($A4887="","",YEAR($A4887)*100+MONTH($A4887))</f>
        <v/>
      </c>
      <c r="P4887" s="79">
        <f>IF(OR($F4887="",$D4887=""),"",IF($D4887="Receita",$F4887,IF($D4887="Transferência",0,-$F4887)))</f>
        <v/>
      </c>
    </row>
    <row r="4888">
      <c r="A4888" s="73" t="n"/>
      <c r="B4888" s="74" t="n"/>
      <c r="C4888" s="74" t="n"/>
      <c r="D4888" s="75">
        <f>IF($C4888="","",IFERROR(INDEX(CAT_TIPO,MATCH($C4888,CAT_NOME,0)),"Sem categoria"))</f>
        <v/>
      </c>
      <c r="E4888" s="75">
        <f>IF($C4888="","",IFERROR(INDEX(CAT_GRUPO,MATCH($C4888,CAT_NOME,0)),"Sem categoria"))</f>
        <v/>
      </c>
      <c r="F4888" s="76" t="n"/>
      <c r="G4888" s="74" t="n"/>
      <c r="H4888" s="74" t="n"/>
      <c r="I4888" s="74" t="n"/>
      <c r="J4888" s="77" t="n"/>
      <c r="K4888" s="77" t="n"/>
      <c r="L4888" s="74" t="n"/>
      <c r="M4888" s="74" t="n"/>
      <c r="O4888" s="78">
        <f>IF($A4888="","",YEAR($A4888)*100+MONTH($A4888))</f>
        <v/>
      </c>
      <c r="P4888" s="79">
        <f>IF(OR($F4888="",$D4888=""),"",IF($D4888="Receita",$F4888,IF($D4888="Transferência",0,-$F4888)))</f>
        <v/>
      </c>
    </row>
    <row r="4889">
      <c r="A4889" s="73" t="n"/>
      <c r="B4889" s="74" t="n"/>
      <c r="C4889" s="74" t="n"/>
      <c r="D4889" s="75">
        <f>IF($C4889="","",IFERROR(INDEX(CAT_TIPO,MATCH($C4889,CAT_NOME,0)),"Sem categoria"))</f>
        <v/>
      </c>
      <c r="E4889" s="75">
        <f>IF($C4889="","",IFERROR(INDEX(CAT_GRUPO,MATCH($C4889,CAT_NOME,0)),"Sem categoria"))</f>
        <v/>
      </c>
      <c r="F4889" s="76" t="n"/>
      <c r="G4889" s="74" t="n"/>
      <c r="H4889" s="74" t="n"/>
      <c r="I4889" s="74" t="n"/>
      <c r="J4889" s="77" t="n"/>
      <c r="K4889" s="77" t="n"/>
      <c r="L4889" s="74" t="n"/>
      <c r="M4889" s="74" t="n"/>
      <c r="O4889" s="78">
        <f>IF($A4889="","",YEAR($A4889)*100+MONTH($A4889))</f>
        <v/>
      </c>
      <c r="P4889" s="79">
        <f>IF(OR($F4889="",$D4889=""),"",IF($D4889="Receita",$F4889,IF($D4889="Transferência",0,-$F4889)))</f>
        <v/>
      </c>
    </row>
    <row r="4890">
      <c r="A4890" s="73" t="n"/>
      <c r="B4890" s="74" t="n"/>
      <c r="C4890" s="74" t="n"/>
      <c r="D4890" s="75">
        <f>IF($C4890="","",IFERROR(INDEX(CAT_TIPO,MATCH($C4890,CAT_NOME,0)),"Sem categoria"))</f>
        <v/>
      </c>
      <c r="E4890" s="75">
        <f>IF($C4890="","",IFERROR(INDEX(CAT_GRUPO,MATCH($C4890,CAT_NOME,0)),"Sem categoria"))</f>
        <v/>
      </c>
      <c r="F4890" s="76" t="n"/>
      <c r="G4890" s="74" t="n"/>
      <c r="H4890" s="74" t="n"/>
      <c r="I4890" s="74" t="n"/>
      <c r="J4890" s="77" t="n"/>
      <c r="K4890" s="77" t="n"/>
      <c r="L4890" s="74" t="n"/>
      <c r="M4890" s="74" t="n"/>
      <c r="O4890" s="78">
        <f>IF($A4890="","",YEAR($A4890)*100+MONTH($A4890))</f>
        <v/>
      </c>
      <c r="P4890" s="79">
        <f>IF(OR($F4890="",$D4890=""),"",IF($D4890="Receita",$F4890,IF($D4890="Transferência",0,-$F4890)))</f>
        <v/>
      </c>
    </row>
    <row r="4891">
      <c r="A4891" s="73" t="n"/>
      <c r="B4891" s="74" t="n"/>
      <c r="C4891" s="74" t="n"/>
      <c r="D4891" s="75">
        <f>IF($C4891="","",IFERROR(INDEX(CAT_TIPO,MATCH($C4891,CAT_NOME,0)),"Sem categoria"))</f>
        <v/>
      </c>
      <c r="E4891" s="75">
        <f>IF($C4891="","",IFERROR(INDEX(CAT_GRUPO,MATCH($C4891,CAT_NOME,0)),"Sem categoria"))</f>
        <v/>
      </c>
      <c r="F4891" s="76" t="n"/>
      <c r="G4891" s="74" t="n"/>
      <c r="H4891" s="74" t="n"/>
      <c r="I4891" s="74" t="n"/>
      <c r="J4891" s="77" t="n"/>
      <c r="K4891" s="77" t="n"/>
      <c r="L4891" s="74" t="n"/>
      <c r="M4891" s="74" t="n"/>
      <c r="O4891" s="78">
        <f>IF($A4891="","",YEAR($A4891)*100+MONTH($A4891))</f>
        <v/>
      </c>
      <c r="P4891" s="79">
        <f>IF(OR($F4891="",$D4891=""),"",IF($D4891="Receita",$F4891,IF($D4891="Transferência",0,-$F4891)))</f>
        <v/>
      </c>
    </row>
    <row r="4892">
      <c r="A4892" s="73" t="n"/>
      <c r="B4892" s="74" t="n"/>
      <c r="C4892" s="74" t="n"/>
      <c r="D4892" s="75">
        <f>IF($C4892="","",IFERROR(INDEX(CAT_TIPO,MATCH($C4892,CAT_NOME,0)),"Sem categoria"))</f>
        <v/>
      </c>
      <c r="E4892" s="75">
        <f>IF($C4892="","",IFERROR(INDEX(CAT_GRUPO,MATCH($C4892,CAT_NOME,0)),"Sem categoria"))</f>
        <v/>
      </c>
      <c r="F4892" s="76" t="n"/>
      <c r="G4892" s="74" t="n"/>
      <c r="H4892" s="74" t="n"/>
      <c r="I4892" s="74" t="n"/>
      <c r="J4892" s="77" t="n"/>
      <c r="K4892" s="77" t="n"/>
      <c r="L4892" s="74" t="n"/>
      <c r="M4892" s="74" t="n"/>
      <c r="O4892" s="78">
        <f>IF($A4892="","",YEAR($A4892)*100+MONTH($A4892))</f>
        <v/>
      </c>
      <c r="P4892" s="79">
        <f>IF(OR($F4892="",$D4892=""),"",IF($D4892="Receita",$F4892,IF($D4892="Transferência",0,-$F4892)))</f>
        <v/>
      </c>
    </row>
    <row r="4893">
      <c r="A4893" s="73" t="n"/>
      <c r="B4893" s="74" t="n"/>
      <c r="C4893" s="74" t="n"/>
      <c r="D4893" s="75">
        <f>IF($C4893="","",IFERROR(INDEX(CAT_TIPO,MATCH($C4893,CAT_NOME,0)),"Sem categoria"))</f>
        <v/>
      </c>
      <c r="E4893" s="75">
        <f>IF($C4893="","",IFERROR(INDEX(CAT_GRUPO,MATCH($C4893,CAT_NOME,0)),"Sem categoria"))</f>
        <v/>
      </c>
      <c r="F4893" s="76" t="n"/>
      <c r="G4893" s="74" t="n"/>
      <c r="H4893" s="74" t="n"/>
      <c r="I4893" s="74" t="n"/>
      <c r="J4893" s="77" t="n"/>
      <c r="K4893" s="77" t="n"/>
      <c r="L4893" s="74" t="n"/>
      <c r="M4893" s="74" t="n"/>
      <c r="O4893" s="78">
        <f>IF($A4893="","",YEAR($A4893)*100+MONTH($A4893))</f>
        <v/>
      </c>
      <c r="P4893" s="79">
        <f>IF(OR($F4893="",$D4893=""),"",IF($D4893="Receita",$F4893,IF($D4893="Transferência",0,-$F4893)))</f>
        <v/>
      </c>
    </row>
    <row r="4894">
      <c r="A4894" s="73" t="n"/>
      <c r="B4894" s="74" t="n"/>
      <c r="C4894" s="74" t="n"/>
      <c r="D4894" s="75">
        <f>IF($C4894="","",IFERROR(INDEX(CAT_TIPO,MATCH($C4894,CAT_NOME,0)),"Sem categoria"))</f>
        <v/>
      </c>
      <c r="E4894" s="75">
        <f>IF($C4894="","",IFERROR(INDEX(CAT_GRUPO,MATCH($C4894,CAT_NOME,0)),"Sem categoria"))</f>
        <v/>
      </c>
      <c r="F4894" s="76" t="n"/>
      <c r="G4894" s="74" t="n"/>
      <c r="H4894" s="74" t="n"/>
      <c r="I4894" s="74" t="n"/>
      <c r="J4894" s="77" t="n"/>
      <c r="K4894" s="77" t="n"/>
      <c r="L4894" s="74" t="n"/>
      <c r="M4894" s="74" t="n"/>
      <c r="O4894" s="78">
        <f>IF($A4894="","",YEAR($A4894)*100+MONTH($A4894))</f>
        <v/>
      </c>
      <c r="P4894" s="79">
        <f>IF(OR($F4894="",$D4894=""),"",IF($D4894="Receita",$F4894,IF($D4894="Transferência",0,-$F4894)))</f>
        <v/>
      </c>
    </row>
    <row r="4895">
      <c r="A4895" s="73" t="n"/>
      <c r="B4895" s="74" t="n"/>
      <c r="C4895" s="74" t="n"/>
      <c r="D4895" s="75">
        <f>IF($C4895="","",IFERROR(INDEX(CAT_TIPO,MATCH($C4895,CAT_NOME,0)),"Sem categoria"))</f>
        <v/>
      </c>
      <c r="E4895" s="75">
        <f>IF($C4895="","",IFERROR(INDEX(CAT_GRUPO,MATCH($C4895,CAT_NOME,0)),"Sem categoria"))</f>
        <v/>
      </c>
      <c r="F4895" s="76" t="n"/>
      <c r="G4895" s="74" t="n"/>
      <c r="H4895" s="74" t="n"/>
      <c r="I4895" s="74" t="n"/>
      <c r="J4895" s="77" t="n"/>
      <c r="K4895" s="77" t="n"/>
      <c r="L4895" s="74" t="n"/>
      <c r="M4895" s="74" t="n"/>
      <c r="O4895" s="78">
        <f>IF($A4895="","",YEAR($A4895)*100+MONTH($A4895))</f>
        <v/>
      </c>
      <c r="P4895" s="79">
        <f>IF(OR($F4895="",$D4895=""),"",IF($D4895="Receita",$F4895,IF($D4895="Transferência",0,-$F4895)))</f>
        <v/>
      </c>
    </row>
    <row r="4896">
      <c r="A4896" s="73" t="n"/>
      <c r="B4896" s="74" t="n"/>
      <c r="C4896" s="74" t="n"/>
      <c r="D4896" s="75">
        <f>IF($C4896="","",IFERROR(INDEX(CAT_TIPO,MATCH($C4896,CAT_NOME,0)),"Sem categoria"))</f>
        <v/>
      </c>
      <c r="E4896" s="75">
        <f>IF($C4896="","",IFERROR(INDEX(CAT_GRUPO,MATCH($C4896,CAT_NOME,0)),"Sem categoria"))</f>
        <v/>
      </c>
      <c r="F4896" s="76" t="n"/>
      <c r="G4896" s="74" t="n"/>
      <c r="H4896" s="74" t="n"/>
      <c r="I4896" s="74" t="n"/>
      <c r="J4896" s="77" t="n"/>
      <c r="K4896" s="77" t="n"/>
      <c r="L4896" s="74" t="n"/>
      <c r="M4896" s="74" t="n"/>
      <c r="O4896" s="78">
        <f>IF($A4896="","",YEAR($A4896)*100+MONTH($A4896))</f>
        <v/>
      </c>
      <c r="P4896" s="79">
        <f>IF(OR($F4896="",$D4896=""),"",IF($D4896="Receita",$F4896,IF($D4896="Transferência",0,-$F4896)))</f>
        <v/>
      </c>
    </row>
    <row r="4897">
      <c r="A4897" s="73" t="n"/>
      <c r="B4897" s="74" t="n"/>
      <c r="C4897" s="74" t="n"/>
      <c r="D4897" s="75">
        <f>IF($C4897="","",IFERROR(INDEX(CAT_TIPO,MATCH($C4897,CAT_NOME,0)),"Sem categoria"))</f>
        <v/>
      </c>
      <c r="E4897" s="75">
        <f>IF($C4897="","",IFERROR(INDEX(CAT_GRUPO,MATCH($C4897,CAT_NOME,0)),"Sem categoria"))</f>
        <v/>
      </c>
      <c r="F4897" s="76" t="n"/>
      <c r="G4897" s="74" t="n"/>
      <c r="H4897" s="74" t="n"/>
      <c r="I4897" s="74" t="n"/>
      <c r="J4897" s="77" t="n"/>
      <c r="K4897" s="77" t="n"/>
      <c r="L4897" s="74" t="n"/>
      <c r="M4897" s="74" t="n"/>
      <c r="O4897" s="78">
        <f>IF($A4897="","",YEAR($A4897)*100+MONTH($A4897))</f>
        <v/>
      </c>
      <c r="P4897" s="79">
        <f>IF(OR($F4897="",$D4897=""),"",IF($D4897="Receita",$F4897,IF($D4897="Transferência",0,-$F4897)))</f>
        <v/>
      </c>
    </row>
    <row r="4898">
      <c r="A4898" s="73" t="n"/>
      <c r="B4898" s="74" t="n"/>
      <c r="C4898" s="74" t="n"/>
      <c r="D4898" s="75">
        <f>IF($C4898="","",IFERROR(INDEX(CAT_TIPO,MATCH($C4898,CAT_NOME,0)),"Sem categoria"))</f>
        <v/>
      </c>
      <c r="E4898" s="75">
        <f>IF($C4898="","",IFERROR(INDEX(CAT_GRUPO,MATCH($C4898,CAT_NOME,0)),"Sem categoria"))</f>
        <v/>
      </c>
      <c r="F4898" s="76" t="n"/>
      <c r="G4898" s="74" t="n"/>
      <c r="H4898" s="74" t="n"/>
      <c r="I4898" s="74" t="n"/>
      <c r="J4898" s="77" t="n"/>
      <c r="K4898" s="77" t="n"/>
      <c r="L4898" s="74" t="n"/>
      <c r="M4898" s="74" t="n"/>
      <c r="O4898" s="78">
        <f>IF($A4898="","",YEAR($A4898)*100+MONTH($A4898))</f>
        <v/>
      </c>
      <c r="P4898" s="79">
        <f>IF(OR($F4898="",$D4898=""),"",IF($D4898="Receita",$F4898,IF($D4898="Transferência",0,-$F4898)))</f>
        <v/>
      </c>
    </row>
    <row r="4899">
      <c r="A4899" s="73" t="n"/>
      <c r="B4899" s="74" t="n"/>
      <c r="C4899" s="74" t="n"/>
      <c r="D4899" s="75">
        <f>IF($C4899="","",IFERROR(INDEX(CAT_TIPO,MATCH($C4899,CAT_NOME,0)),"Sem categoria"))</f>
        <v/>
      </c>
      <c r="E4899" s="75">
        <f>IF($C4899="","",IFERROR(INDEX(CAT_GRUPO,MATCH($C4899,CAT_NOME,0)),"Sem categoria"))</f>
        <v/>
      </c>
      <c r="F4899" s="76" t="n"/>
      <c r="G4899" s="74" t="n"/>
      <c r="H4899" s="74" t="n"/>
      <c r="I4899" s="74" t="n"/>
      <c r="J4899" s="77" t="n"/>
      <c r="K4899" s="77" t="n"/>
      <c r="L4899" s="74" t="n"/>
      <c r="M4899" s="74" t="n"/>
      <c r="O4899" s="78">
        <f>IF($A4899="","",YEAR($A4899)*100+MONTH($A4899))</f>
        <v/>
      </c>
      <c r="P4899" s="79">
        <f>IF(OR($F4899="",$D4899=""),"",IF($D4899="Receita",$F4899,IF($D4899="Transferência",0,-$F4899)))</f>
        <v/>
      </c>
    </row>
    <row r="4900">
      <c r="A4900" s="73" t="n"/>
      <c r="B4900" s="74" t="n"/>
      <c r="C4900" s="74" t="n"/>
      <c r="D4900" s="75">
        <f>IF($C4900="","",IFERROR(INDEX(CAT_TIPO,MATCH($C4900,CAT_NOME,0)),"Sem categoria"))</f>
        <v/>
      </c>
      <c r="E4900" s="75">
        <f>IF($C4900="","",IFERROR(INDEX(CAT_GRUPO,MATCH($C4900,CAT_NOME,0)),"Sem categoria"))</f>
        <v/>
      </c>
      <c r="F4900" s="76" t="n"/>
      <c r="G4900" s="74" t="n"/>
      <c r="H4900" s="74" t="n"/>
      <c r="I4900" s="74" t="n"/>
      <c r="J4900" s="77" t="n"/>
      <c r="K4900" s="77" t="n"/>
      <c r="L4900" s="74" t="n"/>
      <c r="M4900" s="74" t="n"/>
      <c r="O4900" s="78">
        <f>IF($A4900="","",YEAR($A4900)*100+MONTH($A4900))</f>
        <v/>
      </c>
      <c r="P4900" s="79">
        <f>IF(OR($F4900="",$D4900=""),"",IF($D4900="Receita",$F4900,IF($D4900="Transferência",0,-$F4900)))</f>
        <v/>
      </c>
    </row>
    <row r="4901">
      <c r="A4901" s="73" t="n"/>
      <c r="B4901" s="74" t="n"/>
      <c r="C4901" s="74" t="n"/>
      <c r="D4901" s="75">
        <f>IF($C4901="","",IFERROR(INDEX(CAT_TIPO,MATCH($C4901,CAT_NOME,0)),"Sem categoria"))</f>
        <v/>
      </c>
      <c r="E4901" s="75">
        <f>IF($C4901="","",IFERROR(INDEX(CAT_GRUPO,MATCH($C4901,CAT_NOME,0)),"Sem categoria"))</f>
        <v/>
      </c>
      <c r="F4901" s="76" t="n"/>
      <c r="G4901" s="74" t="n"/>
      <c r="H4901" s="74" t="n"/>
      <c r="I4901" s="74" t="n"/>
      <c r="J4901" s="77" t="n"/>
      <c r="K4901" s="77" t="n"/>
      <c r="L4901" s="74" t="n"/>
      <c r="M4901" s="74" t="n"/>
      <c r="O4901" s="78">
        <f>IF($A4901="","",YEAR($A4901)*100+MONTH($A4901))</f>
        <v/>
      </c>
      <c r="P4901" s="79">
        <f>IF(OR($F4901="",$D4901=""),"",IF($D4901="Receita",$F4901,IF($D4901="Transferência",0,-$F4901)))</f>
        <v/>
      </c>
    </row>
    <row r="4902">
      <c r="A4902" s="73" t="n"/>
      <c r="B4902" s="74" t="n"/>
      <c r="C4902" s="74" t="n"/>
      <c r="D4902" s="75">
        <f>IF($C4902="","",IFERROR(INDEX(CAT_TIPO,MATCH($C4902,CAT_NOME,0)),"Sem categoria"))</f>
        <v/>
      </c>
      <c r="E4902" s="75">
        <f>IF($C4902="","",IFERROR(INDEX(CAT_GRUPO,MATCH($C4902,CAT_NOME,0)),"Sem categoria"))</f>
        <v/>
      </c>
      <c r="F4902" s="76" t="n"/>
      <c r="G4902" s="74" t="n"/>
      <c r="H4902" s="74" t="n"/>
      <c r="I4902" s="74" t="n"/>
      <c r="J4902" s="77" t="n"/>
      <c r="K4902" s="77" t="n"/>
      <c r="L4902" s="74" t="n"/>
      <c r="M4902" s="74" t="n"/>
      <c r="O4902" s="78">
        <f>IF($A4902="","",YEAR($A4902)*100+MONTH($A4902))</f>
        <v/>
      </c>
      <c r="P4902" s="79">
        <f>IF(OR($F4902="",$D4902=""),"",IF($D4902="Receita",$F4902,IF($D4902="Transferência",0,-$F4902)))</f>
        <v/>
      </c>
    </row>
    <row r="4903">
      <c r="A4903" s="73" t="n"/>
      <c r="B4903" s="74" t="n"/>
      <c r="C4903" s="74" t="n"/>
      <c r="D4903" s="75">
        <f>IF($C4903="","",IFERROR(INDEX(CAT_TIPO,MATCH($C4903,CAT_NOME,0)),"Sem categoria"))</f>
        <v/>
      </c>
      <c r="E4903" s="75">
        <f>IF($C4903="","",IFERROR(INDEX(CAT_GRUPO,MATCH($C4903,CAT_NOME,0)),"Sem categoria"))</f>
        <v/>
      </c>
      <c r="F4903" s="76" t="n"/>
      <c r="G4903" s="74" t="n"/>
      <c r="H4903" s="74" t="n"/>
      <c r="I4903" s="74" t="n"/>
      <c r="J4903" s="77" t="n"/>
      <c r="K4903" s="77" t="n"/>
      <c r="L4903" s="74" t="n"/>
      <c r="M4903" s="74" t="n"/>
      <c r="O4903" s="78">
        <f>IF($A4903="","",YEAR($A4903)*100+MONTH($A4903))</f>
        <v/>
      </c>
      <c r="P4903" s="79">
        <f>IF(OR($F4903="",$D4903=""),"",IF($D4903="Receita",$F4903,IF($D4903="Transferência",0,-$F4903)))</f>
        <v/>
      </c>
    </row>
    <row r="4904">
      <c r="A4904" s="73" t="n"/>
      <c r="B4904" s="74" t="n"/>
      <c r="C4904" s="74" t="n"/>
      <c r="D4904" s="75">
        <f>IF($C4904="","",IFERROR(INDEX(CAT_TIPO,MATCH($C4904,CAT_NOME,0)),"Sem categoria"))</f>
        <v/>
      </c>
      <c r="E4904" s="75">
        <f>IF($C4904="","",IFERROR(INDEX(CAT_GRUPO,MATCH($C4904,CAT_NOME,0)),"Sem categoria"))</f>
        <v/>
      </c>
      <c r="F4904" s="76" t="n"/>
      <c r="G4904" s="74" t="n"/>
      <c r="H4904" s="74" t="n"/>
      <c r="I4904" s="74" t="n"/>
      <c r="J4904" s="77" t="n"/>
      <c r="K4904" s="77" t="n"/>
      <c r="L4904" s="74" t="n"/>
      <c r="M4904" s="74" t="n"/>
      <c r="O4904" s="78">
        <f>IF($A4904="","",YEAR($A4904)*100+MONTH($A4904))</f>
        <v/>
      </c>
      <c r="P4904" s="79">
        <f>IF(OR($F4904="",$D4904=""),"",IF($D4904="Receita",$F4904,IF($D4904="Transferência",0,-$F4904)))</f>
        <v/>
      </c>
    </row>
    <row r="4905">
      <c r="A4905" s="73" t="n"/>
      <c r="B4905" s="74" t="n"/>
      <c r="C4905" s="74" t="n"/>
      <c r="D4905" s="75">
        <f>IF($C4905="","",IFERROR(INDEX(CAT_TIPO,MATCH($C4905,CAT_NOME,0)),"Sem categoria"))</f>
        <v/>
      </c>
      <c r="E4905" s="75">
        <f>IF($C4905="","",IFERROR(INDEX(CAT_GRUPO,MATCH($C4905,CAT_NOME,0)),"Sem categoria"))</f>
        <v/>
      </c>
      <c r="F4905" s="76" t="n"/>
      <c r="G4905" s="74" t="n"/>
      <c r="H4905" s="74" t="n"/>
      <c r="I4905" s="74" t="n"/>
      <c r="J4905" s="77" t="n"/>
      <c r="K4905" s="77" t="n"/>
      <c r="L4905" s="74" t="n"/>
      <c r="M4905" s="74" t="n"/>
      <c r="O4905" s="78">
        <f>IF($A4905="","",YEAR($A4905)*100+MONTH($A4905))</f>
        <v/>
      </c>
      <c r="P4905" s="79">
        <f>IF(OR($F4905="",$D4905=""),"",IF($D4905="Receita",$F4905,IF($D4905="Transferência",0,-$F4905)))</f>
        <v/>
      </c>
    </row>
    <row r="4906">
      <c r="A4906" s="73" t="n"/>
      <c r="B4906" s="74" t="n"/>
      <c r="C4906" s="74" t="n"/>
      <c r="D4906" s="75">
        <f>IF($C4906="","",IFERROR(INDEX(CAT_TIPO,MATCH($C4906,CAT_NOME,0)),"Sem categoria"))</f>
        <v/>
      </c>
      <c r="E4906" s="75">
        <f>IF($C4906="","",IFERROR(INDEX(CAT_GRUPO,MATCH($C4906,CAT_NOME,0)),"Sem categoria"))</f>
        <v/>
      </c>
      <c r="F4906" s="76" t="n"/>
      <c r="G4906" s="74" t="n"/>
      <c r="H4906" s="74" t="n"/>
      <c r="I4906" s="74" t="n"/>
      <c r="J4906" s="77" t="n"/>
      <c r="K4906" s="77" t="n"/>
      <c r="L4906" s="74" t="n"/>
      <c r="M4906" s="74" t="n"/>
      <c r="O4906" s="78">
        <f>IF($A4906="","",YEAR($A4906)*100+MONTH($A4906))</f>
        <v/>
      </c>
      <c r="P4906" s="79">
        <f>IF(OR($F4906="",$D4906=""),"",IF($D4906="Receita",$F4906,IF($D4906="Transferência",0,-$F4906)))</f>
        <v/>
      </c>
    </row>
    <row r="4907">
      <c r="A4907" s="73" t="n"/>
      <c r="B4907" s="74" t="n"/>
      <c r="C4907" s="74" t="n"/>
      <c r="D4907" s="75">
        <f>IF($C4907="","",IFERROR(INDEX(CAT_TIPO,MATCH($C4907,CAT_NOME,0)),"Sem categoria"))</f>
        <v/>
      </c>
      <c r="E4907" s="75">
        <f>IF($C4907="","",IFERROR(INDEX(CAT_GRUPO,MATCH($C4907,CAT_NOME,0)),"Sem categoria"))</f>
        <v/>
      </c>
      <c r="F4907" s="76" t="n"/>
      <c r="G4907" s="74" t="n"/>
      <c r="H4907" s="74" t="n"/>
      <c r="I4907" s="74" t="n"/>
      <c r="J4907" s="77" t="n"/>
      <c r="K4907" s="77" t="n"/>
      <c r="L4907" s="74" t="n"/>
      <c r="M4907" s="74" t="n"/>
      <c r="O4907" s="78">
        <f>IF($A4907="","",YEAR($A4907)*100+MONTH($A4907))</f>
        <v/>
      </c>
      <c r="P4907" s="79">
        <f>IF(OR($F4907="",$D4907=""),"",IF($D4907="Receita",$F4907,IF($D4907="Transferência",0,-$F4907)))</f>
        <v/>
      </c>
    </row>
    <row r="4908">
      <c r="A4908" s="73" t="n"/>
      <c r="B4908" s="74" t="n"/>
      <c r="C4908" s="74" t="n"/>
      <c r="D4908" s="75">
        <f>IF($C4908="","",IFERROR(INDEX(CAT_TIPO,MATCH($C4908,CAT_NOME,0)),"Sem categoria"))</f>
        <v/>
      </c>
      <c r="E4908" s="75">
        <f>IF($C4908="","",IFERROR(INDEX(CAT_GRUPO,MATCH($C4908,CAT_NOME,0)),"Sem categoria"))</f>
        <v/>
      </c>
      <c r="F4908" s="76" t="n"/>
      <c r="G4908" s="74" t="n"/>
      <c r="H4908" s="74" t="n"/>
      <c r="I4908" s="74" t="n"/>
      <c r="J4908" s="77" t="n"/>
      <c r="K4908" s="77" t="n"/>
      <c r="L4908" s="74" t="n"/>
      <c r="M4908" s="74" t="n"/>
      <c r="O4908" s="78">
        <f>IF($A4908="","",YEAR($A4908)*100+MONTH($A4908))</f>
        <v/>
      </c>
      <c r="P4908" s="79">
        <f>IF(OR($F4908="",$D4908=""),"",IF($D4908="Receita",$F4908,IF($D4908="Transferência",0,-$F4908)))</f>
        <v/>
      </c>
    </row>
    <row r="4909">
      <c r="A4909" s="73" t="n"/>
      <c r="B4909" s="74" t="n"/>
      <c r="C4909" s="74" t="n"/>
      <c r="D4909" s="75">
        <f>IF($C4909="","",IFERROR(INDEX(CAT_TIPO,MATCH($C4909,CAT_NOME,0)),"Sem categoria"))</f>
        <v/>
      </c>
      <c r="E4909" s="75">
        <f>IF($C4909="","",IFERROR(INDEX(CAT_GRUPO,MATCH($C4909,CAT_NOME,0)),"Sem categoria"))</f>
        <v/>
      </c>
      <c r="F4909" s="76" t="n"/>
      <c r="G4909" s="74" t="n"/>
      <c r="H4909" s="74" t="n"/>
      <c r="I4909" s="74" t="n"/>
      <c r="J4909" s="77" t="n"/>
      <c r="K4909" s="77" t="n"/>
      <c r="L4909" s="74" t="n"/>
      <c r="M4909" s="74" t="n"/>
      <c r="O4909" s="78">
        <f>IF($A4909="","",YEAR($A4909)*100+MONTH($A4909))</f>
        <v/>
      </c>
      <c r="P4909" s="79">
        <f>IF(OR($F4909="",$D4909=""),"",IF($D4909="Receita",$F4909,IF($D4909="Transferência",0,-$F4909)))</f>
        <v/>
      </c>
    </row>
    <row r="4910">
      <c r="A4910" s="73" t="n"/>
      <c r="B4910" s="74" t="n"/>
      <c r="C4910" s="74" t="n"/>
      <c r="D4910" s="75">
        <f>IF($C4910="","",IFERROR(INDEX(CAT_TIPO,MATCH($C4910,CAT_NOME,0)),"Sem categoria"))</f>
        <v/>
      </c>
      <c r="E4910" s="75">
        <f>IF($C4910="","",IFERROR(INDEX(CAT_GRUPO,MATCH($C4910,CAT_NOME,0)),"Sem categoria"))</f>
        <v/>
      </c>
      <c r="F4910" s="76" t="n"/>
      <c r="G4910" s="74" t="n"/>
      <c r="H4910" s="74" t="n"/>
      <c r="I4910" s="74" t="n"/>
      <c r="J4910" s="77" t="n"/>
      <c r="K4910" s="77" t="n"/>
      <c r="L4910" s="74" t="n"/>
      <c r="M4910" s="74" t="n"/>
      <c r="O4910" s="78">
        <f>IF($A4910="","",YEAR($A4910)*100+MONTH($A4910))</f>
        <v/>
      </c>
      <c r="P4910" s="79">
        <f>IF(OR($F4910="",$D4910=""),"",IF($D4910="Receita",$F4910,IF($D4910="Transferência",0,-$F4910)))</f>
        <v/>
      </c>
    </row>
    <row r="4911">
      <c r="A4911" s="73" t="n"/>
      <c r="B4911" s="74" t="n"/>
      <c r="C4911" s="74" t="n"/>
      <c r="D4911" s="75">
        <f>IF($C4911="","",IFERROR(INDEX(CAT_TIPO,MATCH($C4911,CAT_NOME,0)),"Sem categoria"))</f>
        <v/>
      </c>
      <c r="E4911" s="75">
        <f>IF($C4911="","",IFERROR(INDEX(CAT_GRUPO,MATCH($C4911,CAT_NOME,0)),"Sem categoria"))</f>
        <v/>
      </c>
      <c r="F4911" s="76" t="n"/>
      <c r="G4911" s="74" t="n"/>
      <c r="H4911" s="74" t="n"/>
      <c r="I4911" s="74" t="n"/>
      <c r="J4911" s="77" t="n"/>
      <c r="K4911" s="77" t="n"/>
      <c r="L4911" s="74" t="n"/>
      <c r="M4911" s="74" t="n"/>
      <c r="O4911" s="78">
        <f>IF($A4911="","",YEAR($A4911)*100+MONTH($A4911))</f>
        <v/>
      </c>
      <c r="P4911" s="79">
        <f>IF(OR($F4911="",$D4911=""),"",IF($D4911="Receita",$F4911,IF($D4911="Transferência",0,-$F4911)))</f>
        <v/>
      </c>
    </row>
    <row r="4912">
      <c r="A4912" s="73" t="n"/>
      <c r="B4912" s="74" t="n"/>
      <c r="C4912" s="74" t="n"/>
      <c r="D4912" s="75">
        <f>IF($C4912="","",IFERROR(INDEX(CAT_TIPO,MATCH($C4912,CAT_NOME,0)),"Sem categoria"))</f>
        <v/>
      </c>
      <c r="E4912" s="75">
        <f>IF($C4912="","",IFERROR(INDEX(CAT_GRUPO,MATCH($C4912,CAT_NOME,0)),"Sem categoria"))</f>
        <v/>
      </c>
      <c r="F4912" s="76" t="n"/>
      <c r="G4912" s="74" t="n"/>
      <c r="H4912" s="74" t="n"/>
      <c r="I4912" s="74" t="n"/>
      <c r="J4912" s="77" t="n"/>
      <c r="K4912" s="77" t="n"/>
      <c r="L4912" s="74" t="n"/>
      <c r="M4912" s="74" t="n"/>
      <c r="O4912" s="78">
        <f>IF($A4912="","",YEAR($A4912)*100+MONTH($A4912))</f>
        <v/>
      </c>
      <c r="P4912" s="79">
        <f>IF(OR($F4912="",$D4912=""),"",IF($D4912="Receita",$F4912,IF($D4912="Transferência",0,-$F4912)))</f>
        <v/>
      </c>
    </row>
    <row r="4913">
      <c r="A4913" s="73" t="n"/>
      <c r="B4913" s="74" t="n"/>
      <c r="C4913" s="74" t="n"/>
      <c r="D4913" s="75">
        <f>IF($C4913="","",IFERROR(INDEX(CAT_TIPO,MATCH($C4913,CAT_NOME,0)),"Sem categoria"))</f>
        <v/>
      </c>
      <c r="E4913" s="75">
        <f>IF($C4913="","",IFERROR(INDEX(CAT_GRUPO,MATCH($C4913,CAT_NOME,0)),"Sem categoria"))</f>
        <v/>
      </c>
      <c r="F4913" s="76" t="n"/>
      <c r="G4913" s="74" t="n"/>
      <c r="H4913" s="74" t="n"/>
      <c r="I4913" s="74" t="n"/>
      <c r="J4913" s="77" t="n"/>
      <c r="K4913" s="77" t="n"/>
      <c r="L4913" s="74" t="n"/>
      <c r="M4913" s="74" t="n"/>
      <c r="O4913" s="78">
        <f>IF($A4913="","",YEAR($A4913)*100+MONTH($A4913))</f>
        <v/>
      </c>
      <c r="P4913" s="79">
        <f>IF(OR($F4913="",$D4913=""),"",IF($D4913="Receita",$F4913,IF($D4913="Transferência",0,-$F4913)))</f>
        <v/>
      </c>
    </row>
    <row r="4914">
      <c r="A4914" s="73" t="n"/>
      <c r="B4914" s="74" t="n"/>
      <c r="C4914" s="74" t="n"/>
      <c r="D4914" s="75">
        <f>IF($C4914="","",IFERROR(INDEX(CAT_TIPO,MATCH($C4914,CAT_NOME,0)),"Sem categoria"))</f>
        <v/>
      </c>
      <c r="E4914" s="75">
        <f>IF($C4914="","",IFERROR(INDEX(CAT_GRUPO,MATCH($C4914,CAT_NOME,0)),"Sem categoria"))</f>
        <v/>
      </c>
      <c r="F4914" s="76" t="n"/>
      <c r="G4914" s="74" t="n"/>
      <c r="H4914" s="74" t="n"/>
      <c r="I4914" s="74" t="n"/>
      <c r="J4914" s="77" t="n"/>
      <c r="K4914" s="77" t="n"/>
      <c r="L4914" s="74" t="n"/>
      <c r="M4914" s="74" t="n"/>
      <c r="O4914" s="78">
        <f>IF($A4914="","",YEAR($A4914)*100+MONTH($A4914))</f>
        <v/>
      </c>
      <c r="P4914" s="79">
        <f>IF(OR($F4914="",$D4914=""),"",IF($D4914="Receita",$F4914,IF($D4914="Transferência",0,-$F4914)))</f>
        <v/>
      </c>
    </row>
    <row r="4915">
      <c r="A4915" s="73" t="n"/>
      <c r="B4915" s="74" t="n"/>
      <c r="C4915" s="74" t="n"/>
      <c r="D4915" s="75">
        <f>IF($C4915="","",IFERROR(INDEX(CAT_TIPO,MATCH($C4915,CAT_NOME,0)),"Sem categoria"))</f>
        <v/>
      </c>
      <c r="E4915" s="75">
        <f>IF($C4915="","",IFERROR(INDEX(CAT_GRUPO,MATCH($C4915,CAT_NOME,0)),"Sem categoria"))</f>
        <v/>
      </c>
      <c r="F4915" s="76" t="n"/>
      <c r="G4915" s="74" t="n"/>
      <c r="H4915" s="74" t="n"/>
      <c r="I4915" s="74" t="n"/>
      <c r="J4915" s="77" t="n"/>
      <c r="K4915" s="77" t="n"/>
      <c r="L4915" s="74" t="n"/>
      <c r="M4915" s="74" t="n"/>
      <c r="O4915" s="78">
        <f>IF($A4915="","",YEAR($A4915)*100+MONTH($A4915))</f>
        <v/>
      </c>
      <c r="P4915" s="79">
        <f>IF(OR($F4915="",$D4915=""),"",IF($D4915="Receita",$F4915,IF($D4915="Transferência",0,-$F4915)))</f>
        <v/>
      </c>
    </row>
    <row r="4916">
      <c r="A4916" s="73" t="n"/>
      <c r="B4916" s="74" t="n"/>
      <c r="C4916" s="74" t="n"/>
      <c r="D4916" s="75">
        <f>IF($C4916="","",IFERROR(INDEX(CAT_TIPO,MATCH($C4916,CAT_NOME,0)),"Sem categoria"))</f>
        <v/>
      </c>
      <c r="E4916" s="75">
        <f>IF($C4916="","",IFERROR(INDEX(CAT_GRUPO,MATCH($C4916,CAT_NOME,0)),"Sem categoria"))</f>
        <v/>
      </c>
      <c r="F4916" s="76" t="n"/>
      <c r="G4916" s="74" t="n"/>
      <c r="H4916" s="74" t="n"/>
      <c r="I4916" s="74" t="n"/>
      <c r="J4916" s="77" t="n"/>
      <c r="K4916" s="77" t="n"/>
      <c r="L4916" s="74" t="n"/>
      <c r="M4916" s="74" t="n"/>
      <c r="O4916" s="78">
        <f>IF($A4916="","",YEAR($A4916)*100+MONTH($A4916))</f>
        <v/>
      </c>
      <c r="P4916" s="79">
        <f>IF(OR($F4916="",$D4916=""),"",IF($D4916="Receita",$F4916,IF($D4916="Transferência",0,-$F4916)))</f>
        <v/>
      </c>
    </row>
    <row r="4917">
      <c r="A4917" s="73" t="n"/>
      <c r="B4917" s="74" t="n"/>
      <c r="C4917" s="74" t="n"/>
      <c r="D4917" s="75">
        <f>IF($C4917="","",IFERROR(INDEX(CAT_TIPO,MATCH($C4917,CAT_NOME,0)),"Sem categoria"))</f>
        <v/>
      </c>
      <c r="E4917" s="75">
        <f>IF($C4917="","",IFERROR(INDEX(CAT_GRUPO,MATCH($C4917,CAT_NOME,0)),"Sem categoria"))</f>
        <v/>
      </c>
      <c r="F4917" s="76" t="n"/>
      <c r="G4917" s="74" t="n"/>
      <c r="H4917" s="74" t="n"/>
      <c r="I4917" s="74" t="n"/>
      <c r="J4917" s="77" t="n"/>
      <c r="K4917" s="77" t="n"/>
      <c r="L4917" s="74" t="n"/>
      <c r="M4917" s="74" t="n"/>
      <c r="O4917" s="78">
        <f>IF($A4917="","",YEAR($A4917)*100+MONTH($A4917))</f>
        <v/>
      </c>
      <c r="P4917" s="79">
        <f>IF(OR($F4917="",$D4917=""),"",IF($D4917="Receita",$F4917,IF($D4917="Transferência",0,-$F4917)))</f>
        <v/>
      </c>
    </row>
    <row r="4918">
      <c r="A4918" s="73" t="n"/>
      <c r="B4918" s="74" t="n"/>
      <c r="C4918" s="74" t="n"/>
      <c r="D4918" s="75">
        <f>IF($C4918="","",IFERROR(INDEX(CAT_TIPO,MATCH($C4918,CAT_NOME,0)),"Sem categoria"))</f>
        <v/>
      </c>
      <c r="E4918" s="75">
        <f>IF($C4918="","",IFERROR(INDEX(CAT_GRUPO,MATCH($C4918,CAT_NOME,0)),"Sem categoria"))</f>
        <v/>
      </c>
      <c r="F4918" s="76" t="n"/>
      <c r="G4918" s="74" t="n"/>
      <c r="H4918" s="74" t="n"/>
      <c r="I4918" s="74" t="n"/>
      <c r="J4918" s="77" t="n"/>
      <c r="K4918" s="77" t="n"/>
      <c r="L4918" s="74" t="n"/>
      <c r="M4918" s="74" t="n"/>
      <c r="O4918" s="78">
        <f>IF($A4918="","",YEAR($A4918)*100+MONTH($A4918))</f>
        <v/>
      </c>
      <c r="P4918" s="79">
        <f>IF(OR($F4918="",$D4918=""),"",IF($D4918="Receita",$F4918,IF($D4918="Transferência",0,-$F4918)))</f>
        <v/>
      </c>
    </row>
    <row r="4919">
      <c r="A4919" s="73" t="n"/>
      <c r="B4919" s="74" t="n"/>
      <c r="C4919" s="74" t="n"/>
      <c r="D4919" s="75">
        <f>IF($C4919="","",IFERROR(INDEX(CAT_TIPO,MATCH($C4919,CAT_NOME,0)),"Sem categoria"))</f>
        <v/>
      </c>
      <c r="E4919" s="75">
        <f>IF($C4919="","",IFERROR(INDEX(CAT_GRUPO,MATCH($C4919,CAT_NOME,0)),"Sem categoria"))</f>
        <v/>
      </c>
      <c r="F4919" s="76" t="n"/>
      <c r="G4919" s="74" t="n"/>
      <c r="H4919" s="74" t="n"/>
      <c r="I4919" s="74" t="n"/>
      <c r="J4919" s="77" t="n"/>
      <c r="K4919" s="77" t="n"/>
      <c r="L4919" s="74" t="n"/>
      <c r="M4919" s="74" t="n"/>
      <c r="O4919" s="78">
        <f>IF($A4919="","",YEAR($A4919)*100+MONTH($A4919))</f>
        <v/>
      </c>
      <c r="P4919" s="79">
        <f>IF(OR($F4919="",$D4919=""),"",IF($D4919="Receita",$F4919,IF($D4919="Transferência",0,-$F4919)))</f>
        <v/>
      </c>
    </row>
    <row r="4920">
      <c r="A4920" s="73" t="n"/>
      <c r="B4920" s="74" t="n"/>
      <c r="C4920" s="74" t="n"/>
      <c r="D4920" s="75">
        <f>IF($C4920="","",IFERROR(INDEX(CAT_TIPO,MATCH($C4920,CAT_NOME,0)),"Sem categoria"))</f>
        <v/>
      </c>
      <c r="E4920" s="75">
        <f>IF($C4920="","",IFERROR(INDEX(CAT_GRUPO,MATCH($C4920,CAT_NOME,0)),"Sem categoria"))</f>
        <v/>
      </c>
      <c r="F4920" s="76" t="n"/>
      <c r="G4920" s="74" t="n"/>
      <c r="H4920" s="74" t="n"/>
      <c r="I4920" s="74" t="n"/>
      <c r="J4920" s="77" t="n"/>
      <c r="K4920" s="77" t="n"/>
      <c r="L4920" s="74" t="n"/>
      <c r="M4920" s="74" t="n"/>
      <c r="O4920" s="78">
        <f>IF($A4920="","",YEAR($A4920)*100+MONTH($A4920))</f>
        <v/>
      </c>
      <c r="P4920" s="79">
        <f>IF(OR($F4920="",$D4920=""),"",IF($D4920="Receita",$F4920,IF($D4920="Transferência",0,-$F4920)))</f>
        <v/>
      </c>
    </row>
    <row r="4921">
      <c r="A4921" s="73" t="n"/>
      <c r="B4921" s="74" t="n"/>
      <c r="C4921" s="74" t="n"/>
      <c r="D4921" s="75">
        <f>IF($C4921="","",IFERROR(INDEX(CAT_TIPO,MATCH($C4921,CAT_NOME,0)),"Sem categoria"))</f>
        <v/>
      </c>
      <c r="E4921" s="75">
        <f>IF($C4921="","",IFERROR(INDEX(CAT_GRUPO,MATCH($C4921,CAT_NOME,0)),"Sem categoria"))</f>
        <v/>
      </c>
      <c r="F4921" s="76" t="n"/>
      <c r="G4921" s="74" t="n"/>
      <c r="H4921" s="74" t="n"/>
      <c r="I4921" s="74" t="n"/>
      <c r="J4921" s="77" t="n"/>
      <c r="K4921" s="77" t="n"/>
      <c r="L4921" s="74" t="n"/>
      <c r="M4921" s="74" t="n"/>
      <c r="O4921" s="78">
        <f>IF($A4921="","",YEAR($A4921)*100+MONTH($A4921))</f>
        <v/>
      </c>
      <c r="P4921" s="79">
        <f>IF(OR($F4921="",$D4921=""),"",IF($D4921="Receita",$F4921,IF($D4921="Transferência",0,-$F4921)))</f>
        <v/>
      </c>
    </row>
    <row r="4922">
      <c r="A4922" s="73" t="n"/>
      <c r="B4922" s="74" t="n"/>
      <c r="C4922" s="74" t="n"/>
      <c r="D4922" s="75">
        <f>IF($C4922="","",IFERROR(INDEX(CAT_TIPO,MATCH($C4922,CAT_NOME,0)),"Sem categoria"))</f>
        <v/>
      </c>
      <c r="E4922" s="75">
        <f>IF($C4922="","",IFERROR(INDEX(CAT_GRUPO,MATCH($C4922,CAT_NOME,0)),"Sem categoria"))</f>
        <v/>
      </c>
      <c r="F4922" s="76" t="n"/>
      <c r="G4922" s="74" t="n"/>
      <c r="H4922" s="74" t="n"/>
      <c r="I4922" s="74" t="n"/>
      <c r="J4922" s="77" t="n"/>
      <c r="K4922" s="77" t="n"/>
      <c r="L4922" s="74" t="n"/>
      <c r="M4922" s="74" t="n"/>
      <c r="O4922" s="78">
        <f>IF($A4922="","",YEAR($A4922)*100+MONTH($A4922))</f>
        <v/>
      </c>
      <c r="P4922" s="79">
        <f>IF(OR($F4922="",$D4922=""),"",IF($D4922="Receita",$F4922,IF($D4922="Transferência",0,-$F4922)))</f>
        <v/>
      </c>
    </row>
    <row r="4923">
      <c r="A4923" s="73" t="n"/>
      <c r="B4923" s="74" t="n"/>
      <c r="C4923" s="74" t="n"/>
      <c r="D4923" s="75">
        <f>IF($C4923="","",IFERROR(INDEX(CAT_TIPO,MATCH($C4923,CAT_NOME,0)),"Sem categoria"))</f>
        <v/>
      </c>
      <c r="E4923" s="75">
        <f>IF($C4923="","",IFERROR(INDEX(CAT_GRUPO,MATCH($C4923,CAT_NOME,0)),"Sem categoria"))</f>
        <v/>
      </c>
      <c r="F4923" s="76" t="n"/>
      <c r="G4923" s="74" t="n"/>
      <c r="H4923" s="74" t="n"/>
      <c r="I4923" s="74" t="n"/>
      <c r="J4923" s="77" t="n"/>
      <c r="K4923" s="77" t="n"/>
      <c r="L4923" s="74" t="n"/>
      <c r="M4923" s="74" t="n"/>
      <c r="O4923" s="78">
        <f>IF($A4923="","",YEAR($A4923)*100+MONTH($A4923))</f>
        <v/>
      </c>
      <c r="P4923" s="79">
        <f>IF(OR($F4923="",$D4923=""),"",IF($D4923="Receita",$F4923,IF($D4923="Transferência",0,-$F4923)))</f>
        <v/>
      </c>
    </row>
    <row r="4924">
      <c r="A4924" s="73" t="n"/>
      <c r="B4924" s="74" t="n"/>
      <c r="C4924" s="74" t="n"/>
      <c r="D4924" s="75">
        <f>IF($C4924="","",IFERROR(INDEX(CAT_TIPO,MATCH($C4924,CAT_NOME,0)),"Sem categoria"))</f>
        <v/>
      </c>
      <c r="E4924" s="75">
        <f>IF($C4924="","",IFERROR(INDEX(CAT_GRUPO,MATCH($C4924,CAT_NOME,0)),"Sem categoria"))</f>
        <v/>
      </c>
      <c r="F4924" s="76" t="n"/>
      <c r="G4924" s="74" t="n"/>
      <c r="H4924" s="74" t="n"/>
      <c r="I4924" s="74" t="n"/>
      <c r="J4924" s="77" t="n"/>
      <c r="K4924" s="77" t="n"/>
      <c r="L4924" s="74" t="n"/>
      <c r="M4924" s="74" t="n"/>
      <c r="O4924" s="78">
        <f>IF($A4924="","",YEAR($A4924)*100+MONTH($A4924))</f>
        <v/>
      </c>
      <c r="P4924" s="79">
        <f>IF(OR($F4924="",$D4924=""),"",IF($D4924="Receita",$F4924,IF($D4924="Transferência",0,-$F4924)))</f>
        <v/>
      </c>
    </row>
    <row r="4925">
      <c r="A4925" s="73" t="n"/>
      <c r="B4925" s="74" t="n"/>
      <c r="C4925" s="74" t="n"/>
      <c r="D4925" s="75">
        <f>IF($C4925="","",IFERROR(INDEX(CAT_TIPO,MATCH($C4925,CAT_NOME,0)),"Sem categoria"))</f>
        <v/>
      </c>
      <c r="E4925" s="75">
        <f>IF($C4925="","",IFERROR(INDEX(CAT_GRUPO,MATCH($C4925,CAT_NOME,0)),"Sem categoria"))</f>
        <v/>
      </c>
      <c r="F4925" s="76" t="n"/>
      <c r="G4925" s="74" t="n"/>
      <c r="H4925" s="74" t="n"/>
      <c r="I4925" s="74" t="n"/>
      <c r="J4925" s="77" t="n"/>
      <c r="K4925" s="77" t="n"/>
      <c r="L4925" s="74" t="n"/>
      <c r="M4925" s="74" t="n"/>
      <c r="O4925" s="78">
        <f>IF($A4925="","",YEAR($A4925)*100+MONTH($A4925))</f>
        <v/>
      </c>
      <c r="P4925" s="79">
        <f>IF(OR($F4925="",$D4925=""),"",IF($D4925="Receita",$F4925,IF($D4925="Transferência",0,-$F4925)))</f>
        <v/>
      </c>
    </row>
    <row r="4926">
      <c r="A4926" s="73" t="n"/>
      <c r="B4926" s="74" t="n"/>
      <c r="C4926" s="74" t="n"/>
      <c r="D4926" s="75">
        <f>IF($C4926="","",IFERROR(INDEX(CAT_TIPO,MATCH($C4926,CAT_NOME,0)),"Sem categoria"))</f>
        <v/>
      </c>
      <c r="E4926" s="75">
        <f>IF($C4926="","",IFERROR(INDEX(CAT_GRUPO,MATCH($C4926,CAT_NOME,0)),"Sem categoria"))</f>
        <v/>
      </c>
      <c r="F4926" s="76" t="n"/>
      <c r="G4926" s="74" t="n"/>
      <c r="H4926" s="74" t="n"/>
      <c r="I4926" s="74" t="n"/>
      <c r="J4926" s="77" t="n"/>
      <c r="K4926" s="77" t="n"/>
      <c r="L4926" s="74" t="n"/>
      <c r="M4926" s="74" t="n"/>
      <c r="O4926" s="78">
        <f>IF($A4926="","",YEAR($A4926)*100+MONTH($A4926))</f>
        <v/>
      </c>
      <c r="P4926" s="79">
        <f>IF(OR($F4926="",$D4926=""),"",IF($D4926="Receita",$F4926,IF($D4926="Transferência",0,-$F4926)))</f>
        <v/>
      </c>
    </row>
    <row r="4927">
      <c r="A4927" s="73" t="n"/>
      <c r="B4927" s="74" t="n"/>
      <c r="C4927" s="74" t="n"/>
      <c r="D4927" s="75">
        <f>IF($C4927="","",IFERROR(INDEX(CAT_TIPO,MATCH($C4927,CAT_NOME,0)),"Sem categoria"))</f>
        <v/>
      </c>
      <c r="E4927" s="75">
        <f>IF($C4927="","",IFERROR(INDEX(CAT_GRUPO,MATCH($C4927,CAT_NOME,0)),"Sem categoria"))</f>
        <v/>
      </c>
      <c r="F4927" s="76" t="n"/>
      <c r="G4927" s="74" t="n"/>
      <c r="H4927" s="74" t="n"/>
      <c r="I4927" s="74" t="n"/>
      <c r="J4927" s="77" t="n"/>
      <c r="K4927" s="77" t="n"/>
      <c r="L4927" s="74" t="n"/>
      <c r="M4927" s="74" t="n"/>
      <c r="O4927" s="78">
        <f>IF($A4927="","",YEAR($A4927)*100+MONTH($A4927))</f>
        <v/>
      </c>
      <c r="P4927" s="79">
        <f>IF(OR($F4927="",$D4927=""),"",IF($D4927="Receita",$F4927,IF($D4927="Transferência",0,-$F4927)))</f>
        <v/>
      </c>
    </row>
    <row r="4928">
      <c r="A4928" s="73" t="n"/>
      <c r="B4928" s="74" t="n"/>
      <c r="C4928" s="74" t="n"/>
      <c r="D4928" s="75">
        <f>IF($C4928="","",IFERROR(INDEX(CAT_TIPO,MATCH($C4928,CAT_NOME,0)),"Sem categoria"))</f>
        <v/>
      </c>
      <c r="E4928" s="75">
        <f>IF($C4928="","",IFERROR(INDEX(CAT_GRUPO,MATCH($C4928,CAT_NOME,0)),"Sem categoria"))</f>
        <v/>
      </c>
      <c r="F4928" s="76" t="n"/>
      <c r="G4928" s="74" t="n"/>
      <c r="H4928" s="74" t="n"/>
      <c r="I4928" s="74" t="n"/>
      <c r="J4928" s="77" t="n"/>
      <c r="K4928" s="77" t="n"/>
      <c r="L4928" s="74" t="n"/>
      <c r="M4928" s="74" t="n"/>
      <c r="O4928" s="78">
        <f>IF($A4928="","",YEAR($A4928)*100+MONTH($A4928))</f>
        <v/>
      </c>
      <c r="P4928" s="79">
        <f>IF(OR($F4928="",$D4928=""),"",IF($D4928="Receita",$F4928,IF($D4928="Transferência",0,-$F4928)))</f>
        <v/>
      </c>
    </row>
    <row r="4929">
      <c r="A4929" s="73" t="n"/>
      <c r="B4929" s="74" t="n"/>
      <c r="C4929" s="74" t="n"/>
      <c r="D4929" s="75">
        <f>IF($C4929="","",IFERROR(INDEX(CAT_TIPO,MATCH($C4929,CAT_NOME,0)),"Sem categoria"))</f>
        <v/>
      </c>
      <c r="E4929" s="75">
        <f>IF($C4929="","",IFERROR(INDEX(CAT_GRUPO,MATCH($C4929,CAT_NOME,0)),"Sem categoria"))</f>
        <v/>
      </c>
      <c r="F4929" s="76" t="n"/>
      <c r="G4929" s="74" t="n"/>
      <c r="H4929" s="74" t="n"/>
      <c r="I4929" s="74" t="n"/>
      <c r="J4929" s="77" t="n"/>
      <c r="K4929" s="77" t="n"/>
      <c r="L4929" s="74" t="n"/>
      <c r="M4929" s="74" t="n"/>
      <c r="O4929" s="78">
        <f>IF($A4929="","",YEAR($A4929)*100+MONTH($A4929))</f>
        <v/>
      </c>
      <c r="P4929" s="79">
        <f>IF(OR($F4929="",$D4929=""),"",IF($D4929="Receita",$F4929,IF($D4929="Transferência",0,-$F4929)))</f>
        <v/>
      </c>
    </row>
    <row r="4930">
      <c r="A4930" s="73" t="n"/>
      <c r="B4930" s="74" t="n"/>
      <c r="C4930" s="74" t="n"/>
      <c r="D4930" s="75">
        <f>IF($C4930="","",IFERROR(INDEX(CAT_TIPO,MATCH($C4930,CAT_NOME,0)),"Sem categoria"))</f>
        <v/>
      </c>
      <c r="E4930" s="75">
        <f>IF($C4930="","",IFERROR(INDEX(CAT_GRUPO,MATCH($C4930,CAT_NOME,0)),"Sem categoria"))</f>
        <v/>
      </c>
      <c r="F4930" s="76" t="n"/>
      <c r="G4930" s="74" t="n"/>
      <c r="H4930" s="74" t="n"/>
      <c r="I4930" s="74" t="n"/>
      <c r="J4930" s="77" t="n"/>
      <c r="K4930" s="77" t="n"/>
      <c r="L4930" s="74" t="n"/>
      <c r="M4930" s="74" t="n"/>
      <c r="O4930" s="78">
        <f>IF($A4930="","",YEAR($A4930)*100+MONTH($A4930))</f>
        <v/>
      </c>
      <c r="P4930" s="79">
        <f>IF(OR($F4930="",$D4930=""),"",IF($D4930="Receita",$F4930,IF($D4930="Transferência",0,-$F4930)))</f>
        <v/>
      </c>
    </row>
    <row r="4931">
      <c r="A4931" s="73" t="n"/>
      <c r="B4931" s="74" t="n"/>
      <c r="C4931" s="74" t="n"/>
      <c r="D4931" s="75">
        <f>IF($C4931="","",IFERROR(INDEX(CAT_TIPO,MATCH($C4931,CAT_NOME,0)),"Sem categoria"))</f>
        <v/>
      </c>
      <c r="E4931" s="75">
        <f>IF($C4931="","",IFERROR(INDEX(CAT_GRUPO,MATCH($C4931,CAT_NOME,0)),"Sem categoria"))</f>
        <v/>
      </c>
      <c r="F4931" s="76" t="n"/>
      <c r="G4931" s="74" t="n"/>
      <c r="H4931" s="74" t="n"/>
      <c r="I4931" s="74" t="n"/>
      <c r="J4931" s="77" t="n"/>
      <c r="K4931" s="77" t="n"/>
      <c r="L4931" s="74" t="n"/>
      <c r="M4931" s="74" t="n"/>
      <c r="O4931" s="78">
        <f>IF($A4931="","",YEAR($A4931)*100+MONTH($A4931))</f>
        <v/>
      </c>
      <c r="P4931" s="79">
        <f>IF(OR($F4931="",$D4931=""),"",IF($D4931="Receita",$F4931,IF($D4931="Transferência",0,-$F4931)))</f>
        <v/>
      </c>
    </row>
    <row r="4932">
      <c r="A4932" s="73" t="n"/>
      <c r="B4932" s="74" t="n"/>
      <c r="C4932" s="74" t="n"/>
      <c r="D4932" s="75">
        <f>IF($C4932="","",IFERROR(INDEX(CAT_TIPO,MATCH($C4932,CAT_NOME,0)),"Sem categoria"))</f>
        <v/>
      </c>
      <c r="E4932" s="75">
        <f>IF($C4932="","",IFERROR(INDEX(CAT_GRUPO,MATCH($C4932,CAT_NOME,0)),"Sem categoria"))</f>
        <v/>
      </c>
      <c r="F4932" s="76" t="n"/>
      <c r="G4932" s="74" t="n"/>
      <c r="H4932" s="74" t="n"/>
      <c r="I4932" s="74" t="n"/>
      <c r="J4932" s="77" t="n"/>
      <c r="K4932" s="77" t="n"/>
      <c r="L4932" s="74" t="n"/>
      <c r="M4932" s="74" t="n"/>
      <c r="O4932" s="78">
        <f>IF($A4932="","",YEAR($A4932)*100+MONTH($A4932))</f>
        <v/>
      </c>
      <c r="P4932" s="79">
        <f>IF(OR($F4932="",$D4932=""),"",IF($D4932="Receita",$F4932,IF($D4932="Transferência",0,-$F4932)))</f>
        <v/>
      </c>
    </row>
    <row r="4933">
      <c r="A4933" s="73" t="n"/>
      <c r="B4933" s="74" t="n"/>
      <c r="C4933" s="74" t="n"/>
      <c r="D4933" s="75">
        <f>IF($C4933="","",IFERROR(INDEX(CAT_TIPO,MATCH($C4933,CAT_NOME,0)),"Sem categoria"))</f>
        <v/>
      </c>
      <c r="E4933" s="75">
        <f>IF($C4933="","",IFERROR(INDEX(CAT_GRUPO,MATCH($C4933,CAT_NOME,0)),"Sem categoria"))</f>
        <v/>
      </c>
      <c r="F4933" s="76" t="n"/>
      <c r="G4933" s="74" t="n"/>
      <c r="H4933" s="74" t="n"/>
      <c r="I4933" s="74" t="n"/>
      <c r="J4933" s="77" t="n"/>
      <c r="K4933" s="77" t="n"/>
      <c r="L4933" s="74" t="n"/>
      <c r="M4933" s="74" t="n"/>
      <c r="O4933" s="78">
        <f>IF($A4933="","",YEAR($A4933)*100+MONTH($A4933))</f>
        <v/>
      </c>
      <c r="P4933" s="79">
        <f>IF(OR($F4933="",$D4933=""),"",IF($D4933="Receita",$F4933,IF($D4933="Transferência",0,-$F4933)))</f>
        <v/>
      </c>
    </row>
    <row r="4934">
      <c r="A4934" s="73" t="n"/>
      <c r="B4934" s="74" t="n"/>
      <c r="C4934" s="74" t="n"/>
      <c r="D4934" s="75">
        <f>IF($C4934="","",IFERROR(INDEX(CAT_TIPO,MATCH($C4934,CAT_NOME,0)),"Sem categoria"))</f>
        <v/>
      </c>
      <c r="E4934" s="75">
        <f>IF($C4934="","",IFERROR(INDEX(CAT_GRUPO,MATCH($C4934,CAT_NOME,0)),"Sem categoria"))</f>
        <v/>
      </c>
      <c r="F4934" s="76" t="n"/>
      <c r="G4934" s="74" t="n"/>
      <c r="H4934" s="74" t="n"/>
      <c r="I4934" s="74" t="n"/>
      <c r="J4934" s="77" t="n"/>
      <c r="K4934" s="77" t="n"/>
      <c r="L4934" s="74" t="n"/>
      <c r="M4934" s="74" t="n"/>
      <c r="O4934" s="78">
        <f>IF($A4934="","",YEAR($A4934)*100+MONTH($A4934))</f>
        <v/>
      </c>
      <c r="P4934" s="79">
        <f>IF(OR($F4934="",$D4934=""),"",IF($D4934="Receita",$F4934,IF($D4934="Transferência",0,-$F4934)))</f>
        <v/>
      </c>
    </row>
    <row r="4935">
      <c r="A4935" s="73" t="n"/>
      <c r="B4935" s="74" t="n"/>
      <c r="C4935" s="74" t="n"/>
      <c r="D4935" s="75">
        <f>IF($C4935="","",IFERROR(INDEX(CAT_TIPO,MATCH($C4935,CAT_NOME,0)),"Sem categoria"))</f>
        <v/>
      </c>
      <c r="E4935" s="75">
        <f>IF($C4935="","",IFERROR(INDEX(CAT_GRUPO,MATCH($C4935,CAT_NOME,0)),"Sem categoria"))</f>
        <v/>
      </c>
      <c r="F4935" s="76" t="n"/>
      <c r="G4935" s="74" t="n"/>
      <c r="H4935" s="74" t="n"/>
      <c r="I4935" s="74" t="n"/>
      <c r="J4935" s="77" t="n"/>
      <c r="K4935" s="77" t="n"/>
      <c r="L4935" s="74" t="n"/>
      <c r="M4935" s="74" t="n"/>
      <c r="O4935" s="78">
        <f>IF($A4935="","",YEAR($A4935)*100+MONTH($A4935))</f>
        <v/>
      </c>
      <c r="P4935" s="79">
        <f>IF(OR($F4935="",$D4935=""),"",IF($D4935="Receita",$F4935,IF($D4935="Transferência",0,-$F4935)))</f>
        <v/>
      </c>
    </row>
    <row r="4936">
      <c r="A4936" s="73" t="n"/>
      <c r="B4936" s="74" t="n"/>
      <c r="C4936" s="74" t="n"/>
      <c r="D4936" s="75">
        <f>IF($C4936="","",IFERROR(INDEX(CAT_TIPO,MATCH($C4936,CAT_NOME,0)),"Sem categoria"))</f>
        <v/>
      </c>
      <c r="E4936" s="75">
        <f>IF($C4936="","",IFERROR(INDEX(CAT_GRUPO,MATCH($C4936,CAT_NOME,0)),"Sem categoria"))</f>
        <v/>
      </c>
      <c r="F4936" s="76" t="n"/>
      <c r="G4936" s="74" t="n"/>
      <c r="H4936" s="74" t="n"/>
      <c r="I4936" s="74" t="n"/>
      <c r="J4936" s="77" t="n"/>
      <c r="K4936" s="77" t="n"/>
      <c r="L4936" s="74" t="n"/>
      <c r="M4936" s="74" t="n"/>
      <c r="O4936" s="78">
        <f>IF($A4936="","",YEAR($A4936)*100+MONTH($A4936))</f>
        <v/>
      </c>
      <c r="P4936" s="79">
        <f>IF(OR($F4936="",$D4936=""),"",IF($D4936="Receita",$F4936,IF($D4936="Transferência",0,-$F4936)))</f>
        <v/>
      </c>
    </row>
    <row r="4937">
      <c r="A4937" s="73" t="n"/>
      <c r="B4937" s="74" t="n"/>
      <c r="C4937" s="74" t="n"/>
      <c r="D4937" s="75">
        <f>IF($C4937="","",IFERROR(INDEX(CAT_TIPO,MATCH($C4937,CAT_NOME,0)),"Sem categoria"))</f>
        <v/>
      </c>
      <c r="E4937" s="75">
        <f>IF($C4937="","",IFERROR(INDEX(CAT_GRUPO,MATCH($C4937,CAT_NOME,0)),"Sem categoria"))</f>
        <v/>
      </c>
      <c r="F4937" s="76" t="n"/>
      <c r="G4937" s="74" t="n"/>
      <c r="H4937" s="74" t="n"/>
      <c r="I4937" s="74" t="n"/>
      <c r="J4937" s="77" t="n"/>
      <c r="K4937" s="77" t="n"/>
      <c r="L4937" s="74" t="n"/>
      <c r="M4937" s="74" t="n"/>
      <c r="O4937" s="78">
        <f>IF($A4937="","",YEAR($A4937)*100+MONTH($A4937))</f>
        <v/>
      </c>
      <c r="P4937" s="79">
        <f>IF(OR($F4937="",$D4937=""),"",IF($D4937="Receita",$F4937,IF($D4937="Transferência",0,-$F4937)))</f>
        <v/>
      </c>
    </row>
    <row r="4938">
      <c r="A4938" s="73" t="n"/>
      <c r="B4938" s="74" t="n"/>
      <c r="C4938" s="74" t="n"/>
      <c r="D4938" s="75">
        <f>IF($C4938="","",IFERROR(INDEX(CAT_TIPO,MATCH($C4938,CAT_NOME,0)),"Sem categoria"))</f>
        <v/>
      </c>
      <c r="E4938" s="75">
        <f>IF($C4938="","",IFERROR(INDEX(CAT_GRUPO,MATCH($C4938,CAT_NOME,0)),"Sem categoria"))</f>
        <v/>
      </c>
      <c r="F4938" s="76" t="n"/>
      <c r="G4938" s="74" t="n"/>
      <c r="H4938" s="74" t="n"/>
      <c r="I4938" s="74" t="n"/>
      <c r="J4938" s="77" t="n"/>
      <c r="K4938" s="77" t="n"/>
      <c r="L4938" s="74" t="n"/>
      <c r="M4938" s="74" t="n"/>
      <c r="O4938" s="78">
        <f>IF($A4938="","",YEAR($A4938)*100+MONTH($A4938))</f>
        <v/>
      </c>
      <c r="P4938" s="79">
        <f>IF(OR($F4938="",$D4938=""),"",IF($D4938="Receita",$F4938,IF($D4938="Transferência",0,-$F4938)))</f>
        <v/>
      </c>
    </row>
    <row r="4939">
      <c r="A4939" s="73" t="n"/>
      <c r="B4939" s="74" t="n"/>
      <c r="C4939" s="74" t="n"/>
      <c r="D4939" s="75">
        <f>IF($C4939="","",IFERROR(INDEX(CAT_TIPO,MATCH($C4939,CAT_NOME,0)),"Sem categoria"))</f>
        <v/>
      </c>
      <c r="E4939" s="75">
        <f>IF($C4939="","",IFERROR(INDEX(CAT_GRUPO,MATCH($C4939,CAT_NOME,0)),"Sem categoria"))</f>
        <v/>
      </c>
      <c r="F4939" s="76" t="n"/>
      <c r="G4939" s="74" t="n"/>
      <c r="H4939" s="74" t="n"/>
      <c r="I4939" s="74" t="n"/>
      <c r="J4939" s="77" t="n"/>
      <c r="K4939" s="77" t="n"/>
      <c r="L4939" s="74" t="n"/>
      <c r="M4939" s="74" t="n"/>
      <c r="O4939" s="78">
        <f>IF($A4939="","",YEAR($A4939)*100+MONTH($A4939))</f>
        <v/>
      </c>
      <c r="P4939" s="79">
        <f>IF(OR($F4939="",$D4939=""),"",IF($D4939="Receita",$F4939,IF($D4939="Transferência",0,-$F4939)))</f>
        <v/>
      </c>
    </row>
    <row r="4940">
      <c r="A4940" s="73" t="n"/>
      <c r="B4940" s="74" t="n"/>
      <c r="C4940" s="74" t="n"/>
      <c r="D4940" s="75">
        <f>IF($C4940="","",IFERROR(INDEX(CAT_TIPO,MATCH($C4940,CAT_NOME,0)),"Sem categoria"))</f>
        <v/>
      </c>
      <c r="E4940" s="75">
        <f>IF($C4940="","",IFERROR(INDEX(CAT_GRUPO,MATCH($C4940,CAT_NOME,0)),"Sem categoria"))</f>
        <v/>
      </c>
      <c r="F4940" s="76" t="n"/>
      <c r="G4940" s="74" t="n"/>
      <c r="H4940" s="74" t="n"/>
      <c r="I4940" s="74" t="n"/>
      <c r="J4940" s="77" t="n"/>
      <c r="K4940" s="77" t="n"/>
      <c r="L4940" s="74" t="n"/>
      <c r="M4940" s="74" t="n"/>
      <c r="O4940" s="78">
        <f>IF($A4940="","",YEAR($A4940)*100+MONTH($A4940))</f>
        <v/>
      </c>
      <c r="P4940" s="79">
        <f>IF(OR($F4940="",$D4940=""),"",IF($D4940="Receita",$F4940,IF($D4940="Transferência",0,-$F4940)))</f>
        <v/>
      </c>
    </row>
    <row r="4941">
      <c r="A4941" s="73" t="n"/>
      <c r="B4941" s="74" t="n"/>
      <c r="C4941" s="74" t="n"/>
      <c r="D4941" s="75">
        <f>IF($C4941="","",IFERROR(INDEX(CAT_TIPO,MATCH($C4941,CAT_NOME,0)),"Sem categoria"))</f>
        <v/>
      </c>
      <c r="E4941" s="75">
        <f>IF($C4941="","",IFERROR(INDEX(CAT_GRUPO,MATCH($C4941,CAT_NOME,0)),"Sem categoria"))</f>
        <v/>
      </c>
      <c r="F4941" s="76" t="n"/>
      <c r="G4941" s="74" t="n"/>
      <c r="H4941" s="74" t="n"/>
      <c r="I4941" s="74" t="n"/>
      <c r="J4941" s="77" t="n"/>
      <c r="K4941" s="77" t="n"/>
      <c r="L4941" s="74" t="n"/>
      <c r="M4941" s="74" t="n"/>
      <c r="O4941" s="78">
        <f>IF($A4941="","",YEAR($A4941)*100+MONTH($A4941))</f>
        <v/>
      </c>
      <c r="P4941" s="79">
        <f>IF(OR($F4941="",$D4941=""),"",IF($D4941="Receita",$F4941,IF($D4941="Transferência",0,-$F4941)))</f>
        <v/>
      </c>
    </row>
    <row r="4942">
      <c r="A4942" s="73" t="n"/>
      <c r="B4942" s="74" t="n"/>
      <c r="C4942" s="74" t="n"/>
      <c r="D4942" s="75">
        <f>IF($C4942="","",IFERROR(INDEX(CAT_TIPO,MATCH($C4942,CAT_NOME,0)),"Sem categoria"))</f>
        <v/>
      </c>
      <c r="E4942" s="75">
        <f>IF($C4942="","",IFERROR(INDEX(CAT_GRUPO,MATCH($C4942,CAT_NOME,0)),"Sem categoria"))</f>
        <v/>
      </c>
      <c r="F4942" s="76" t="n"/>
      <c r="G4942" s="74" t="n"/>
      <c r="H4942" s="74" t="n"/>
      <c r="I4942" s="74" t="n"/>
      <c r="J4942" s="77" t="n"/>
      <c r="K4942" s="77" t="n"/>
      <c r="L4942" s="74" t="n"/>
      <c r="M4942" s="74" t="n"/>
      <c r="O4942" s="78">
        <f>IF($A4942="","",YEAR($A4942)*100+MONTH($A4942))</f>
        <v/>
      </c>
      <c r="P4942" s="79">
        <f>IF(OR($F4942="",$D4942=""),"",IF($D4942="Receita",$F4942,IF($D4942="Transferência",0,-$F4942)))</f>
        <v/>
      </c>
    </row>
    <row r="4943">
      <c r="A4943" s="73" t="n"/>
      <c r="B4943" s="74" t="n"/>
      <c r="C4943" s="74" t="n"/>
      <c r="D4943" s="75">
        <f>IF($C4943="","",IFERROR(INDEX(CAT_TIPO,MATCH($C4943,CAT_NOME,0)),"Sem categoria"))</f>
        <v/>
      </c>
      <c r="E4943" s="75">
        <f>IF($C4943="","",IFERROR(INDEX(CAT_GRUPO,MATCH($C4943,CAT_NOME,0)),"Sem categoria"))</f>
        <v/>
      </c>
      <c r="F4943" s="76" t="n"/>
      <c r="G4943" s="74" t="n"/>
      <c r="H4943" s="74" t="n"/>
      <c r="I4943" s="74" t="n"/>
      <c r="J4943" s="77" t="n"/>
      <c r="K4943" s="77" t="n"/>
      <c r="L4943" s="74" t="n"/>
      <c r="M4943" s="74" t="n"/>
      <c r="O4943" s="78">
        <f>IF($A4943="","",YEAR($A4943)*100+MONTH($A4943))</f>
        <v/>
      </c>
      <c r="P4943" s="79">
        <f>IF(OR($F4943="",$D4943=""),"",IF($D4943="Receita",$F4943,IF($D4943="Transferência",0,-$F4943)))</f>
        <v/>
      </c>
    </row>
    <row r="4944">
      <c r="A4944" s="73" t="n"/>
      <c r="B4944" s="74" t="n"/>
      <c r="C4944" s="74" t="n"/>
      <c r="D4944" s="75">
        <f>IF($C4944="","",IFERROR(INDEX(CAT_TIPO,MATCH($C4944,CAT_NOME,0)),"Sem categoria"))</f>
        <v/>
      </c>
      <c r="E4944" s="75">
        <f>IF($C4944="","",IFERROR(INDEX(CAT_GRUPO,MATCH($C4944,CAT_NOME,0)),"Sem categoria"))</f>
        <v/>
      </c>
      <c r="F4944" s="76" t="n"/>
      <c r="G4944" s="74" t="n"/>
      <c r="H4944" s="74" t="n"/>
      <c r="I4944" s="74" t="n"/>
      <c r="J4944" s="77" t="n"/>
      <c r="K4944" s="77" t="n"/>
      <c r="L4944" s="74" t="n"/>
      <c r="M4944" s="74" t="n"/>
      <c r="O4944" s="78">
        <f>IF($A4944="","",YEAR($A4944)*100+MONTH($A4944))</f>
        <v/>
      </c>
      <c r="P4944" s="79">
        <f>IF(OR($F4944="",$D4944=""),"",IF($D4944="Receita",$F4944,IF($D4944="Transferência",0,-$F4944)))</f>
        <v/>
      </c>
    </row>
    <row r="4945">
      <c r="A4945" s="73" t="n"/>
      <c r="B4945" s="74" t="n"/>
      <c r="C4945" s="74" t="n"/>
      <c r="D4945" s="75">
        <f>IF($C4945="","",IFERROR(INDEX(CAT_TIPO,MATCH($C4945,CAT_NOME,0)),"Sem categoria"))</f>
        <v/>
      </c>
      <c r="E4945" s="75">
        <f>IF($C4945="","",IFERROR(INDEX(CAT_GRUPO,MATCH($C4945,CAT_NOME,0)),"Sem categoria"))</f>
        <v/>
      </c>
      <c r="F4945" s="76" t="n"/>
      <c r="G4945" s="74" t="n"/>
      <c r="H4945" s="74" t="n"/>
      <c r="I4945" s="74" t="n"/>
      <c r="J4945" s="77" t="n"/>
      <c r="K4945" s="77" t="n"/>
      <c r="L4945" s="74" t="n"/>
      <c r="M4945" s="74" t="n"/>
      <c r="O4945" s="78">
        <f>IF($A4945="","",YEAR($A4945)*100+MONTH($A4945))</f>
        <v/>
      </c>
      <c r="P4945" s="79">
        <f>IF(OR($F4945="",$D4945=""),"",IF($D4945="Receita",$F4945,IF($D4945="Transferência",0,-$F4945)))</f>
        <v/>
      </c>
    </row>
    <row r="4946">
      <c r="A4946" s="73" t="n"/>
      <c r="B4946" s="74" t="n"/>
      <c r="C4946" s="74" t="n"/>
      <c r="D4946" s="75">
        <f>IF($C4946="","",IFERROR(INDEX(CAT_TIPO,MATCH($C4946,CAT_NOME,0)),"Sem categoria"))</f>
        <v/>
      </c>
      <c r="E4946" s="75">
        <f>IF($C4946="","",IFERROR(INDEX(CAT_GRUPO,MATCH($C4946,CAT_NOME,0)),"Sem categoria"))</f>
        <v/>
      </c>
      <c r="F4946" s="76" t="n"/>
      <c r="G4946" s="74" t="n"/>
      <c r="H4946" s="74" t="n"/>
      <c r="I4946" s="74" t="n"/>
      <c r="J4946" s="77" t="n"/>
      <c r="K4946" s="77" t="n"/>
      <c r="L4946" s="74" t="n"/>
      <c r="M4946" s="74" t="n"/>
      <c r="O4946" s="78">
        <f>IF($A4946="","",YEAR($A4946)*100+MONTH($A4946))</f>
        <v/>
      </c>
      <c r="P4946" s="79">
        <f>IF(OR($F4946="",$D4946=""),"",IF($D4946="Receita",$F4946,IF($D4946="Transferência",0,-$F4946)))</f>
        <v/>
      </c>
    </row>
    <row r="4947">
      <c r="A4947" s="73" t="n"/>
      <c r="B4947" s="74" t="n"/>
      <c r="C4947" s="74" t="n"/>
      <c r="D4947" s="75">
        <f>IF($C4947="","",IFERROR(INDEX(CAT_TIPO,MATCH($C4947,CAT_NOME,0)),"Sem categoria"))</f>
        <v/>
      </c>
      <c r="E4947" s="75">
        <f>IF($C4947="","",IFERROR(INDEX(CAT_GRUPO,MATCH($C4947,CAT_NOME,0)),"Sem categoria"))</f>
        <v/>
      </c>
      <c r="F4947" s="76" t="n"/>
      <c r="G4947" s="74" t="n"/>
      <c r="H4947" s="74" t="n"/>
      <c r="I4947" s="74" t="n"/>
      <c r="J4947" s="77" t="n"/>
      <c r="K4947" s="77" t="n"/>
      <c r="L4947" s="74" t="n"/>
      <c r="M4947" s="74" t="n"/>
      <c r="O4947" s="78">
        <f>IF($A4947="","",YEAR($A4947)*100+MONTH($A4947))</f>
        <v/>
      </c>
      <c r="P4947" s="79">
        <f>IF(OR($F4947="",$D4947=""),"",IF($D4947="Receita",$F4947,IF($D4947="Transferência",0,-$F4947)))</f>
        <v/>
      </c>
    </row>
    <row r="4948">
      <c r="A4948" s="73" t="n"/>
      <c r="B4948" s="74" t="n"/>
      <c r="C4948" s="74" t="n"/>
      <c r="D4948" s="75">
        <f>IF($C4948="","",IFERROR(INDEX(CAT_TIPO,MATCH($C4948,CAT_NOME,0)),"Sem categoria"))</f>
        <v/>
      </c>
      <c r="E4948" s="75">
        <f>IF($C4948="","",IFERROR(INDEX(CAT_GRUPO,MATCH($C4948,CAT_NOME,0)),"Sem categoria"))</f>
        <v/>
      </c>
      <c r="F4948" s="76" t="n"/>
      <c r="G4948" s="74" t="n"/>
      <c r="H4948" s="74" t="n"/>
      <c r="I4948" s="74" t="n"/>
      <c r="J4948" s="77" t="n"/>
      <c r="K4948" s="77" t="n"/>
      <c r="L4948" s="74" t="n"/>
      <c r="M4948" s="74" t="n"/>
      <c r="O4948" s="78">
        <f>IF($A4948="","",YEAR($A4948)*100+MONTH($A4948))</f>
        <v/>
      </c>
      <c r="P4948" s="79">
        <f>IF(OR($F4948="",$D4948=""),"",IF($D4948="Receita",$F4948,IF($D4948="Transferência",0,-$F4948)))</f>
        <v/>
      </c>
    </row>
    <row r="4949">
      <c r="A4949" s="73" t="n"/>
      <c r="B4949" s="74" t="n"/>
      <c r="C4949" s="74" t="n"/>
      <c r="D4949" s="75">
        <f>IF($C4949="","",IFERROR(INDEX(CAT_TIPO,MATCH($C4949,CAT_NOME,0)),"Sem categoria"))</f>
        <v/>
      </c>
      <c r="E4949" s="75">
        <f>IF($C4949="","",IFERROR(INDEX(CAT_GRUPO,MATCH($C4949,CAT_NOME,0)),"Sem categoria"))</f>
        <v/>
      </c>
      <c r="F4949" s="76" t="n"/>
      <c r="G4949" s="74" t="n"/>
      <c r="H4949" s="74" t="n"/>
      <c r="I4949" s="74" t="n"/>
      <c r="J4949" s="77" t="n"/>
      <c r="K4949" s="77" t="n"/>
      <c r="L4949" s="74" t="n"/>
      <c r="M4949" s="74" t="n"/>
      <c r="O4949" s="78">
        <f>IF($A4949="","",YEAR($A4949)*100+MONTH($A4949))</f>
        <v/>
      </c>
      <c r="P4949" s="79">
        <f>IF(OR($F4949="",$D4949=""),"",IF($D4949="Receita",$F4949,IF($D4949="Transferência",0,-$F4949)))</f>
        <v/>
      </c>
    </row>
    <row r="4950">
      <c r="A4950" s="73" t="n"/>
      <c r="B4950" s="74" t="n"/>
      <c r="C4950" s="74" t="n"/>
      <c r="D4950" s="75">
        <f>IF($C4950="","",IFERROR(INDEX(CAT_TIPO,MATCH($C4950,CAT_NOME,0)),"Sem categoria"))</f>
        <v/>
      </c>
      <c r="E4950" s="75">
        <f>IF($C4950="","",IFERROR(INDEX(CAT_GRUPO,MATCH($C4950,CAT_NOME,0)),"Sem categoria"))</f>
        <v/>
      </c>
      <c r="F4950" s="76" t="n"/>
      <c r="G4950" s="74" t="n"/>
      <c r="H4950" s="74" t="n"/>
      <c r="I4950" s="74" t="n"/>
      <c r="J4950" s="77" t="n"/>
      <c r="K4950" s="77" t="n"/>
      <c r="L4950" s="74" t="n"/>
      <c r="M4950" s="74" t="n"/>
      <c r="O4950" s="78">
        <f>IF($A4950="","",YEAR($A4950)*100+MONTH($A4950))</f>
        <v/>
      </c>
      <c r="P4950" s="79">
        <f>IF(OR($F4950="",$D4950=""),"",IF($D4950="Receita",$F4950,IF($D4950="Transferência",0,-$F4950)))</f>
        <v/>
      </c>
    </row>
    <row r="4951">
      <c r="A4951" s="73" t="n"/>
      <c r="B4951" s="74" t="n"/>
      <c r="C4951" s="74" t="n"/>
      <c r="D4951" s="75">
        <f>IF($C4951="","",IFERROR(INDEX(CAT_TIPO,MATCH($C4951,CAT_NOME,0)),"Sem categoria"))</f>
        <v/>
      </c>
      <c r="E4951" s="75">
        <f>IF($C4951="","",IFERROR(INDEX(CAT_GRUPO,MATCH($C4951,CAT_NOME,0)),"Sem categoria"))</f>
        <v/>
      </c>
      <c r="F4951" s="76" t="n"/>
      <c r="G4951" s="74" t="n"/>
      <c r="H4951" s="74" t="n"/>
      <c r="I4951" s="74" t="n"/>
      <c r="J4951" s="77" t="n"/>
      <c r="K4951" s="77" t="n"/>
      <c r="L4951" s="74" t="n"/>
      <c r="M4951" s="74" t="n"/>
      <c r="O4951" s="78">
        <f>IF($A4951="","",YEAR($A4951)*100+MONTH($A4951))</f>
        <v/>
      </c>
      <c r="P4951" s="79">
        <f>IF(OR($F4951="",$D4951=""),"",IF($D4951="Receita",$F4951,IF($D4951="Transferência",0,-$F4951)))</f>
        <v/>
      </c>
    </row>
    <row r="4952">
      <c r="A4952" s="73" t="n"/>
      <c r="B4952" s="74" t="n"/>
      <c r="C4952" s="74" t="n"/>
      <c r="D4952" s="75">
        <f>IF($C4952="","",IFERROR(INDEX(CAT_TIPO,MATCH($C4952,CAT_NOME,0)),"Sem categoria"))</f>
        <v/>
      </c>
      <c r="E4952" s="75">
        <f>IF($C4952="","",IFERROR(INDEX(CAT_GRUPO,MATCH($C4952,CAT_NOME,0)),"Sem categoria"))</f>
        <v/>
      </c>
      <c r="F4952" s="76" t="n"/>
      <c r="G4952" s="74" t="n"/>
      <c r="H4952" s="74" t="n"/>
      <c r="I4952" s="74" t="n"/>
      <c r="J4952" s="77" t="n"/>
      <c r="K4952" s="77" t="n"/>
      <c r="L4952" s="74" t="n"/>
      <c r="M4952" s="74" t="n"/>
      <c r="O4952" s="78">
        <f>IF($A4952="","",YEAR($A4952)*100+MONTH($A4952))</f>
        <v/>
      </c>
      <c r="P4952" s="79">
        <f>IF(OR($F4952="",$D4952=""),"",IF($D4952="Receita",$F4952,IF($D4952="Transferência",0,-$F4952)))</f>
        <v/>
      </c>
    </row>
    <row r="4953">
      <c r="A4953" s="73" t="n"/>
      <c r="B4953" s="74" t="n"/>
      <c r="C4953" s="74" t="n"/>
      <c r="D4953" s="75">
        <f>IF($C4953="","",IFERROR(INDEX(CAT_TIPO,MATCH($C4953,CAT_NOME,0)),"Sem categoria"))</f>
        <v/>
      </c>
      <c r="E4953" s="75">
        <f>IF($C4953="","",IFERROR(INDEX(CAT_GRUPO,MATCH($C4953,CAT_NOME,0)),"Sem categoria"))</f>
        <v/>
      </c>
      <c r="F4953" s="76" t="n"/>
      <c r="G4953" s="74" t="n"/>
      <c r="H4953" s="74" t="n"/>
      <c r="I4953" s="74" t="n"/>
      <c r="J4953" s="77" t="n"/>
      <c r="K4953" s="77" t="n"/>
      <c r="L4953" s="74" t="n"/>
      <c r="M4953" s="74" t="n"/>
      <c r="O4953" s="78">
        <f>IF($A4953="","",YEAR($A4953)*100+MONTH($A4953))</f>
        <v/>
      </c>
      <c r="P4953" s="79">
        <f>IF(OR($F4953="",$D4953=""),"",IF($D4953="Receita",$F4953,IF($D4953="Transferência",0,-$F4953)))</f>
        <v/>
      </c>
    </row>
    <row r="4954">
      <c r="A4954" s="73" t="n"/>
      <c r="B4954" s="74" t="n"/>
      <c r="C4954" s="74" t="n"/>
      <c r="D4954" s="75">
        <f>IF($C4954="","",IFERROR(INDEX(CAT_TIPO,MATCH($C4954,CAT_NOME,0)),"Sem categoria"))</f>
        <v/>
      </c>
      <c r="E4954" s="75">
        <f>IF($C4954="","",IFERROR(INDEX(CAT_GRUPO,MATCH($C4954,CAT_NOME,0)),"Sem categoria"))</f>
        <v/>
      </c>
      <c r="F4954" s="76" t="n"/>
      <c r="G4954" s="74" t="n"/>
      <c r="H4954" s="74" t="n"/>
      <c r="I4954" s="74" t="n"/>
      <c r="J4954" s="77" t="n"/>
      <c r="K4954" s="77" t="n"/>
      <c r="L4954" s="74" t="n"/>
      <c r="M4954" s="74" t="n"/>
      <c r="O4954" s="78">
        <f>IF($A4954="","",YEAR($A4954)*100+MONTH($A4954))</f>
        <v/>
      </c>
      <c r="P4954" s="79">
        <f>IF(OR($F4954="",$D4954=""),"",IF($D4954="Receita",$F4954,IF($D4954="Transferência",0,-$F4954)))</f>
        <v/>
      </c>
    </row>
    <row r="4955">
      <c r="A4955" s="73" t="n"/>
      <c r="B4955" s="74" t="n"/>
      <c r="C4955" s="74" t="n"/>
      <c r="D4955" s="75">
        <f>IF($C4955="","",IFERROR(INDEX(CAT_TIPO,MATCH($C4955,CAT_NOME,0)),"Sem categoria"))</f>
        <v/>
      </c>
      <c r="E4955" s="75">
        <f>IF($C4955="","",IFERROR(INDEX(CAT_GRUPO,MATCH($C4955,CAT_NOME,0)),"Sem categoria"))</f>
        <v/>
      </c>
      <c r="F4955" s="76" t="n"/>
      <c r="G4955" s="74" t="n"/>
      <c r="H4955" s="74" t="n"/>
      <c r="I4955" s="74" t="n"/>
      <c r="J4955" s="77" t="n"/>
      <c r="K4955" s="77" t="n"/>
      <c r="L4955" s="74" t="n"/>
      <c r="M4955" s="74" t="n"/>
      <c r="O4955" s="78">
        <f>IF($A4955="","",YEAR($A4955)*100+MONTH($A4955))</f>
        <v/>
      </c>
      <c r="P4955" s="79">
        <f>IF(OR($F4955="",$D4955=""),"",IF($D4955="Receita",$F4955,IF($D4955="Transferência",0,-$F4955)))</f>
        <v/>
      </c>
    </row>
    <row r="4956">
      <c r="A4956" s="73" t="n"/>
      <c r="B4956" s="74" t="n"/>
      <c r="C4956" s="74" t="n"/>
      <c r="D4956" s="75">
        <f>IF($C4956="","",IFERROR(INDEX(CAT_TIPO,MATCH($C4956,CAT_NOME,0)),"Sem categoria"))</f>
        <v/>
      </c>
      <c r="E4956" s="75">
        <f>IF($C4956="","",IFERROR(INDEX(CAT_GRUPO,MATCH($C4956,CAT_NOME,0)),"Sem categoria"))</f>
        <v/>
      </c>
      <c r="F4956" s="76" t="n"/>
      <c r="G4956" s="74" t="n"/>
      <c r="H4956" s="74" t="n"/>
      <c r="I4956" s="74" t="n"/>
      <c r="J4956" s="77" t="n"/>
      <c r="K4956" s="77" t="n"/>
      <c r="L4956" s="74" t="n"/>
      <c r="M4956" s="74" t="n"/>
      <c r="O4956" s="78">
        <f>IF($A4956="","",YEAR($A4956)*100+MONTH($A4956))</f>
        <v/>
      </c>
      <c r="P4956" s="79">
        <f>IF(OR($F4956="",$D4956=""),"",IF($D4956="Receita",$F4956,IF($D4956="Transferência",0,-$F4956)))</f>
        <v/>
      </c>
    </row>
    <row r="4957">
      <c r="A4957" s="73" t="n"/>
      <c r="B4957" s="74" t="n"/>
      <c r="C4957" s="74" t="n"/>
      <c r="D4957" s="75">
        <f>IF($C4957="","",IFERROR(INDEX(CAT_TIPO,MATCH($C4957,CAT_NOME,0)),"Sem categoria"))</f>
        <v/>
      </c>
      <c r="E4957" s="75">
        <f>IF($C4957="","",IFERROR(INDEX(CAT_GRUPO,MATCH($C4957,CAT_NOME,0)),"Sem categoria"))</f>
        <v/>
      </c>
      <c r="F4957" s="76" t="n"/>
      <c r="G4957" s="74" t="n"/>
      <c r="H4957" s="74" t="n"/>
      <c r="I4957" s="74" t="n"/>
      <c r="J4957" s="77" t="n"/>
      <c r="K4957" s="77" t="n"/>
      <c r="L4957" s="74" t="n"/>
      <c r="M4957" s="74" t="n"/>
      <c r="O4957" s="78">
        <f>IF($A4957="","",YEAR($A4957)*100+MONTH($A4957))</f>
        <v/>
      </c>
      <c r="P4957" s="79">
        <f>IF(OR($F4957="",$D4957=""),"",IF($D4957="Receita",$F4957,IF($D4957="Transferência",0,-$F4957)))</f>
        <v/>
      </c>
    </row>
    <row r="4958">
      <c r="A4958" s="73" t="n"/>
      <c r="B4958" s="74" t="n"/>
      <c r="C4958" s="74" t="n"/>
      <c r="D4958" s="75">
        <f>IF($C4958="","",IFERROR(INDEX(CAT_TIPO,MATCH($C4958,CAT_NOME,0)),"Sem categoria"))</f>
        <v/>
      </c>
      <c r="E4958" s="75">
        <f>IF($C4958="","",IFERROR(INDEX(CAT_GRUPO,MATCH($C4958,CAT_NOME,0)),"Sem categoria"))</f>
        <v/>
      </c>
      <c r="F4958" s="76" t="n"/>
      <c r="G4958" s="74" t="n"/>
      <c r="H4958" s="74" t="n"/>
      <c r="I4958" s="74" t="n"/>
      <c r="J4958" s="77" t="n"/>
      <c r="K4958" s="77" t="n"/>
      <c r="L4958" s="74" t="n"/>
      <c r="M4958" s="74" t="n"/>
      <c r="O4958" s="78">
        <f>IF($A4958="","",YEAR($A4958)*100+MONTH($A4958))</f>
        <v/>
      </c>
      <c r="P4958" s="79">
        <f>IF(OR($F4958="",$D4958=""),"",IF($D4958="Receita",$F4958,IF($D4958="Transferência",0,-$F4958)))</f>
        <v/>
      </c>
    </row>
    <row r="4959">
      <c r="A4959" s="73" t="n"/>
      <c r="B4959" s="74" t="n"/>
      <c r="C4959" s="74" t="n"/>
      <c r="D4959" s="75">
        <f>IF($C4959="","",IFERROR(INDEX(CAT_TIPO,MATCH($C4959,CAT_NOME,0)),"Sem categoria"))</f>
        <v/>
      </c>
      <c r="E4959" s="75">
        <f>IF($C4959="","",IFERROR(INDEX(CAT_GRUPO,MATCH($C4959,CAT_NOME,0)),"Sem categoria"))</f>
        <v/>
      </c>
      <c r="F4959" s="76" t="n"/>
      <c r="G4959" s="74" t="n"/>
      <c r="H4959" s="74" t="n"/>
      <c r="I4959" s="74" t="n"/>
      <c r="J4959" s="77" t="n"/>
      <c r="K4959" s="77" t="n"/>
      <c r="L4959" s="74" t="n"/>
      <c r="M4959" s="74" t="n"/>
      <c r="O4959" s="78">
        <f>IF($A4959="","",YEAR($A4959)*100+MONTH($A4959))</f>
        <v/>
      </c>
      <c r="P4959" s="79">
        <f>IF(OR($F4959="",$D4959=""),"",IF($D4959="Receita",$F4959,IF($D4959="Transferência",0,-$F4959)))</f>
        <v/>
      </c>
    </row>
    <row r="4960">
      <c r="A4960" s="73" t="n"/>
      <c r="B4960" s="74" t="n"/>
      <c r="C4960" s="74" t="n"/>
      <c r="D4960" s="75">
        <f>IF($C4960="","",IFERROR(INDEX(CAT_TIPO,MATCH($C4960,CAT_NOME,0)),"Sem categoria"))</f>
        <v/>
      </c>
      <c r="E4960" s="75">
        <f>IF($C4960="","",IFERROR(INDEX(CAT_GRUPO,MATCH($C4960,CAT_NOME,0)),"Sem categoria"))</f>
        <v/>
      </c>
      <c r="F4960" s="76" t="n"/>
      <c r="G4960" s="74" t="n"/>
      <c r="H4960" s="74" t="n"/>
      <c r="I4960" s="74" t="n"/>
      <c r="J4960" s="77" t="n"/>
      <c r="K4960" s="77" t="n"/>
      <c r="L4960" s="74" t="n"/>
      <c r="M4960" s="74" t="n"/>
      <c r="O4960" s="78">
        <f>IF($A4960="","",YEAR($A4960)*100+MONTH($A4960))</f>
        <v/>
      </c>
      <c r="P4960" s="79">
        <f>IF(OR($F4960="",$D4960=""),"",IF($D4960="Receita",$F4960,IF($D4960="Transferência",0,-$F4960)))</f>
        <v/>
      </c>
    </row>
    <row r="4961">
      <c r="A4961" s="73" t="n"/>
      <c r="B4961" s="74" t="n"/>
      <c r="C4961" s="74" t="n"/>
      <c r="D4961" s="75">
        <f>IF($C4961="","",IFERROR(INDEX(CAT_TIPO,MATCH($C4961,CAT_NOME,0)),"Sem categoria"))</f>
        <v/>
      </c>
      <c r="E4961" s="75">
        <f>IF($C4961="","",IFERROR(INDEX(CAT_GRUPO,MATCH($C4961,CAT_NOME,0)),"Sem categoria"))</f>
        <v/>
      </c>
      <c r="F4961" s="76" t="n"/>
      <c r="G4961" s="74" t="n"/>
      <c r="H4961" s="74" t="n"/>
      <c r="I4961" s="74" t="n"/>
      <c r="J4961" s="77" t="n"/>
      <c r="K4961" s="77" t="n"/>
      <c r="L4961" s="74" t="n"/>
      <c r="M4961" s="74" t="n"/>
      <c r="O4961" s="78">
        <f>IF($A4961="","",YEAR($A4961)*100+MONTH($A4961))</f>
        <v/>
      </c>
      <c r="P4961" s="79">
        <f>IF(OR($F4961="",$D4961=""),"",IF($D4961="Receita",$F4961,IF($D4961="Transferência",0,-$F4961)))</f>
        <v/>
      </c>
    </row>
    <row r="4962">
      <c r="A4962" s="73" t="n"/>
      <c r="B4962" s="74" t="n"/>
      <c r="C4962" s="74" t="n"/>
      <c r="D4962" s="75">
        <f>IF($C4962="","",IFERROR(INDEX(CAT_TIPO,MATCH($C4962,CAT_NOME,0)),"Sem categoria"))</f>
        <v/>
      </c>
      <c r="E4962" s="75">
        <f>IF($C4962="","",IFERROR(INDEX(CAT_GRUPO,MATCH($C4962,CAT_NOME,0)),"Sem categoria"))</f>
        <v/>
      </c>
      <c r="F4962" s="76" t="n"/>
      <c r="G4962" s="74" t="n"/>
      <c r="H4962" s="74" t="n"/>
      <c r="I4962" s="74" t="n"/>
      <c r="J4962" s="77" t="n"/>
      <c r="K4962" s="77" t="n"/>
      <c r="L4962" s="74" t="n"/>
      <c r="M4962" s="74" t="n"/>
      <c r="O4962" s="78">
        <f>IF($A4962="","",YEAR($A4962)*100+MONTH($A4962))</f>
        <v/>
      </c>
      <c r="P4962" s="79">
        <f>IF(OR($F4962="",$D4962=""),"",IF($D4962="Receita",$F4962,IF($D4962="Transferência",0,-$F4962)))</f>
        <v/>
      </c>
    </row>
    <row r="4963">
      <c r="A4963" s="73" t="n"/>
      <c r="B4963" s="74" t="n"/>
      <c r="C4963" s="74" t="n"/>
      <c r="D4963" s="75">
        <f>IF($C4963="","",IFERROR(INDEX(CAT_TIPO,MATCH($C4963,CAT_NOME,0)),"Sem categoria"))</f>
        <v/>
      </c>
      <c r="E4963" s="75">
        <f>IF($C4963="","",IFERROR(INDEX(CAT_GRUPO,MATCH($C4963,CAT_NOME,0)),"Sem categoria"))</f>
        <v/>
      </c>
      <c r="F4963" s="76" t="n"/>
      <c r="G4963" s="74" t="n"/>
      <c r="H4963" s="74" t="n"/>
      <c r="I4963" s="74" t="n"/>
      <c r="J4963" s="77" t="n"/>
      <c r="K4963" s="77" t="n"/>
      <c r="L4963" s="74" t="n"/>
      <c r="M4963" s="74" t="n"/>
      <c r="O4963" s="78">
        <f>IF($A4963="","",YEAR($A4963)*100+MONTH($A4963))</f>
        <v/>
      </c>
      <c r="P4963" s="79">
        <f>IF(OR($F4963="",$D4963=""),"",IF($D4963="Receita",$F4963,IF($D4963="Transferência",0,-$F4963)))</f>
        <v/>
      </c>
    </row>
    <row r="4964">
      <c r="A4964" s="73" t="n"/>
      <c r="B4964" s="74" t="n"/>
      <c r="C4964" s="74" t="n"/>
      <c r="D4964" s="75">
        <f>IF($C4964="","",IFERROR(INDEX(CAT_TIPO,MATCH($C4964,CAT_NOME,0)),"Sem categoria"))</f>
        <v/>
      </c>
      <c r="E4964" s="75">
        <f>IF($C4964="","",IFERROR(INDEX(CAT_GRUPO,MATCH($C4964,CAT_NOME,0)),"Sem categoria"))</f>
        <v/>
      </c>
      <c r="F4964" s="76" t="n"/>
      <c r="G4964" s="74" t="n"/>
      <c r="H4964" s="74" t="n"/>
      <c r="I4964" s="74" t="n"/>
      <c r="J4964" s="77" t="n"/>
      <c r="K4964" s="77" t="n"/>
      <c r="L4964" s="74" t="n"/>
      <c r="M4964" s="74" t="n"/>
      <c r="O4964" s="78">
        <f>IF($A4964="","",YEAR($A4964)*100+MONTH($A4964))</f>
        <v/>
      </c>
      <c r="P4964" s="79">
        <f>IF(OR($F4964="",$D4964=""),"",IF($D4964="Receita",$F4964,IF($D4964="Transferência",0,-$F4964)))</f>
        <v/>
      </c>
    </row>
    <row r="4965">
      <c r="A4965" s="73" t="n"/>
      <c r="B4965" s="74" t="n"/>
      <c r="C4965" s="74" t="n"/>
      <c r="D4965" s="75">
        <f>IF($C4965="","",IFERROR(INDEX(CAT_TIPO,MATCH($C4965,CAT_NOME,0)),"Sem categoria"))</f>
        <v/>
      </c>
      <c r="E4965" s="75">
        <f>IF($C4965="","",IFERROR(INDEX(CAT_GRUPO,MATCH($C4965,CAT_NOME,0)),"Sem categoria"))</f>
        <v/>
      </c>
      <c r="F4965" s="76" t="n"/>
      <c r="G4965" s="74" t="n"/>
      <c r="H4965" s="74" t="n"/>
      <c r="I4965" s="74" t="n"/>
      <c r="J4965" s="77" t="n"/>
      <c r="K4965" s="77" t="n"/>
      <c r="L4965" s="74" t="n"/>
      <c r="M4965" s="74" t="n"/>
      <c r="O4965" s="78">
        <f>IF($A4965="","",YEAR($A4965)*100+MONTH($A4965))</f>
        <v/>
      </c>
      <c r="P4965" s="79">
        <f>IF(OR($F4965="",$D4965=""),"",IF($D4965="Receita",$F4965,IF($D4965="Transferência",0,-$F4965)))</f>
        <v/>
      </c>
    </row>
    <row r="4966">
      <c r="A4966" s="73" t="n"/>
      <c r="B4966" s="74" t="n"/>
      <c r="C4966" s="74" t="n"/>
      <c r="D4966" s="75">
        <f>IF($C4966="","",IFERROR(INDEX(CAT_TIPO,MATCH($C4966,CAT_NOME,0)),"Sem categoria"))</f>
        <v/>
      </c>
      <c r="E4966" s="75">
        <f>IF($C4966="","",IFERROR(INDEX(CAT_GRUPO,MATCH($C4966,CAT_NOME,0)),"Sem categoria"))</f>
        <v/>
      </c>
      <c r="F4966" s="76" t="n"/>
      <c r="G4966" s="74" t="n"/>
      <c r="H4966" s="74" t="n"/>
      <c r="I4966" s="74" t="n"/>
      <c r="J4966" s="77" t="n"/>
      <c r="K4966" s="77" t="n"/>
      <c r="L4966" s="74" t="n"/>
      <c r="M4966" s="74" t="n"/>
      <c r="O4966" s="78">
        <f>IF($A4966="","",YEAR($A4966)*100+MONTH($A4966))</f>
        <v/>
      </c>
      <c r="P4966" s="79">
        <f>IF(OR($F4966="",$D4966=""),"",IF($D4966="Receita",$F4966,IF($D4966="Transferência",0,-$F4966)))</f>
        <v/>
      </c>
    </row>
    <row r="4967">
      <c r="A4967" s="73" t="n"/>
      <c r="B4967" s="74" t="n"/>
      <c r="C4967" s="74" t="n"/>
      <c r="D4967" s="75">
        <f>IF($C4967="","",IFERROR(INDEX(CAT_TIPO,MATCH($C4967,CAT_NOME,0)),"Sem categoria"))</f>
        <v/>
      </c>
      <c r="E4967" s="75">
        <f>IF($C4967="","",IFERROR(INDEX(CAT_GRUPO,MATCH($C4967,CAT_NOME,0)),"Sem categoria"))</f>
        <v/>
      </c>
      <c r="F4967" s="76" t="n"/>
      <c r="G4967" s="74" t="n"/>
      <c r="H4967" s="74" t="n"/>
      <c r="I4967" s="74" t="n"/>
      <c r="J4967" s="77" t="n"/>
      <c r="K4967" s="77" t="n"/>
      <c r="L4967" s="74" t="n"/>
      <c r="M4967" s="74" t="n"/>
      <c r="O4967" s="78">
        <f>IF($A4967="","",YEAR($A4967)*100+MONTH($A4967))</f>
        <v/>
      </c>
      <c r="P4967" s="79">
        <f>IF(OR($F4967="",$D4967=""),"",IF($D4967="Receita",$F4967,IF($D4967="Transferência",0,-$F4967)))</f>
        <v/>
      </c>
    </row>
    <row r="4968">
      <c r="A4968" s="73" t="n"/>
      <c r="B4968" s="74" t="n"/>
      <c r="C4968" s="74" t="n"/>
      <c r="D4968" s="75">
        <f>IF($C4968="","",IFERROR(INDEX(CAT_TIPO,MATCH($C4968,CAT_NOME,0)),"Sem categoria"))</f>
        <v/>
      </c>
      <c r="E4968" s="75">
        <f>IF($C4968="","",IFERROR(INDEX(CAT_GRUPO,MATCH($C4968,CAT_NOME,0)),"Sem categoria"))</f>
        <v/>
      </c>
      <c r="F4968" s="76" t="n"/>
      <c r="G4968" s="74" t="n"/>
      <c r="H4968" s="74" t="n"/>
      <c r="I4968" s="74" t="n"/>
      <c r="J4968" s="77" t="n"/>
      <c r="K4968" s="77" t="n"/>
      <c r="L4968" s="74" t="n"/>
      <c r="M4968" s="74" t="n"/>
      <c r="O4968" s="78">
        <f>IF($A4968="","",YEAR($A4968)*100+MONTH($A4968))</f>
        <v/>
      </c>
      <c r="P4968" s="79">
        <f>IF(OR($F4968="",$D4968=""),"",IF($D4968="Receita",$F4968,IF($D4968="Transferência",0,-$F4968)))</f>
        <v/>
      </c>
    </row>
    <row r="4969">
      <c r="A4969" s="73" t="n"/>
      <c r="B4969" s="74" t="n"/>
      <c r="C4969" s="74" t="n"/>
      <c r="D4969" s="75">
        <f>IF($C4969="","",IFERROR(INDEX(CAT_TIPO,MATCH($C4969,CAT_NOME,0)),"Sem categoria"))</f>
        <v/>
      </c>
      <c r="E4969" s="75">
        <f>IF($C4969="","",IFERROR(INDEX(CAT_GRUPO,MATCH($C4969,CAT_NOME,0)),"Sem categoria"))</f>
        <v/>
      </c>
      <c r="F4969" s="76" t="n"/>
      <c r="G4969" s="74" t="n"/>
      <c r="H4969" s="74" t="n"/>
      <c r="I4969" s="74" t="n"/>
      <c r="J4969" s="77" t="n"/>
      <c r="K4969" s="77" t="n"/>
      <c r="L4969" s="74" t="n"/>
      <c r="M4969" s="74" t="n"/>
      <c r="O4969" s="78">
        <f>IF($A4969="","",YEAR($A4969)*100+MONTH($A4969))</f>
        <v/>
      </c>
      <c r="P4969" s="79">
        <f>IF(OR($F4969="",$D4969=""),"",IF($D4969="Receita",$F4969,IF($D4969="Transferência",0,-$F4969)))</f>
        <v/>
      </c>
    </row>
    <row r="4970">
      <c r="A4970" s="73" t="n"/>
      <c r="B4970" s="74" t="n"/>
      <c r="C4970" s="74" t="n"/>
      <c r="D4970" s="75">
        <f>IF($C4970="","",IFERROR(INDEX(CAT_TIPO,MATCH($C4970,CAT_NOME,0)),"Sem categoria"))</f>
        <v/>
      </c>
      <c r="E4970" s="75">
        <f>IF($C4970="","",IFERROR(INDEX(CAT_GRUPO,MATCH($C4970,CAT_NOME,0)),"Sem categoria"))</f>
        <v/>
      </c>
      <c r="F4970" s="76" t="n"/>
      <c r="G4970" s="74" t="n"/>
      <c r="H4970" s="74" t="n"/>
      <c r="I4970" s="74" t="n"/>
      <c r="J4970" s="77" t="n"/>
      <c r="K4970" s="77" t="n"/>
      <c r="L4970" s="74" t="n"/>
      <c r="M4970" s="74" t="n"/>
      <c r="O4970" s="78">
        <f>IF($A4970="","",YEAR($A4970)*100+MONTH($A4970))</f>
        <v/>
      </c>
      <c r="P4970" s="79">
        <f>IF(OR($F4970="",$D4970=""),"",IF($D4970="Receita",$F4970,IF($D4970="Transferência",0,-$F4970)))</f>
        <v/>
      </c>
    </row>
    <row r="4971">
      <c r="A4971" s="73" t="n"/>
      <c r="B4971" s="74" t="n"/>
      <c r="C4971" s="74" t="n"/>
      <c r="D4971" s="75">
        <f>IF($C4971="","",IFERROR(INDEX(CAT_TIPO,MATCH($C4971,CAT_NOME,0)),"Sem categoria"))</f>
        <v/>
      </c>
      <c r="E4971" s="75">
        <f>IF($C4971="","",IFERROR(INDEX(CAT_GRUPO,MATCH($C4971,CAT_NOME,0)),"Sem categoria"))</f>
        <v/>
      </c>
      <c r="F4971" s="76" t="n"/>
      <c r="G4971" s="74" t="n"/>
      <c r="H4971" s="74" t="n"/>
      <c r="I4971" s="74" t="n"/>
      <c r="J4971" s="77" t="n"/>
      <c r="K4971" s="77" t="n"/>
      <c r="L4971" s="74" t="n"/>
      <c r="M4971" s="74" t="n"/>
      <c r="O4971" s="78">
        <f>IF($A4971="","",YEAR($A4971)*100+MONTH($A4971))</f>
        <v/>
      </c>
      <c r="P4971" s="79">
        <f>IF(OR($F4971="",$D4971=""),"",IF($D4971="Receita",$F4971,IF($D4971="Transferência",0,-$F4971)))</f>
        <v/>
      </c>
    </row>
    <row r="4972">
      <c r="A4972" s="73" t="n"/>
      <c r="B4972" s="74" t="n"/>
      <c r="C4972" s="74" t="n"/>
      <c r="D4972" s="75">
        <f>IF($C4972="","",IFERROR(INDEX(CAT_TIPO,MATCH($C4972,CAT_NOME,0)),"Sem categoria"))</f>
        <v/>
      </c>
      <c r="E4972" s="75">
        <f>IF($C4972="","",IFERROR(INDEX(CAT_GRUPO,MATCH($C4972,CAT_NOME,0)),"Sem categoria"))</f>
        <v/>
      </c>
      <c r="F4972" s="76" t="n"/>
      <c r="G4972" s="74" t="n"/>
      <c r="H4972" s="74" t="n"/>
      <c r="I4972" s="74" t="n"/>
      <c r="J4972" s="77" t="n"/>
      <c r="K4972" s="77" t="n"/>
      <c r="L4972" s="74" t="n"/>
      <c r="M4972" s="74" t="n"/>
      <c r="O4972" s="78">
        <f>IF($A4972="","",YEAR($A4972)*100+MONTH($A4972))</f>
        <v/>
      </c>
      <c r="P4972" s="79">
        <f>IF(OR($F4972="",$D4972=""),"",IF($D4972="Receita",$F4972,IF($D4972="Transferência",0,-$F4972)))</f>
        <v/>
      </c>
    </row>
    <row r="4973">
      <c r="A4973" s="73" t="n"/>
      <c r="B4973" s="74" t="n"/>
      <c r="C4973" s="74" t="n"/>
      <c r="D4973" s="75">
        <f>IF($C4973="","",IFERROR(INDEX(CAT_TIPO,MATCH($C4973,CAT_NOME,0)),"Sem categoria"))</f>
        <v/>
      </c>
      <c r="E4973" s="75">
        <f>IF($C4973="","",IFERROR(INDEX(CAT_GRUPO,MATCH($C4973,CAT_NOME,0)),"Sem categoria"))</f>
        <v/>
      </c>
      <c r="F4973" s="76" t="n"/>
      <c r="G4973" s="74" t="n"/>
      <c r="H4973" s="74" t="n"/>
      <c r="I4973" s="74" t="n"/>
      <c r="J4973" s="77" t="n"/>
      <c r="K4973" s="77" t="n"/>
      <c r="L4973" s="74" t="n"/>
      <c r="M4973" s="74" t="n"/>
      <c r="O4973" s="78">
        <f>IF($A4973="","",YEAR($A4973)*100+MONTH($A4973))</f>
        <v/>
      </c>
      <c r="P4973" s="79">
        <f>IF(OR($F4973="",$D4973=""),"",IF($D4973="Receita",$F4973,IF($D4973="Transferência",0,-$F4973)))</f>
        <v/>
      </c>
    </row>
    <row r="4974">
      <c r="A4974" s="73" t="n"/>
      <c r="B4974" s="74" t="n"/>
      <c r="C4974" s="74" t="n"/>
      <c r="D4974" s="75">
        <f>IF($C4974="","",IFERROR(INDEX(CAT_TIPO,MATCH($C4974,CAT_NOME,0)),"Sem categoria"))</f>
        <v/>
      </c>
      <c r="E4974" s="75">
        <f>IF($C4974="","",IFERROR(INDEX(CAT_GRUPO,MATCH($C4974,CAT_NOME,0)),"Sem categoria"))</f>
        <v/>
      </c>
      <c r="F4974" s="76" t="n"/>
      <c r="G4974" s="74" t="n"/>
      <c r="H4974" s="74" t="n"/>
      <c r="I4974" s="74" t="n"/>
      <c r="J4974" s="77" t="n"/>
      <c r="K4974" s="77" t="n"/>
      <c r="L4974" s="74" t="n"/>
      <c r="M4974" s="74" t="n"/>
      <c r="O4974" s="78">
        <f>IF($A4974="","",YEAR($A4974)*100+MONTH($A4974))</f>
        <v/>
      </c>
      <c r="P4974" s="79">
        <f>IF(OR($F4974="",$D4974=""),"",IF($D4974="Receita",$F4974,IF($D4974="Transferência",0,-$F4974)))</f>
        <v/>
      </c>
    </row>
    <row r="4975">
      <c r="A4975" s="73" t="n"/>
      <c r="B4975" s="74" t="n"/>
      <c r="C4975" s="74" t="n"/>
      <c r="D4975" s="75">
        <f>IF($C4975="","",IFERROR(INDEX(CAT_TIPO,MATCH($C4975,CAT_NOME,0)),"Sem categoria"))</f>
        <v/>
      </c>
      <c r="E4975" s="75">
        <f>IF($C4975="","",IFERROR(INDEX(CAT_GRUPO,MATCH($C4975,CAT_NOME,0)),"Sem categoria"))</f>
        <v/>
      </c>
      <c r="F4975" s="76" t="n"/>
      <c r="G4975" s="74" t="n"/>
      <c r="H4975" s="74" t="n"/>
      <c r="I4975" s="74" t="n"/>
      <c r="J4975" s="77" t="n"/>
      <c r="K4975" s="77" t="n"/>
      <c r="L4975" s="74" t="n"/>
      <c r="M4975" s="74" t="n"/>
      <c r="O4975" s="78">
        <f>IF($A4975="","",YEAR($A4975)*100+MONTH($A4975))</f>
        <v/>
      </c>
      <c r="P4975" s="79">
        <f>IF(OR($F4975="",$D4975=""),"",IF($D4975="Receita",$F4975,IF($D4975="Transferência",0,-$F4975)))</f>
        <v/>
      </c>
    </row>
    <row r="4976">
      <c r="A4976" s="73" t="n"/>
      <c r="B4976" s="74" t="n"/>
      <c r="C4976" s="74" t="n"/>
      <c r="D4976" s="75">
        <f>IF($C4976="","",IFERROR(INDEX(CAT_TIPO,MATCH($C4976,CAT_NOME,0)),"Sem categoria"))</f>
        <v/>
      </c>
      <c r="E4976" s="75">
        <f>IF($C4976="","",IFERROR(INDEX(CAT_GRUPO,MATCH($C4976,CAT_NOME,0)),"Sem categoria"))</f>
        <v/>
      </c>
      <c r="F4976" s="76" t="n"/>
      <c r="G4976" s="74" t="n"/>
      <c r="H4976" s="74" t="n"/>
      <c r="I4976" s="74" t="n"/>
      <c r="J4976" s="77" t="n"/>
      <c r="K4976" s="77" t="n"/>
      <c r="L4976" s="74" t="n"/>
      <c r="M4976" s="74" t="n"/>
      <c r="O4976" s="78">
        <f>IF($A4976="","",YEAR($A4976)*100+MONTH($A4976))</f>
        <v/>
      </c>
      <c r="P4976" s="79">
        <f>IF(OR($F4976="",$D4976=""),"",IF($D4976="Receita",$F4976,IF($D4976="Transferência",0,-$F4976)))</f>
        <v/>
      </c>
    </row>
    <row r="4977">
      <c r="A4977" s="73" t="n"/>
      <c r="B4977" s="74" t="n"/>
      <c r="C4977" s="74" t="n"/>
      <c r="D4977" s="75">
        <f>IF($C4977="","",IFERROR(INDEX(CAT_TIPO,MATCH($C4977,CAT_NOME,0)),"Sem categoria"))</f>
        <v/>
      </c>
      <c r="E4977" s="75">
        <f>IF($C4977="","",IFERROR(INDEX(CAT_GRUPO,MATCH($C4977,CAT_NOME,0)),"Sem categoria"))</f>
        <v/>
      </c>
      <c r="F4977" s="76" t="n"/>
      <c r="G4977" s="74" t="n"/>
      <c r="H4977" s="74" t="n"/>
      <c r="I4977" s="74" t="n"/>
      <c r="J4977" s="77" t="n"/>
      <c r="K4977" s="77" t="n"/>
      <c r="L4977" s="74" t="n"/>
      <c r="M4977" s="74" t="n"/>
      <c r="O4977" s="78">
        <f>IF($A4977="","",YEAR($A4977)*100+MONTH($A4977))</f>
        <v/>
      </c>
      <c r="P4977" s="79">
        <f>IF(OR($F4977="",$D4977=""),"",IF($D4977="Receita",$F4977,IF($D4977="Transferência",0,-$F4977)))</f>
        <v/>
      </c>
    </row>
    <row r="4978">
      <c r="A4978" s="73" t="n"/>
      <c r="B4978" s="74" t="n"/>
      <c r="C4978" s="74" t="n"/>
      <c r="D4978" s="75">
        <f>IF($C4978="","",IFERROR(INDEX(CAT_TIPO,MATCH($C4978,CAT_NOME,0)),"Sem categoria"))</f>
        <v/>
      </c>
      <c r="E4978" s="75">
        <f>IF($C4978="","",IFERROR(INDEX(CAT_GRUPO,MATCH($C4978,CAT_NOME,0)),"Sem categoria"))</f>
        <v/>
      </c>
      <c r="F4978" s="76" t="n"/>
      <c r="G4978" s="74" t="n"/>
      <c r="H4978" s="74" t="n"/>
      <c r="I4978" s="74" t="n"/>
      <c r="J4978" s="77" t="n"/>
      <c r="K4978" s="77" t="n"/>
      <c r="L4978" s="74" t="n"/>
      <c r="M4978" s="74" t="n"/>
      <c r="O4978" s="78">
        <f>IF($A4978="","",YEAR($A4978)*100+MONTH($A4978))</f>
        <v/>
      </c>
      <c r="P4978" s="79">
        <f>IF(OR($F4978="",$D4978=""),"",IF($D4978="Receita",$F4978,IF($D4978="Transferência",0,-$F4978)))</f>
        <v/>
      </c>
    </row>
    <row r="4979">
      <c r="A4979" s="73" t="n"/>
      <c r="B4979" s="74" t="n"/>
      <c r="C4979" s="74" t="n"/>
      <c r="D4979" s="75">
        <f>IF($C4979="","",IFERROR(INDEX(CAT_TIPO,MATCH($C4979,CAT_NOME,0)),"Sem categoria"))</f>
        <v/>
      </c>
      <c r="E4979" s="75">
        <f>IF($C4979="","",IFERROR(INDEX(CAT_GRUPO,MATCH($C4979,CAT_NOME,0)),"Sem categoria"))</f>
        <v/>
      </c>
      <c r="F4979" s="76" t="n"/>
      <c r="G4979" s="74" t="n"/>
      <c r="H4979" s="74" t="n"/>
      <c r="I4979" s="74" t="n"/>
      <c r="J4979" s="77" t="n"/>
      <c r="K4979" s="77" t="n"/>
      <c r="L4979" s="74" t="n"/>
      <c r="M4979" s="74" t="n"/>
      <c r="O4979" s="78">
        <f>IF($A4979="","",YEAR($A4979)*100+MONTH($A4979))</f>
        <v/>
      </c>
      <c r="P4979" s="79">
        <f>IF(OR($F4979="",$D4979=""),"",IF($D4979="Receita",$F4979,IF($D4979="Transferência",0,-$F4979)))</f>
        <v/>
      </c>
    </row>
    <row r="4980">
      <c r="A4980" s="73" t="n"/>
      <c r="B4980" s="74" t="n"/>
      <c r="C4980" s="74" t="n"/>
      <c r="D4980" s="75">
        <f>IF($C4980="","",IFERROR(INDEX(CAT_TIPO,MATCH($C4980,CAT_NOME,0)),"Sem categoria"))</f>
        <v/>
      </c>
      <c r="E4980" s="75">
        <f>IF($C4980="","",IFERROR(INDEX(CAT_GRUPO,MATCH($C4980,CAT_NOME,0)),"Sem categoria"))</f>
        <v/>
      </c>
      <c r="F4980" s="76" t="n"/>
      <c r="G4980" s="74" t="n"/>
      <c r="H4980" s="74" t="n"/>
      <c r="I4980" s="74" t="n"/>
      <c r="J4980" s="77" t="n"/>
      <c r="K4980" s="77" t="n"/>
      <c r="L4980" s="74" t="n"/>
      <c r="M4980" s="74" t="n"/>
      <c r="O4980" s="78">
        <f>IF($A4980="","",YEAR($A4980)*100+MONTH($A4980))</f>
        <v/>
      </c>
      <c r="P4980" s="79">
        <f>IF(OR($F4980="",$D4980=""),"",IF($D4980="Receita",$F4980,IF($D4980="Transferência",0,-$F4980)))</f>
        <v/>
      </c>
    </row>
    <row r="4981">
      <c r="A4981" s="73" t="n"/>
      <c r="B4981" s="74" t="n"/>
      <c r="C4981" s="74" t="n"/>
      <c r="D4981" s="75">
        <f>IF($C4981="","",IFERROR(INDEX(CAT_TIPO,MATCH($C4981,CAT_NOME,0)),"Sem categoria"))</f>
        <v/>
      </c>
      <c r="E4981" s="75">
        <f>IF($C4981="","",IFERROR(INDEX(CAT_GRUPO,MATCH($C4981,CAT_NOME,0)),"Sem categoria"))</f>
        <v/>
      </c>
      <c r="F4981" s="76" t="n"/>
      <c r="G4981" s="74" t="n"/>
      <c r="H4981" s="74" t="n"/>
      <c r="I4981" s="74" t="n"/>
      <c r="J4981" s="77" t="n"/>
      <c r="K4981" s="77" t="n"/>
      <c r="L4981" s="74" t="n"/>
      <c r="M4981" s="74" t="n"/>
      <c r="O4981" s="78">
        <f>IF($A4981="","",YEAR($A4981)*100+MONTH($A4981))</f>
        <v/>
      </c>
      <c r="P4981" s="79">
        <f>IF(OR($F4981="",$D4981=""),"",IF($D4981="Receita",$F4981,IF($D4981="Transferência",0,-$F4981)))</f>
        <v/>
      </c>
    </row>
    <row r="4982">
      <c r="A4982" s="73" t="n"/>
      <c r="B4982" s="74" t="n"/>
      <c r="C4982" s="74" t="n"/>
      <c r="D4982" s="75">
        <f>IF($C4982="","",IFERROR(INDEX(CAT_TIPO,MATCH($C4982,CAT_NOME,0)),"Sem categoria"))</f>
        <v/>
      </c>
      <c r="E4982" s="75">
        <f>IF($C4982="","",IFERROR(INDEX(CAT_GRUPO,MATCH($C4982,CAT_NOME,0)),"Sem categoria"))</f>
        <v/>
      </c>
      <c r="F4982" s="76" t="n"/>
      <c r="G4982" s="74" t="n"/>
      <c r="H4982" s="74" t="n"/>
      <c r="I4982" s="74" t="n"/>
      <c r="J4982" s="77" t="n"/>
      <c r="K4982" s="77" t="n"/>
      <c r="L4982" s="74" t="n"/>
      <c r="M4982" s="74" t="n"/>
      <c r="O4982" s="78">
        <f>IF($A4982="","",YEAR($A4982)*100+MONTH($A4982))</f>
        <v/>
      </c>
      <c r="P4982" s="79">
        <f>IF(OR($F4982="",$D4982=""),"",IF($D4982="Receita",$F4982,IF($D4982="Transferência",0,-$F4982)))</f>
        <v/>
      </c>
    </row>
    <row r="4983">
      <c r="A4983" s="73" t="n"/>
      <c r="B4983" s="74" t="n"/>
      <c r="C4983" s="74" t="n"/>
      <c r="D4983" s="75">
        <f>IF($C4983="","",IFERROR(INDEX(CAT_TIPO,MATCH($C4983,CAT_NOME,0)),"Sem categoria"))</f>
        <v/>
      </c>
      <c r="E4983" s="75">
        <f>IF($C4983="","",IFERROR(INDEX(CAT_GRUPO,MATCH($C4983,CAT_NOME,0)),"Sem categoria"))</f>
        <v/>
      </c>
      <c r="F4983" s="76" t="n"/>
      <c r="G4983" s="74" t="n"/>
      <c r="H4983" s="74" t="n"/>
      <c r="I4983" s="74" t="n"/>
      <c r="J4983" s="77" t="n"/>
      <c r="K4983" s="77" t="n"/>
      <c r="L4983" s="74" t="n"/>
      <c r="M4983" s="74" t="n"/>
      <c r="O4983" s="78">
        <f>IF($A4983="","",YEAR($A4983)*100+MONTH($A4983))</f>
        <v/>
      </c>
      <c r="P4983" s="79">
        <f>IF(OR($F4983="",$D4983=""),"",IF($D4983="Receita",$F4983,IF($D4983="Transferência",0,-$F4983)))</f>
        <v/>
      </c>
    </row>
    <row r="4984">
      <c r="A4984" s="73" t="n"/>
      <c r="B4984" s="74" t="n"/>
      <c r="C4984" s="74" t="n"/>
      <c r="D4984" s="75">
        <f>IF($C4984="","",IFERROR(INDEX(CAT_TIPO,MATCH($C4984,CAT_NOME,0)),"Sem categoria"))</f>
        <v/>
      </c>
      <c r="E4984" s="75">
        <f>IF($C4984="","",IFERROR(INDEX(CAT_GRUPO,MATCH($C4984,CAT_NOME,0)),"Sem categoria"))</f>
        <v/>
      </c>
      <c r="F4984" s="76" t="n"/>
      <c r="G4984" s="74" t="n"/>
      <c r="H4984" s="74" t="n"/>
      <c r="I4984" s="74" t="n"/>
      <c r="J4984" s="77" t="n"/>
      <c r="K4984" s="77" t="n"/>
      <c r="L4984" s="74" t="n"/>
      <c r="M4984" s="74" t="n"/>
      <c r="O4984" s="78">
        <f>IF($A4984="","",YEAR($A4984)*100+MONTH($A4984))</f>
        <v/>
      </c>
      <c r="P4984" s="79">
        <f>IF(OR($F4984="",$D4984=""),"",IF($D4984="Receita",$F4984,IF($D4984="Transferência",0,-$F4984)))</f>
        <v/>
      </c>
    </row>
    <row r="4985">
      <c r="A4985" s="73" t="n"/>
      <c r="B4985" s="74" t="n"/>
      <c r="C4985" s="74" t="n"/>
      <c r="D4985" s="75">
        <f>IF($C4985="","",IFERROR(INDEX(CAT_TIPO,MATCH($C4985,CAT_NOME,0)),"Sem categoria"))</f>
        <v/>
      </c>
      <c r="E4985" s="75">
        <f>IF($C4985="","",IFERROR(INDEX(CAT_GRUPO,MATCH($C4985,CAT_NOME,0)),"Sem categoria"))</f>
        <v/>
      </c>
      <c r="F4985" s="76" t="n"/>
      <c r="G4985" s="74" t="n"/>
      <c r="H4985" s="74" t="n"/>
      <c r="I4985" s="74" t="n"/>
      <c r="J4985" s="77" t="n"/>
      <c r="K4985" s="77" t="n"/>
      <c r="L4985" s="74" t="n"/>
      <c r="M4985" s="74" t="n"/>
      <c r="O4985" s="78">
        <f>IF($A4985="","",YEAR($A4985)*100+MONTH($A4985))</f>
        <v/>
      </c>
      <c r="P4985" s="79">
        <f>IF(OR($F4985="",$D4985=""),"",IF($D4985="Receita",$F4985,IF($D4985="Transferência",0,-$F4985)))</f>
        <v/>
      </c>
    </row>
    <row r="4986">
      <c r="A4986" s="73" t="n"/>
      <c r="B4986" s="74" t="n"/>
      <c r="C4986" s="74" t="n"/>
      <c r="D4986" s="75">
        <f>IF($C4986="","",IFERROR(INDEX(CAT_TIPO,MATCH($C4986,CAT_NOME,0)),"Sem categoria"))</f>
        <v/>
      </c>
      <c r="E4986" s="75">
        <f>IF($C4986="","",IFERROR(INDEX(CAT_GRUPO,MATCH($C4986,CAT_NOME,0)),"Sem categoria"))</f>
        <v/>
      </c>
      <c r="F4986" s="76" t="n"/>
      <c r="G4986" s="74" t="n"/>
      <c r="H4986" s="74" t="n"/>
      <c r="I4986" s="74" t="n"/>
      <c r="J4986" s="77" t="n"/>
      <c r="K4986" s="77" t="n"/>
      <c r="L4986" s="74" t="n"/>
      <c r="M4986" s="74" t="n"/>
      <c r="O4986" s="78">
        <f>IF($A4986="","",YEAR($A4986)*100+MONTH($A4986))</f>
        <v/>
      </c>
      <c r="P4986" s="79">
        <f>IF(OR($F4986="",$D4986=""),"",IF($D4986="Receita",$F4986,IF($D4986="Transferência",0,-$F4986)))</f>
        <v/>
      </c>
    </row>
    <row r="4987">
      <c r="A4987" s="73" t="n"/>
      <c r="B4987" s="74" t="n"/>
      <c r="C4987" s="74" t="n"/>
      <c r="D4987" s="75">
        <f>IF($C4987="","",IFERROR(INDEX(CAT_TIPO,MATCH($C4987,CAT_NOME,0)),"Sem categoria"))</f>
        <v/>
      </c>
      <c r="E4987" s="75">
        <f>IF($C4987="","",IFERROR(INDEX(CAT_GRUPO,MATCH($C4987,CAT_NOME,0)),"Sem categoria"))</f>
        <v/>
      </c>
      <c r="F4987" s="76" t="n"/>
      <c r="G4987" s="74" t="n"/>
      <c r="H4987" s="74" t="n"/>
      <c r="I4987" s="74" t="n"/>
      <c r="J4987" s="77" t="n"/>
      <c r="K4987" s="77" t="n"/>
      <c r="L4987" s="74" t="n"/>
      <c r="M4987" s="74" t="n"/>
      <c r="O4987" s="78">
        <f>IF($A4987="","",YEAR($A4987)*100+MONTH($A4987))</f>
        <v/>
      </c>
      <c r="P4987" s="79">
        <f>IF(OR($F4987="",$D4987=""),"",IF($D4987="Receita",$F4987,IF($D4987="Transferência",0,-$F4987)))</f>
        <v/>
      </c>
    </row>
    <row r="4988">
      <c r="A4988" s="73" t="n"/>
      <c r="B4988" s="74" t="n"/>
      <c r="C4988" s="74" t="n"/>
      <c r="D4988" s="75">
        <f>IF($C4988="","",IFERROR(INDEX(CAT_TIPO,MATCH($C4988,CAT_NOME,0)),"Sem categoria"))</f>
        <v/>
      </c>
      <c r="E4988" s="75">
        <f>IF($C4988="","",IFERROR(INDEX(CAT_GRUPO,MATCH($C4988,CAT_NOME,0)),"Sem categoria"))</f>
        <v/>
      </c>
      <c r="F4988" s="76" t="n"/>
      <c r="G4988" s="74" t="n"/>
      <c r="H4988" s="74" t="n"/>
      <c r="I4988" s="74" t="n"/>
      <c r="J4988" s="77" t="n"/>
      <c r="K4988" s="77" t="n"/>
      <c r="L4988" s="74" t="n"/>
      <c r="M4988" s="74" t="n"/>
      <c r="O4988" s="78">
        <f>IF($A4988="","",YEAR($A4988)*100+MONTH($A4988))</f>
        <v/>
      </c>
      <c r="P4988" s="79">
        <f>IF(OR($F4988="",$D4988=""),"",IF($D4988="Receita",$F4988,IF($D4988="Transferência",0,-$F4988)))</f>
        <v/>
      </c>
    </row>
    <row r="4989">
      <c r="A4989" s="73" t="n"/>
      <c r="B4989" s="74" t="n"/>
      <c r="C4989" s="74" t="n"/>
      <c r="D4989" s="75">
        <f>IF($C4989="","",IFERROR(INDEX(CAT_TIPO,MATCH($C4989,CAT_NOME,0)),"Sem categoria"))</f>
        <v/>
      </c>
      <c r="E4989" s="75">
        <f>IF($C4989="","",IFERROR(INDEX(CAT_GRUPO,MATCH($C4989,CAT_NOME,0)),"Sem categoria"))</f>
        <v/>
      </c>
      <c r="F4989" s="76" t="n"/>
      <c r="G4989" s="74" t="n"/>
      <c r="H4989" s="74" t="n"/>
      <c r="I4989" s="74" t="n"/>
      <c r="J4989" s="77" t="n"/>
      <c r="K4989" s="77" t="n"/>
      <c r="L4989" s="74" t="n"/>
      <c r="M4989" s="74" t="n"/>
      <c r="O4989" s="78">
        <f>IF($A4989="","",YEAR($A4989)*100+MONTH($A4989))</f>
        <v/>
      </c>
      <c r="P4989" s="79">
        <f>IF(OR($F4989="",$D4989=""),"",IF($D4989="Receita",$F4989,IF($D4989="Transferência",0,-$F4989)))</f>
        <v/>
      </c>
    </row>
    <row r="4990">
      <c r="A4990" s="73" t="n"/>
      <c r="B4990" s="74" t="n"/>
      <c r="C4990" s="74" t="n"/>
      <c r="D4990" s="75">
        <f>IF($C4990="","",IFERROR(INDEX(CAT_TIPO,MATCH($C4990,CAT_NOME,0)),"Sem categoria"))</f>
        <v/>
      </c>
      <c r="E4990" s="75">
        <f>IF($C4990="","",IFERROR(INDEX(CAT_GRUPO,MATCH($C4990,CAT_NOME,0)),"Sem categoria"))</f>
        <v/>
      </c>
      <c r="F4990" s="76" t="n"/>
      <c r="G4990" s="74" t="n"/>
      <c r="H4990" s="74" t="n"/>
      <c r="I4990" s="74" t="n"/>
      <c r="J4990" s="77" t="n"/>
      <c r="K4990" s="77" t="n"/>
      <c r="L4990" s="74" t="n"/>
      <c r="M4990" s="74" t="n"/>
      <c r="O4990" s="78">
        <f>IF($A4990="","",YEAR($A4990)*100+MONTH($A4990))</f>
        <v/>
      </c>
      <c r="P4990" s="79">
        <f>IF(OR($F4990="",$D4990=""),"",IF($D4990="Receita",$F4990,IF($D4990="Transferência",0,-$F4990)))</f>
        <v/>
      </c>
    </row>
    <row r="4991">
      <c r="A4991" s="73" t="n"/>
      <c r="B4991" s="74" t="n"/>
      <c r="C4991" s="74" t="n"/>
      <c r="D4991" s="75">
        <f>IF($C4991="","",IFERROR(INDEX(CAT_TIPO,MATCH($C4991,CAT_NOME,0)),"Sem categoria"))</f>
        <v/>
      </c>
      <c r="E4991" s="75">
        <f>IF($C4991="","",IFERROR(INDEX(CAT_GRUPO,MATCH($C4991,CAT_NOME,0)),"Sem categoria"))</f>
        <v/>
      </c>
      <c r="F4991" s="76" t="n"/>
      <c r="G4991" s="74" t="n"/>
      <c r="H4991" s="74" t="n"/>
      <c r="I4991" s="74" t="n"/>
      <c r="J4991" s="77" t="n"/>
      <c r="K4991" s="77" t="n"/>
      <c r="L4991" s="74" t="n"/>
      <c r="M4991" s="74" t="n"/>
      <c r="O4991" s="78">
        <f>IF($A4991="","",YEAR($A4991)*100+MONTH($A4991))</f>
        <v/>
      </c>
      <c r="P4991" s="79">
        <f>IF(OR($F4991="",$D4991=""),"",IF($D4991="Receita",$F4991,IF($D4991="Transferência",0,-$F4991)))</f>
        <v/>
      </c>
    </row>
    <row r="4992">
      <c r="A4992" s="73" t="n"/>
      <c r="B4992" s="74" t="n"/>
      <c r="C4992" s="74" t="n"/>
      <c r="D4992" s="75">
        <f>IF($C4992="","",IFERROR(INDEX(CAT_TIPO,MATCH($C4992,CAT_NOME,0)),"Sem categoria"))</f>
        <v/>
      </c>
      <c r="E4992" s="75">
        <f>IF($C4992="","",IFERROR(INDEX(CAT_GRUPO,MATCH($C4992,CAT_NOME,0)),"Sem categoria"))</f>
        <v/>
      </c>
      <c r="F4992" s="76" t="n"/>
      <c r="G4992" s="74" t="n"/>
      <c r="H4992" s="74" t="n"/>
      <c r="I4992" s="74" t="n"/>
      <c r="J4992" s="77" t="n"/>
      <c r="K4992" s="77" t="n"/>
      <c r="L4992" s="74" t="n"/>
      <c r="M4992" s="74" t="n"/>
      <c r="O4992" s="78">
        <f>IF($A4992="","",YEAR($A4992)*100+MONTH($A4992))</f>
        <v/>
      </c>
      <c r="P4992" s="79">
        <f>IF(OR($F4992="",$D4992=""),"",IF($D4992="Receita",$F4992,IF($D4992="Transferência",0,-$F4992)))</f>
        <v/>
      </c>
    </row>
    <row r="4993">
      <c r="A4993" s="73" t="n"/>
      <c r="B4993" s="74" t="n"/>
      <c r="C4993" s="74" t="n"/>
      <c r="D4993" s="75">
        <f>IF($C4993="","",IFERROR(INDEX(CAT_TIPO,MATCH($C4993,CAT_NOME,0)),"Sem categoria"))</f>
        <v/>
      </c>
      <c r="E4993" s="75">
        <f>IF($C4993="","",IFERROR(INDEX(CAT_GRUPO,MATCH($C4993,CAT_NOME,0)),"Sem categoria"))</f>
        <v/>
      </c>
      <c r="F4993" s="76" t="n"/>
      <c r="G4993" s="74" t="n"/>
      <c r="H4993" s="74" t="n"/>
      <c r="I4993" s="74" t="n"/>
      <c r="J4993" s="77" t="n"/>
      <c r="K4993" s="77" t="n"/>
      <c r="L4993" s="74" t="n"/>
      <c r="M4993" s="74" t="n"/>
      <c r="O4993" s="78">
        <f>IF($A4993="","",YEAR($A4993)*100+MONTH($A4993))</f>
        <v/>
      </c>
      <c r="P4993" s="79">
        <f>IF(OR($F4993="",$D4993=""),"",IF($D4993="Receita",$F4993,IF($D4993="Transferência",0,-$F4993)))</f>
        <v/>
      </c>
    </row>
    <row r="4994">
      <c r="A4994" s="73" t="n"/>
      <c r="B4994" s="74" t="n"/>
      <c r="C4994" s="74" t="n"/>
      <c r="D4994" s="75">
        <f>IF($C4994="","",IFERROR(INDEX(CAT_TIPO,MATCH($C4994,CAT_NOME,0)),"Sem categoria"))</f>
        <v/>
      </c>
      <c r="E4994" s="75">
        <f>IF($C4994="","",IFERROR(INDEX(CAT_GRUPO,MATCH($C4994,CAT_NOME,0)),"Sem categoria"))</f>
        <v/>
      </c>
      <c r="F4994" s="76" t="n"/>
      <c r="G4994" s="74" t="n"/>
      <c r="H4994" s="74" t="n"/>
      <c r="I4994" s="74" t="n"/>
      <c r="J4994" s="77" t="n"/>
      <c r="K4994" s="77" t="n"/>
      <c r="L4994" s="74" t="n"/>
      <c r="M4994" s="74" t="n"/>
      <c r="O4994" s="78">
        <f>IF($A4994="","",YEAR($A4994)*100+MONTH($A4994))</f>
        <v/>
      </c>
      <c r="P4994" s="79">
        <f>IF(OR($F4994="",$D4994=""),"",IF($D4994="Receita",$F4994,IF($D4994="Transferência",0,-$F4994)))</f>
        <v/>
      </c>
    </row>
    <row r="4995">
      <c r="A4995" s="73" t="n"/>
      <c r="B4995" s="74" t="n"/>
      <c r="C4995" s="74" t="n"/>
      <c r="D4995" s="75">
        <f>IF($C4995="","",IFERROR(INDEX(CAT_TIPO,MATCH($C4995,CAT_NOME,0)),"Sem categoria"))</f>
        <v/>
      </c>
      <c r="E4995" s="75">
        <f>IF($C4995="","",IFERROR(INDEX(CAT_GRUPO,MATCH($C4995,CAT_NOME,0)),"Sem categoria"))</f>
        <v/>
      </c>
      <c r="F4995" s="76" t="n"/>
      <c r="G4995" s="74" t="n"/>
      <c r="H4995" s="74" t="n"/>
      <c r="I4995" s="74" t="n"/>
      <c r="J4995" s="77" t="n"/>
      <c r="K4995" s="77" t="n"/>
      <c r="L4995" s="74" t="n"/>
      <c r="M4995" s="74" t="n"/>
      <c r="O4995" s="78">
        <f>IF($A4995="","",YEAR($A4995)*100+MONTH($A4995))</f>
        <v/>
      </c>
      <c r="P4995" s="79">
        <f>IF(OR($F4995="",$D4995=""),"",IF($D4995="Receita",$F4995,IF($D4995="Transferência",0,-$F4995)))</f>
        <v/>
      </c>
    </row>
    <row r="4996">
      <c r="A4996" s="73" t="n"/>
      <c r="B4996" s="74" t="n"/>
      <c r="C4996" s="74" t="n"/>
      <c r="D4996" s="75">
        <f>IF($C4996="","",IFERROR(INDEX(CAT_TIPO,MATCH($C4996,CAT_NOME,0)),"Sem categoria"))</f>
        <v/>
      </c>
      <c r="E4996" s="75">
        <f>IF($C4996="","",IFERROR(INDEX(CAT_GRUPO,MATCH($C4996,CAT_NOME,0)),"Sem categoria"))</f>
        <v/>
      </c>
      <c r="F4996" s="76" t="n"/>
      <c r="G4996" s="74" t="n"/>
      <c r="H4996" s="74" t="n"/>
      <c r="I4996" s="74" t="n"/>
      <c r="J4996" s="77" t="n"/>
      <c r="K4996" s="77" t="n"/>
      <c r="L4996" s="74" t="n"/>
      <c r="M4996" s="74" t="n"/>
      <c r="O4996" s="78">
        <f>IF($A4996="","",YEAR($A4996)*100+MONTH($A4996))</f>
        <v/>
      </c>
      <c r="P4996" s="79">
        <f>IF(OR($F4996="",$D4996=""),"",IF($D4996="Receita",$F4996,IF($D4996="Transferência",0,-$F4996)))</f>
        <v/>
      </c>
    </row>
    <row r="4997">
      <c r="A4997" s="73" t="n"/>
      <c r="B4997" s="74" t="n"/>
      <c r="C4997" s="74" t="n"/>
      <c r="D4997" s="75">
        <f>IF($C4997="","",IFERROR(INDEX(CAT_TIPO,MATCH($C4997,CAT_NOME,0)),"Sem categoria"))</f>
        <v/>
      </c>
      <c r="E4997" s="75">
        <f>IF($C4997="","",IFERROR(INDEX(CAT_GRUPO,MATCH($C4997,CAT_NOME,0)),"Sem categoria"))</f>
        <v/>
      </c>
      <c r="F4997" s="76" t="n"/>
      <c r="G4997" s="74" t="n"/>
      <c r="H4997" s="74" t="n"/>
      <c r="I4997" s="74" t="n"/>
      <c r="J4997" s="77" t="n"/>
      <c r="K4997" s="77" t="n"/>
      <c r="L4997" s="74" t="n"/>
      <c r="M4997" s="74" t="n"/>
      <c r="O4997" s="78">
        <f>IF($A4997="","",YEAR($A4997)*100+MONTH($A4997))</f>
        <v/>
      </c>
      <c r="P4997" s="79">
        <f>IF(OR($F4997="",$D4997=""),"",IF($D4997="Receita",$F4997,IF($D4997="Transferência",0,-$F4997)))</f>
        <v/>
      </c>
    </row>
    <row r="4998">
      <c r="A4998" s="73" t="n"/>
      <c r="B4998" s="74" t="n"/>
      <c r="C4998" s="74" t="n"/>
      <c r="D4998" s="75">
        <f>IF($C4998="","",IFERROR(INDEX(CAT_TIPO,MATCH($C4998,CAT_NOME,0)),"Sem categoria"))</f>
        <v/>
      </c>
      <c r="E4998" s="75">
        <f>IF($C4998="","",IFERROR(INDEX(CAT_GRUPO,MATCH($C4998,CAT_NOME,0)),"Sem categoria"))</f>
        <v/>
      </c>
      <c r="F4998" s="76" t="n"/>
      <c r="G4998" s="74" t="n"/>
      <c r="H4998" s="74" t="n"/>
      <c r="I4998" s="74" t="n"/>
      <c r="J4998" s="77" t="n"/>
      <c r="K4998" s="77" t="n"/>
      <c r="L4998" s="74" t="n"/>
      <c r="M4998" s="74" t="n"/>
      <c r="O4998" s="78">
        <f>IF($A4998="","",YEAR($A4998)*100+MONTH($A4998))</f>
        <v/>
      </c>
      <c r="P4998" s="79">
        <f>IF(OR($F4998="",$D4998=""),"",IF($D4998="Receita",$F4998,IF($D4998="Transferência",0,-$F4998)))</f>
        <v/>
      </c>
    </row>
    <row r="4999">
      <c r="A4999" s="73" t="n"/>
      <c r="B4999" s="74" t="n"/>
      <c r="C4999" s="74" t="n"/>
      <c r="D4999" s="75">
        <f>IF($C4999="","",IFERROR(INDEX(CAT_TIPO,MATCH($C4999,CAT_NOME,0)),"Sem categoria"))</f>
        <v/>
      </c>
      <c r="E4999" s="75">
        <f>IF($C4999="","",IFERROR(INDEX(CAT_GRUPO,MATCH($C4999,CAT_NOME,0)),"Sem categoria"))</f>
        <v/>
      </c>
      <c r="F4999" s="76" t="n"/>
      <c r="G4999" s="74" t="n"/>
      <c r="H4999" s="74" t="n"/>
      <c r="I4999" s="74" t="n"/>
      <c r="J4999" s="77" t="n"/>
      <c r="K4999" s="77" t="n"/>
      <c r="L4999" s="74" t="n"/>
      <c r="M4999" s="74" t="n"/>
      <c r="O4999" s="78">
        <f>IF($A4999="","",YEAR($A4999)*100+MONTH($A4999))</f>
        <v/>
      </c>
      <c r="P4999" s="79">
        <f>IF(OR($F4999="",$D4999=""),"",IF($D4999="Receita",$F4999,IF($D4999="Transferência",0,-$F4999)))</f>
        <v/>
      </c>
    </row>
    <row r="5000">
      <c r="A5000" s="73" t="n"/>
      <c r="B5000" s="74" t="n"/>
      <c r="C5000" s="74" t="n"/>
      <c r="D5000" s="75">
        <f>IF($C5000="","",IFERROR(INDEX(CAT_TIPO,MATCH($C5000,CAT_NOME,0)),"Sem categoria"))</f>
        <v/>
      </c>
      <c r="E5000" s="75">
        <f>IF($C5000="","",IFERROR(INDEX(CAT_GRUPO,MATCH($C5000,CAT_NOME,0)),"Sem categoria"))</f>
        <v/>
      </c>
      <c r="F5000" s="76" t="n"/>
      <c r="G5000" s="74" t="n"/>
      <c r="H5000" s="74" t="n"/>
      <c r="I5000" s="74" t="n"/>
      <c r="J5000" s="77" t="n"/>
      <c r="K5000" s="77" t="n"/>
      <c r="L5000" s="74" t="n"/>
      <c r="M5000" s="74" t="n"/>
      <c r="O5000" s="78">
        <f>IF($A5000="","",YEAR($A5000)*100+MONTH($A5000))</f>
        <v/>
      </c>
      <c r="P5000" s="79">
        <f>IF(OR($F5000="",$D5000=""),"",IF($D5000="Receita",$F5000,IF($D5000="Transferência",0,-$F5000)))</f>
        <v/>
      </c>
    </row>
    <row r="5001">
      <c r="A5001" s="73" t="n"/>
      <c r="B5001" s="74" t="n"/>
      <c r="C5001" s="74" t="n"/>
      <c r="D5001" s="75">
        <f>IF($C5001="","",IFERROR(INDEX(CAT_TIPO,MATCH($C5001,CAT_NOME,0)),"Sem categoria"))</f>
        <v/>
      </c>
      <c r="E5001" s="75">
        <f>IF($C5001="","",IFERROR(INDEX(CAT_GRUPO,MATCH($C5001,CAT_NOME,0)),"Sem categoria"))</f>
        <v/>
      </c>
      <c r="F5001" s="76" t="n"/>
      <c r="G5001" s="74" t="n"/>
      <c r="H5001" s="74" t="n"/>
      <c r="I5001" s="74" t="n"/>
      <c r="J5001" s="77" t="n"/>
      <c r="K5001" s="77" t="n"/>
      <c r="L5001" s="74" t="n"/>
      <c r="M5001" s="74" t="n"/>
      <c r="O5001" s="78">
        <f>IF($A5001="","",YEAR($A5001)*100+MONTH($A5001))</f>
        <v/>
      </c>
      <c r="P5001" s="79">
        <f>IF(OR($F5001="",$D5001=""),"",IF($D5001="Receita",$F5001,IF($D5001="Transferência",0,-$F5001)))</f>
        <v/>
      </c>
    </row>
    <row r="5002">
      <c r="A5002" s="73" t="n"/>
      <c r="B5002" s="74" t="n"/>
      <c r="C5002" s="74" t="n"/>
      <c r="D5002" s="75">
        <f>IF($C5002="","",IFERROR(INDEX(CAT_TIPO,MATCH($C5002,CAT_NOME,0)),"Sem categoria"))</f>
        <v/>
      </c>
      <c r="E5002" s="75">
        <f>IF($C5002="","",IFERROR(INDEX(CAT_GRUPO,MATCH($C5002,CAT_NOME,0)),"Sem categoria"))</f>
        <v/>
      </c>
      <c r="F5002" s="76" t="n"/>
      <c r="G5002" s="74" t="n"/>
      <c r="H5002" s="74" t="n"/>
      <c r="I5002" s="74" t="n"/>
      <c r="J5002" s="77" t="n"/>
      <c r="K5002" s="77" t="n"/>
      <c r="L5002" s="74" t="n"/>
      <c r="M5002" s="74" t="n"/>
      <c r="O5002" s="78">
        <f>IF($A5002="","",YEAR($A5002)*100+MONTH($A5002))</f>
        <v/>
      </c>
      <c r="P5002" s="79">
        <f>IF(OR($F5002="",$D5002=""),"",IF($D5002="Receita",$F5002,IF($D5002="Transferência",0,-$F5002)))</f>
        <v/>
      </c>
    </row>
    <row r="5003">
      <c r="A5003" s="73" t="n"/>
      <c r="B5003" s="74" t="n"/>
      <c r="C5003" s="74" t="n"/>
      <c r="D5003" s="75">
        <f>IF($C5003="","",IFERROR(INDEX(CAT_TIPO,MATCH($C5003,CAT_NOME,0)),"Sem categoria"))</f>
        <v/>
      </c>
      <c r="E5003" s="75">
        <f>IF($C5003="","",IFERROR(INDEX(CAT_GRUPO,MATCH($C5003,CAT_NOME,0)),"Sem categoria"))</f>
        <v/>
      </c>
      <c r="F5003" s="76" t="n"/>
      <c r="G5003" s="74" t="n"/>
      <c r="H5003" s="74" t="n"/>
      <c r="I5003" s="74" t="n"/>
      <c r="J5003" s="77" t="n"/>
      <c r="K5003" s="77" t="n"/>
      <c r="L5003" s="74" t="n"/>
      <c r="M5003" s="74" t="n"/>
      <c r="O5003" s="78">
        <f>IF($A5003="","",YEAR($A5003)*100+MONTH($A5003))</f>
        <v/>
      </c>
      <c r="P5003" s="79">
        <f>IF(OR($F5003="",$D5003=""),"",IF($D5003="Receita",$F5003,IF($D5003="Transferência",0,-$F5003)))</f>
        <v/>
      </c>
    </row>
    <row r="5004">
      <c r="A5004" s="73" t="n"/>
      <c r="B5004" s="74" t="n"/>
      <c r="C5004" s="74" t="n"/>
      <c r="D5004" s="75">
        <f>IF($C5004="","",IFERROR(INDEX(CAT_TIPO,MATCH($C5004,CAT_NOME,0)),"Sem categoria"))</f>
        <v/>
      </c>
      <c r="E5004" s="75">
        <f>IF($C5004="","",IFERROR(INDEX(CAT_GRUPO,MATCH($C5004,CAT_NOME,0)),"Sem categoria"))</f>
        <v/>
      </c>
      <c r="F5004" s="76" t="n"/>
      <c r="G5004" s="74" t="n"/>
      <c r="H5004" s="74" t="n"/>
      <c r="I5004" s="74" t="n"/>
      <c r="J5004" s="77" t="n"/>
      <c r="K5004" s="77" t="n"/>
      <c r="L5004" s="74" t="n"/>
      <c r="M5004" s="74" t="n"/>
      <c r="O5004" s="78">
        <f>IF($A5004="","",YEAR($A5004)*100+MONTH($A5004))</f>
        <v/>
      </c>
      <c r="P5004" s="79">
        <f>IF(OR($F5004="",$D5004=""),"",IF($D5004="Receita",$F5004,IF($D5004="Transferência",0,-$F5004)))</f>
        <v/>
      </c>
    </row>
    <row r="5005">
      <c r="A5005" s="73" t="n"/>
      <c r="B5005" s="74" t="n"/>
      <c r="C5005" s="74" t="n"/>
      <c r="D5005" s="75">
        <f>IF($C5005="","",IFERROR(INDEX(CAT_TIPO,MATCH($C5005,CAT_NOME,0)),"Sem categoria"))</f>
        <v/>
      </c>
      <c r="E5005" s="75">
        <f>IF($C5005="","",IFERROR(INDEX(CAT_GRUPO,MATCH($C5005,CAT_NOME,0)),"Sem categoria"))</f>
        <v/>
      </c>
      <c r="F5005" s="76" t="n"/>
      <c r="G5005" s="74" t="n"/>
      <c r="H5005" s="74" t="n"/>
      <c r="I5005" s="74" t="n"/>
      <c r="J5005" s="77" t="n"/>
      <c r="K5005" s="77" t="n"/>
      <c r="L5005" s="74" t="n"/>
      <c r="M5005" s="74" t="n"/>
      <c r="O5005" s="78">
        <f>IF($A5005="","",YEAR($A5005)*100+MONTH($A5005))</f>
        <v/>
      </c>
      <c r="P5005" s="79">
        <f>IF(OR($F5005="",$D5005=""),"",IF($D5005="Receita",$F5005,IF($D5005="Transferência",0,-$F5005)))</f>
        <v/>
      </c>
    </row>
  </sheetData>
  <autoFilter ref="A5:P5005"/>
  <conditionalFormatting sqref="D6:E5005">
    <cfRule type="expression" priority="1" dxfId="12">
      <formula>$D6="Sem categoria"</formula>
    </cfRule>
  </conditionalFormatting>
  <conditionalFormatting sqref="A6:M5005">
    <cfRule type="expression" priority="2" dxfId="13">
      <formula>$K6="Pendente"</formula>
    </cfRule>
  </conditionalFormatting>
  <conditionalFormatting sqref="F6:F5005">
    <cfRule type="expression" priority="3" dxfId="11">
      <formula>AND($F6&lt;&gt;"",$F6&gt;=$F$4,$D6="Despesa")</formula>
    </cfRule>
    <cfRule type="expression" priority="4" dxfId="8">
      <formula>AND($F6&lt;&gt;"",$F6&gt;=$F$4,$D6="Receita")</formula>
    </cfRule>
  </conditionalFormatting>
  <dataValidations count="9">
    <dataValidation sqref="A6:A5005" showDropDown="0" showInputMessage="1" showErrorMessage="1" allowBlank="1" errorTitle="Data inválida" error="Informe uma data, por exemplo 15/03/2025." promptTitle="Data" prompt="Formato dd/mm/aaaa. A data define o mês do lançamento." type="date" operator="greaterThan">
      <formula1>36526</formula1>
    </dataValidation>
    <dataValidation sqref="C6:C5005" showDropDown="0" showInputMessage="1" showErrorMessage="1" allowBlank="1" errorTitle="Categoria fora da lista" error="Essa categoria não está em Configurações. Deseja manter assim mesmo? (Ela aparecerá como &quot;Sem categoria&quot;.)" promptTitle="Categoria" prompt="Escolha na lista. Tipo e Grupo são preenchidos sozinhos." type="list" errorStyle="warning">
      <formula1>='Configurações'!$A$14:$A$61</formula1>
    </dataValidation>
    <dataValidation sqref="F6:F5005" showDropDown="0" showInputMessage="1" showErrorMessage="1" allowBlank="1" errorTitle="Valor inválido" error="Digite o valor sempre positivo; a categoria define se entra, sai ou é guardado." promptTitle="Valor" prompt="Sempre positivo. A categoria define se é receita, despesa ou poupança." type="decimal" operator="greaterThanOrEqual">
      <formula1>0</formula1>
    </dataValidation>
    <dataValidation sqref="G6:G5005" showDropDown="0" showInputMessage="1" showErrorMessage="1" allowBlank="1" errorTitle="Conta não cadastrada" error="Cadastre a conta na aba Contas para que o saldo seja calculado." promptTitle="Conta" prompt="De onde o dinheiro sai ou onde ele entra. Cadastre as contas na aba Contas." type="list" errorStyle="warning">
      <formula1>='Contas'!$A$7:$A$18</formula1>
    </dataValidation>
    <dataValidation sqref="H6:H5005" showDropDown="0" showInputMessage="1" showErrorMessage="1" allowBlank="1" errorTitle="Forma não listada" error="Essa forma de pagamento não está em Configurações." type="list" errorStyle="warning">
      <formula1>='Configurações'!$E$14:$E$25</formula1>
    </dataValidation>
    <dataValidation sqref="I6:I5005" showDropDown="0" showInputMessage="1" showErrorMessage="1" allowBlank="1" errorTitle="Cartão não cadastrado" error="Cadastre o cartão na aba Cartões." promptTitle="Cartão (opcional)" prompt="Preencha só nas compras no crédito: elas entram na fatura e não saem da conta na hora." type="list" errorStyle="warning">
      <formula1>='Cartões'!$A$7:$A$12</formula1>
    </dataValidation>
    <dataValidation sqref="J6:J5005" showDropDown="0" showInputMessage="1" showErrorMessage="1" allowBlank="1" errorTitle="Formato da parcela" error="Use o formato 3/10 (parcela 3 de 10)." promptTitle="Parcela" prompt="Opcional. Ex.: 3/10. Só informativa: as compras parceladas projetadas ficam na aba Cartões." type="custom">
      <formula1>=OR(J6="",ISNUMBER(FIND("/",J6)))</formula1>
    </dataValidation>
    <dataValidation sqref="K6:K5005" showDropDown="0" showInputMessage="1" showErrorMessage="1" allowBlank="1" errorTitle="Status inválido" error="Escolha Pago ou Pendente." promptTitle="Status" prompt="Vazio conta como Pago. Pendente não mexe no saldo da conta." type="list">
      <formula1>='Configurações'!$I$14:$I$15</formula1>
    </dataValidation>
    <dataValidation sqref="L6:L5005" showDropDown="0" showInputMessage="1" showErrorMessage="1" allowBlank="1" errorTitle="Conta não cadastrada" error="Cadastre a conta na aba Contas." promptTitle="Conta destino" prompt="Só para transferências e valores guardados: para onde o dinheiro foi." type="list" errorStyle="warning">
      <formula1>='Contas'!$A$7:$A$18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K23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7" customWidth="1" min="3" max="3"/>
    <col width="17" customWidth="1" min="4" max="4"/>
    <col width="19" customWidth="1" min="5" max="5"/>
    <col width="17" customWidth="1" min="6" max="6"/>
    <col width="22" customWidth="1" min="7" max="7"/>
    <col width="17" customWidth="1" min="8" max="8"/>
    <col width="10" customWidth="1" min="9" max="9"/>
    <col width="18" customWidth="1" min="10" max="10"/>
    <col width="14" customWidth="1" min="11" max="11"/>
  </cols>
  <sheetData>
    <row r="1" ht="30" customHeight="1">
      <c r="A1" s="64" t="inlineStr">
        <is>
          <t>Contas e saldos</t>
        </is>
      </c>
    </row>
    <row r="2">
      <c r="A2" s="65" t="inlineStr">
        <is>
          <t>Cadastre suas contas e o saldo inicial. O saldo atual é calculado sozinho a partir dos Lançamentos (só os marcados como Pago).</t>
        </is>
      </c>
    </row>
    <row r="4" ht="18" customHeight="1">
      <c r="A4" s="80" t="inlineStr">
        <is>
          <t>SALDO TOTAL DAS CONTAS</t>
        </is>
      </c>
      <c r="B4" s="80" t="inlineStr">
        <is>
          <t>DISPONÍVEL (corrente, carteira, dinheiro)</t>
        </is>
      </c>
      <c r="C4" s="81" t="n"/>
      <c r="D4" s="80" t="inlineStr">
        <is>
          <t>POUPANÇA E RESERVAS</t>
        </is>
      </c>
      <c r="E4" s="81" t="n"/>
      <c r="F4" s="80" t="inlineStr">
        <is>
          <t>INVESTIMENTOS (contas)</t>
        </is>
      </c>
      <c r="G4" s="81" t="n"/>
      <c r="H4" s="80" t="inlineStr">
        <is>
          <t>SALDO SEM CONTAS DE INVESTIMENTO</t>
        </is>
      </c>
      <c r="I4" s="81" t="n"/>
    </row>
    <row r="5" ht="30" customHeight="1">
      <c r="A5" s="82">
        <f>H19</f>
        <v/>
      </c>
      <c r="B5" s="82">
        <f>SUMIFS(CONTAS_SALDO,CONTAS_TIPO,"Corrente")+SUMIFS(CONTAS_SALDO,CONTAS_TIPO,"Carteira")+SUMIFS(CONTAS_SALDO,CONTAS_TIPO,"Dinheiro")</f>
        <v/>
      </c>
      <c r="C5" s="83" t="n"/>
      <c r="D5" s="82">
        <f>SUMIFS(CONTAS_SALDO,CONTAS_TIPO,"Poupança")</f>
        <v/>
      </c>
      <c r="E5" s="83" t="n"/>
      <c r="F5" s="82">
        <f>SUMIFS(CONTAS_SALDO,CONTAS_TIPO,"Investimentos")</f>
        <v/>
      </c>
      <c r="G5" s="83" t="n"/>
      <c r="H5" s="82">
        <f>H19-F5</f>
        <v/>
      </c>
      <c r="I5" s="83" t="n"/>
    </row>
    <row r="6" ht="46" customHeight="1">
      <c r="A6" s="44" t="inlineStr">
        <is>
          <t>Conta</t>
        </is>
      </c>
      <c r="B6" s="44" t="inlineStr">
        <is>
          <t>Tipo</t>
        </is>
      </c>
      <c r="C6" s="44" t="inlineStr">
        <is>
          <t>Saldo inicial (R$)</t>
        </is>
      </c>
      <c r="D6" s="44" t="inlineStr">
        <is>
          <t>Entradas (receitas)</t>
        </is>
      </c>
      <c r="E6" s="44" t="inlineStr">
        <is>
          <t>Saídas (despesas sem cartão)</t>
        </is>
      </c>
      <c r="F6" s="44" t="inlineStr">
        <is>
          <t>Transferências recebidas</t>
        </is>
      </c>
      <c r="G6" s="44" t="inlineStr">
        <is>
          <t>Transferências enviadas, aportes e faturas</t>
        </is>
      </c>
      <c r="H6" s="44" t="inlineStr">
        <is>
          <t>Saldo atual (R$)</t>
        </is>
      </c>
      <c r="I6" s="44" t="inlineStr">
        <is>
          <t>% do total</t>
        </is>
      </c>
      <c r="J6" s="44" t="inlineStr">
        <is>
          <t>Saldo no extrato (opcional)</t>
        </is>
      </c>
      <c r="K6" s="44" t="inlineStr">
        <is>
          <t>Diferença</t>
        </is>
      </c>
    </row>
    <row r="7">
      <c r="A7" s="74" t="inlineStr">
        <is>
          <t>Conta Nubank</t>
        </is>
      </c>
      <c r="B7" s="74" t="inlineStr">
        <is>
          <t>Corrente</t>
        </is>
      </c>
      <c r="C7" s="76" t="n">
        <v>1350</v>
      </c>
      <c r="D7" s="84">
        <f>IF($A7="","",SUMIFS(L_VALOR,L_CONTA,$A7,L_TIPO,"Receita",L_STATUS,"&lt;&gt;Pendente"))</f>
        <v/>
      </c>
      <c r="E7" s="84">
        <f>IF($A7="","",SUMIFS(L_VALOR,L_CONTA,$A7,L_TIPO,"Despesa",L_CARTAO,"",L_STATUS,"&lt;&gt;Pendente"))</f>
        <v/>
      </c>
      <c r="F7" s="84">
        <f>IF($A7="","",SUMIFS(L_VALOR,L_DESTINO,$A7,L_TIPO,"Poupança",L_STATUS,"&lt;&gt;Pendente")+SUMIFS(L_VALOR,L_DESTINO,$A7,L_TIPO,"Transferência",L_STATUS,"&lt;&gt;Pendente"))</f>
        <v/>
      </c>
      <c r="G7" s="84">
        <f>IF($A7="","",SUMIFS(L_VALOR,L_CONTA,$A7,L_TIPO,"Poupança",L_STATUS,"&lt;&gt;Pendente")+SUMIFS(L_VALOR,L_CONTA,$A7,L_TIPO,"Transferência",L_STATUS,"&lt;&gt;Pendente"))</f>
        <v/>
      </c>
      <c r="H7" s="85">
        <f>IF($A7="","",N(C7)+D7-E7+F7-G7)</f>
        <v/>
      </c>
      <c r="I7" s="86">
        <f>IF(OR($A7="",$H$19&lt;=0),"",MAX(H7,0)/$H$19)</f>
        <v/>
      </c>
      <c r="J7" s="76" t="n"/>
      <c r="K7" s="84">
        <f>IF(OR($A7="",J7=""),"",J7-H7)</f>
        <v/>
      </c>
    </row>
    <row r="8">
      <c r="A8" s="74" t="inlineStr">
        <is>
          <t>Poupança Caixa</t>
        </is>
      </c>
      <c r="B8" s="74" t="inlineStr">
        <is>
          <t>Poupança</t>
        </is>
      </c>
      <c r="C8" s="76" t="n">
        <v>6000</v>
      </c>
      <c r="D8" s="84">
        <f>IF($A8="","",SUMIFS(L_VALOR,L_CONTA,$A8,L_TIPO,"Receita",L_STATUS,"&lt;&gt;Pendente"))</f>
        <v/>
      </c>
      <c r="E8" s="84">
        <f>IF($A8="","",SUMIFS(L_VALOR,L_CONTA,$A8,L_TIPO,"Despesa",L_CARTAO,"",L_STATUS,"&lt;&gt;Pendente"))</f>
        <v/>
      </c>
      <c r="F8" s="84">
        <f>IF($A8="","",SUMIFS(L_VALOR,L_DESTINO,$A8,L_TIPO,"Poupança",L_STATUS,"&lt;&gt;Pendente")+SUMIFS(L_VALOR,L_DESTINO,$A8,L_TIPO,"Transferência",L_STATUS,"&lt;&gt;Pendente"))</f>
        <v/>
      </c>
      <c r="G8" s="84">
        <f>IF($A8="","",SUMIFS(L_VALOR,L_CONTA,$A8,L_TIPO,"Poupança",L_STATUS,"&lt;&gt;Pendente")+SUMIFS(L_VALOR,L_CONTA,$A8,L_TIPO,"Transferência",L_STATUS,"&lt;&gt;Pendente"))</f>
        <v/>
      </c>
      <c r="H8" s="85">
        <f>IF($A8="","",N(C8)+D8-E8+F8-G8)</f>
        <v/>
      </c>
      <c r="I8" s="86">
        <f>IF(OR($A8="",$H$19&lt;=0),"",MAX(H8,0)/$H$19)</f>
        <v/>
      </c>
      <c r="J8" s="76" t="n"/>
      <c r="K8" s="84">
        <f>IF(OR($A8="",J8=""),"",J8-H8)</f>
        <v/>
      </c>
    </row>
    <row r="9">
      <c r="A9" s="74" t="inlineStr">
        <is>
          <t>Corretora</t>
        </is>
      </c>
      <c r="B9" s="74" t="inlineStr">
        <is>
          <t>Investimentos</t>
        </is>
      </c>
      <c r="C9" s="76" t="n">
        <v>24500</v>
      </c>
      <c r="D9" s="84">
        <f>IF($A9="","",SUMIFS(L_VALOR,L_CONTA,$A9,L_TIPO,"Receita",L_STATUS,"&lt;&gt;Pendente"))</f>
        <v/>
      </c>
      <c r="E9" s="84">
        <f>IF($A9="","",SUMIFS(L_VALOR,L_CONTA,$A9,L_TIPO,"Despesa",L_CARTAO,"",L_STATUS,"&lt;&gt;Pendente"))</f>
        <v/>
      </c>
      <c r="F9" s="84">
        <f>IF($A9="","",SUMIFS(L_VALOR,L_DESTINO,$A9,L_TIPO,"Poupança",L_STATUS,"&lt;&gt;Pendente")+SUMIFS(L_VALOR,L_DESTINO,$A9,L_TIPO,"Transferência",L_STATUS,"&lt;&gt;Pendente"))</f>
        <v/>
      </c>
      <c r="G9" s="84">
        <f>IF($A9="","",SUMIFS(L_VALOR,L_CONTA,$A9,L_TIPO,"Poupança",L_STATUS,"&lt;&gt;Pendente")+SUMIFS(L_VALOR,L_CONTA,$A9,L_TIPO,"Transferência",L_STATUS,"&lt;&gt;Pendente"))</f>
        <v/>
      </c>
      <c r="H9" s="85">
        <f>IF($A9="","",N(C9)+D9-E9+F9-G9)</f>
        <v/>
      </c>
      <c r="I9" s="86">
        <f>IF(OR($A9="",$H$19&lt;=0),"",MAX(H9,0)/$H$19)</f>
        <v/>
      </c>
      <c r="J9" s="76" t="n"/>
      <c r="K9" s="84">
        <f>IF(OR($A9="",J9=""),"",J9-H9)</f>
        <v/>
      </c>
    </row>
    <row r="10">
      <c r="A10" s="74" t="inlineStr">
        <is>
          <t>Carteira</t>
        </is>
      </c>
      <c r="B10" s="74" t="inlineStr">
        <is>
          <t>Dinheiro</t>
        </is>
      </c>
      <c r="C10" s="76" t="n">
        <v>150</v>
      </c>
      <c r="D10" s="84">
        <f>IF($A10="","",SUMIFS(L_VALOR,L_CONTA,$A10,L_TIPO,"Receita",L_STATUS,"&lt;&gt;Pendente"))</f>
        <v/>
      </c>
      <c r="E10" s="84">
        <f>IF($A10="","",SUMIFS(L_VALOR,L_CONTA,$A10,L_TIPO,"Despesa",L_CARTAO,"",L_STATUS,"&lt;&gt;Pendente"))</f>
        <v/>
      </c>
      <c r="F10" s="84">
        <f>IF($A10="","",SUMIFS(L_VALOR,L_DESTINO,$A10,L_TIPO,"Poupança",L_STATUS,"&lt;&gt;Pendente")+SUMIFS(L_VALOR,L_DESTINO,$A10,L_TIPO,"Transferência",L_STATUS,"&lt;&gt;Pendente"))</f>
        <v/>
      </c>
      <c r="G10" s="84">
        <f>IF($A10="","",SUMIFS(L_VALOR,L_CONTA,$A10,L_TIPO,"Poupança",L_STATUS,"&lt;&gt;Pendente")+SUMIFS(L_VALOR,L_CONTA,$A10,L_TIPO,"Transferência",L_STATUS,"&lt;&gt;Pendente"))</f>
        <v/>
      </c>
      <c r="H10" s="85">
        <f>IF($A10="","",N(C10)+D10-E10+F10-G10)</f>
        <v/>
      </c>
      <c r="I10" s="86">
        <f>IF(OR($A10="",$H$19&lt;=0),"",MAX(H10,0)/$H$19)</f>
        <v/>
      </c>
      <c r="J10" s="76" t="n"/>
      <c r="K10" s="84">
        <f>IF(OR($A10="",J10=""),"",J10-H10)</f>
        <v/>
      </c>
    </row>
    <row r="11">
      <c r="A11" s="74" t="inlineStr">
        <is>
          <t>Cofrinho viagem</t>
        </is>
      </c>
      <c r="B11" s="74" t="inlineStr">
        <is>
          <t>Poupança</t>
        </is>
      </c>
      <c r="C11" s="76" t="n">
        <v>800</v>
      </c>
      <c r="D11" s="84">
        <f>IF($A11="","",SUMIFS(L_VALOR,L_CONTA,$A11,L_TIPO,"Receita",L_STATUS,"&lt;&gt;Pendente"))</f>
        <v/>
      </c>
      <c r="E11" s="84">
        <f>IF($A11="","",SUMIFS(L_VALOR,L_CONTA,$A11,L_TIPO,"Despesa",L_CARTAO,"",L_STATUS,"&lt;&gt;Pendente"))</f>
        <v/>
      </c>
      <c r="F11" s="84">
        <f>IF($A11="","",SUMIFS(L_VALOR,L_DESTINO,$A11,L_TIPO,"Poupança",L_STATUS,"&lt;&gt;Pendente")+SUMIFS(L_VALOR,L_DESTINO,$A11,L_TIPO,"Transferência",L_STATUS,"&lt;&gt;Pendente"))</f>
        <v/>
      </c>
      <c r="G11" s="84">
        <f>IF($A11="","",SUMIFS(L_VALOR,L_CONTA,$A11,L_TIPO,"Poupança",L_STATUS,"&lt;&gt;Pendente")+SUMIFS(L_VALOR,L_CONTA,$A11,L_TIPO,"Transferência",L_STATUS,"&lt;&gt;Pendente"))</f>
        <v/>
      </c>
      <c r="H11" s="85">
        <f>IF($A11="","",N(C11)+D11-E11+F11-G11)</f>
        <v/>
      </c>
      <c r="I11" s="86">
        <f>IF(OR($A11="",$H$19&lt;=0),"",MAX(H11,0)/$H$19)</f>
        <v/>
      </c>
      <c r="J11" s="76" t="n"/>
      <c r="K11" s="84">
        <f>IF(OR($A11="",J11=""),"",J11-H11)</f>
        <v/>
      </c>
    </row>
    <row r="12">
      <c r="A12" s="74" t="n"/>
      <c r="B12" s="74" t="n"/>
      <c r="C12" s="76" t="n"/>
      <c r="D12" s="84">
        <f>IF($A12="","",SUMIFS(L_VALOR,L_CONTA,$A12,L_TIPO,"Receita",L_STATUS,"&lt;&gt;Pendente"))</f>
        <v/>
      </c>
      <c r="E12" s="84">
        <f>IF($A12="","",SUMIFS(L_VALOR,L_CONTA,$A12,L_TIPO,"Despesa",L_CARTAO,"",L_STATUS,"&lt;&gt;Pendente"))</f>
        <v/>
      </c>
      <c r="F12" s="84">
        <f>IF($A12="","",SUMIFS(L_VALOR,L_DESTINO,$A12,L_TIPO,"Poupança",L_STATUS,"&lt;&gt;Pendente")+SUMIFS(L_VALOR,L_DESTINO,$A12,L_TIPO,"Transferência",L_STATUS,"&lt;&gt;Pendente"))</f>
        <v/>
      </c>
      <c r="G12" s="84">
        <f>IF($A12="","",SUMIFS(L_VALOR,L_CONTA,$A12,L_TIPO,"Poupança",L_STATUS,"&lt;&gt;Pendente")+SUMIFS(L_VALOR,L_CONTA,$A12,L_TIPO,"Transferência",L_STATUS,"&lt;&gt;Pendente"))</f>
        <v/>
      </c>
      <c r="H12" s="85">
        <f>IF($A12="","",N(C12)+D12-E12+F12-G12)</f>
        <v/>
      </c>
      <c r="I12" s="86">
        <f>IF(OR($A12="",$H$19&lt;=0),"",MAX(H12,0)/$H$19)</f>
        <v/>
      </c>
      <c r="J12" s="76" t="n"/>
      <c r="K12" s="84">
        <f>IF(OR($A12="",J12=""),"",J12-H12)</f>
        <v/>
      </c>
    </row>
    <row r="13">
      <c r="A13" s="74" t="n"/>
      <c r="B13" s="74" t="n"/>
      <c r="C13" s="76" t="n"/>
      <c r="D13" s="84">
        <f>IF($A13="","",SUMIFS(L_VALOR,L_CONTA,$A13,L_TIPO,"Receita",L_STATUS,"&lt;&gt;Pendente"))</f>
        <v/>
      </c>
      <c r="E13" s="84">
        <f>IF($A13="","",SUMIFS(L_VALOR,L_CONTA,$A13,L_TIPO,"Despesa",L_CARTAO,"",L_STATUS,"&lt;&gt;Pendente"))</f>
        <v/>
      </c>
      <c r="F13" s="84">
        <f>IF($A13="","",SUMIFS(L_VALOR,L_DESTINO,$A13,L_TIPO,"Poupança",L_STATUS,"&lt;&gt;Pendente")+SUMIFS(L_VALOR,L_DESTINO,$A13,L_TIPO,"Transferência",L_STATUS,"&lt;&gt;Pendente"))</f>
        <v/>
      </c>
      <c r="G13" s="84">
        <f>IF($A13="","",SUMIFS(L_VALOR,L_CONTA,$A13,L_TIPO,"Poupança",L_STATUS,"&lt;&gt;Pendente")+SUMIFS(L_VALOR,L_CONTA,$A13,L_TIPO,"Transferência",L_STATUS,"&lt;&gt;Pendente"))</f>
        <v/>
      </c>
      <c r="H13" s="85">
        <f>IF($A13="","",N(C13)+D13-E13+F13-G13)</f>
        <v/>
      </c>
      <c r="I13" s="86">
        <f>IF(OR($A13="",$H$19&lt;=0),"",MAX(H13,0)/$H$19)</f>
        <v/>
      </c>
      <c r="J13" s="76" t="n"/>
      <c r="K13" s="84">
        <f>IF(OR($A13="",J13=""),"",J13-H13)</f>
        <v/>
      </c>
    </row>
    <row r="14">
      <c r="A14" s="74" t="n"/>
      <c r="B14" s="74" t="n"/>
      <c r="C14" s="76" t="n"/>
      <c r="D14" s="84">
        <f>IF($A14="","",SUMIFS(L_VALOR,L_CONTA,$A14,L_TIPO,"Receita",L_STATUS,"&lt;&gt;Pendente"))</f>
        <v/>
      </c>
      <c r="E14" s="84">
        <f>IF($A14="","",SUMIFS(L_VALOR,L_CONTA,$A14,L_TIPO,"Despesa",L_CARTAO,"",L_STATUS,"&lt;&gt;Pendente"))</f>
        <v/>
      </c>
      <c r="F14" s="84">
        <f>IF($A14="","",SUMIFS(L_VALOR,L_DESTINO,$A14,L_TIPO,"Poupança",L_STATUS,"&lt;&gt;Pendente")+SUMIFS(L_VALOR,L_DESTINO,$A14,L_TIPO,"Transferência",L_STATUS,"&lt;&gt;Pendente"))</f>
        <v/>
      </c>
      <c r="G14" s="84">
        <f>IF($A14="","",SUMIFS(L_VALOR,L_CONTA,$A14,L_TIPO,"Poupança",L_STATUS,"&lt;&gt;Pendente")+SUMIFS(L_VALOR,L_CONTA,$A14,L_TIPO,"Transferência",L_STATUS,"&lt;&gt;Pendente"))</f>
        <v/>
      </c>
      <c r="H14" s="85">
        <f>IF($A14="","",N(C14)+D14-E14+F14-G14)</f>
        <v/>
      </c>
      <c r="I14" s="86">
        <f>IF(OR($A14="",$H$19&lt;=0),"",MAX(H14,0)/$H$19)</f>
        <v/>
      </c>
      <c r="J14" s="76" t="n"/>
      <c r="K14" s="84">
        <f>IF(OR($A14="",J14=""),"",J14-H14)</f>
        <v/>
      </c>
    </row>
    <row r="15">
      <c r="A15" s="74" t="n"/>
      <c r="B15" s="74" t="n"/>
      <c r="C15" s="76" t="n"/>
      <c r="D15" s="84">
        <f>IF($A15="","",SUMIFS(L_VALOR,L_CONTA,$A15,L_TIPO,"Receita",L_STATUS,"&lt;&gt;Pendente"))</f>
        <v/>
      </c>
      <c r="E15" s="84">
        <f>IF($A15="","",SUMIFS(L_VALOR,L_CONTA,$A15,L_TIPO,"Despesa",L_CARTAO,"",L_STATUS,"&lt;&gt;Pendente"))</f>
        <v/>
      </c>
      <c r="F15" s="84">
        <f>IF($A15="","",SUMIFS(L_VALOR,L_DESTINO,$A15,L_TIPO,"Poupança",L_STATUS,"&lt;&gt;Pendente")+SUMIFS(L_VALOR,L_DESTINO,$A15,L_TIPO,"Transferência",L_STATUS,"&lt;&gt;Pendente"))</f>
        <v/>
      </c>
      <c r="G15" s="84">
        <f>IF($A15="","",SUMIFS(L_VALOR,L_CONTA,$A15,L_TIPO,"Poupança",L_STATUS,"&lt;&gt;Pendente")+SUMIFS(L_VALOR,L_CONTA,$A15,L_TIPO,"Transferência",L_STATUS,"&lt;&gt;Pendente"))</f>
        <v/>
      </c>
      <c r="H15" s="85">
        <f>IF($A15="","",N(C15)+D15-E15+F15-G15)</f>
        <v/>
      </c>
      <c r="I15" s="86">
        <f>IF(OR($A15="",$H$19&lt;=0),"",MAX(H15,0)/$H$19)</f>
        <v/>
      </c>
      <c r="J15" s="76" t="n"/>
      <c r="K15" s="84">
        <f>IF(OR($A15="",J15=""),"",J15-H15)</f>
        <v/>
      </c>
    </row>
    <row r="16">
      <c r="A16" s="74" t="n"/>
      <c r="B16" s="74" t="n"/>
      <c r="C16" s="76" t="n"/>
      <c r="D16" s="84">
        <f>IF($A16="","",SUMIFS(L_VALOR,L_CONTA,$A16,L_TIPO,"Receita",L_STATUS,"&lt;&gt;Pendente"))</f>
        <v/>
      </c>
      <c r="E16" s="84">
        <f>IF($A16="","",SUMIFS(L_VALOR,L_CONTA,$A16,L_TIPO,"Despesa",L_CARTAO,"",L_STATUS,"&lt;&gt;Pendente"))</f>
        <v/>
      </c>
      <c r="F16" s="84">
        <f>IF($A16="","",SUMIFS(L_VALOR,L_DESTINO,$A16,L_TIPO,"Poupança",L_STATUS,"&lt;&gt;Pendente")+SUMIFS(L_VALOR,L_DESTINO,$A16,L_TIPO,"Transferência",L_STATUS,"&lt;&gt;Pendente"))</f>
        <v/>
      </c>
      <c r="G16" s="84">
        <f>IF($A16="","",SUMIFS(L_VALOR,L_CONTA,$A16,L_TIPO,"Poupança",L_STATUS,"&lt;&gt;Pendente")+SUMIFS(L_VALOR,L_CONTA,$A16,L_TIPO,"Transferência",L_STATUS,"&lt;&gt;Pendente"))</f>
        <v/>
      </c>
      <c r="H16" s="85">
        <f>IF($A16="","",N(C16)+D16-E16+F16-G16)</f>
        <v/>
      </c>
      <c r="I16" s="86">
        <f>IF(OR($A16="",$H$19&lt;=0),"",MAX(H16,0)/$H$19)</f>
        <v/>
      </c>
      <c r="J16" s="76" t="n"/>
      <c r="K16" s="84">
        <f>IF(OR($A16="",J16=""),"",J16-H16)</f>
        <v/>
      </c>
    </row>
    <row r="17">
      <c r="A17" s="74" t="n"/>
      <c r="B17" s="74" t="n"/>
      <c r="C17" s="76" t="n"/>
      <c r="D17" s="84">
        <f>IF($A17="","",SUMIFS(L_VALOR,L_CONTA,$A17,L_TIPO,"Receita",L_STATUS,"&lt;&gt;Pendente"))</f>
        <v/>
      </c>
      <c r="E17" s="84">
        <f>IF($A17="","",SUMIFS(L_VALOR,L_CONTA,$A17,L_TIPO,"Despesa",L_CARTAO,"",L_STATUS,"&lt;&gt;Pendente"))</f>
        <v/>
      </c>
      <c r="F17" s="84">
        <f>IF($A17="","",SUMIFS(L_VALOR,L_DESTINO,$A17,L_TIPO,"Poupança",L_STATUS,"&lt;&gt;Pendente")+SUMIFS(L_VALOR,L_DESTINO,$A17,L_TIPO,"Transferência",L_STATUS,"&lt;&gt;Pendente"))</f>
        <v/>
      </c>
      <c r="G17" s="84">
        <f>IF($A17="","",SUMIFS(L_VALOR,L_CONTA,$A17,L_TIPO,"Poupança",L_STATUS,"&lt;&gt;Pendente")+SUMIFS(L_VALOR,L_CONTA,$A17,L_TIPO,"Transferência",L_STATUS,"&lt;&gt;Pendente"))</f>
        <v/>
      </c>
      <c r="H17" s="85">
        <f>IF($A17="","",N(C17)+D17-E17+F17-G17)</f>
        <v/>
      </c>
      <c r="I17" s="86">
        <f>IF(OR($A17="",$H$19&lt;=0),"",MAX(H17,0)/$H$19)</f>
        <v/>
      </c>
      <c r="J17" s="76" t="n"/>
      <c r="K17" s="84">
        <f>IF(OR($A17="",J17=""),"",J17-H17)</f>
        <v/>
      </c>
    </row>
    <row r="18">
      <c r="A18" s="74" t="n"/>
      <c r="B18" s="74" t="n"/>
      <c r="C18" s="76" t="n"/>
      <c r="D18" s="84">
        <f>IF($A18="","",SUMIFS(L_VALOR,L_CONTA,$A18,L_TIPO,"Receita",L_STATUS,"&lt;&gt;Pendente"))</f>
        <v/>
      </c>
      <c r="E18" s="84">
        <f>IF($A18="","",SUMIFS(L_VALOR,L_CONTA,$A18,L_TIPO,"Despesa",L_CARTAO,"",L_STATUS,"&lt;&gt;Pendente"))</f>
        <v/>
      </c>
      <c r="F18" s="84">
        <f>IF($A18="","",SUMIFS(L_VALOR,L_DESTINO,$A18,L_TIPO,"Poupança",L_STATUS,"&lt;&gt;Pendente")+SUMIFS(L_VALOR,L_DESTINO,$A18,L_TIPO,"Transferência",L_STATUS,"&lt;&gt;Pendente"))</f>
        <v/>
      </c>
      <c r="G18" s="84">
        <f>IF($A18="","",SUMIFS(L_VALOR,L_CONTA,$A18,L_TIPO,"Poupança",L_STATUS,"&lt;&gt;Pendente")+SUMIFS(L_VALOR,L_CONTA,$A18,L_TIPO,"Transferência",L_STATUS,"&lt;&gt;Pendente"))</f>
        <v/>
      </c>
      <c r="H18" s="85">
        <f>IF($A18="","",N(C18)+D18-E18+F18-G18)</f>
        <v/>
      </c>
      <c r="I18" s="86">
        <f>IF(OR($A18="",$H$19&lt;=0),"",MAX(H18,0)/$H$19)</f>
        <v/>
      </c>
      <c r="J18" s="76" t="n"/>
      <c r="K18" s="84">
        <f>IF(OR($A18="",J18=""),"",J18-H18)</f>
        <v/>
      </c>
    </row>
    <row r="19">
      <c r="A19" s="87" t="inlineStr">
        <is>
          <t>Total</t>
        </is>
      </c>
      <c r="B19" s="88" t="n"/>
      <c r="C19" s="88">
        <f>SUM(C7:C18)</f>
        <v/>
      </c>
      <c r="D19" s="88">
        <f>SUM(D7:D18)</f>
        <v/>
      </c>
      <c r="E19" s="88">
        <f>SUM(E7:E18)</f>
        <v/>
      </c>
      <c r="F19" s="88">
        <f>SUM(F7:F18)</f>
        <v/>
      </c>
      <c r="G19" s="88">
        <f>SUM(G7:G18)</f>
        <v/>
      </c>
      <c r="H19" s="88">
        <f>SUM(H7:H18)</f>
        <v/>
      </c>
      <c r="I19" s="89">
        <f>IF(H19&gt;0,SUMIFS(I7:I18,I7:I18,"&gt;0"),"")</f>
        <v/>
      </c>
      <c r="J19" s="88" t="n"/>
      <c r="K19" s="88" t="n"/>
    </row>
    <row r="21">
      <c r="A21" s="59" t="inlineStr">
        <is>
          <t>Como funciona: receitas entram na conta indicada; despesas saem dela (compras no cartão só saem quando você registra o "Pagamento de fatura").</t>
        </is>
      </c>
    </row>
    <row r="22">
      <c r="A22" s="59" t="inlineStr">
        <is>
          <t>Poupança e transferências saem da Conta e entram na Conta destino. Lançamentos Pendentes não mexem no saldo.</t>
        </is>
      </c>
    </row>
    <row r="23">
      <c r="A23" s="59" t="inlineStr">
        <is>
          <t>Confira com o app do banco: digite o saldo do extrato na coluna J e veja a diferença. Se houver, falta (ou sobra) algum lançamento.</t>
        </is>
      </c>
    </row>
  </sheetData>
  <mergeCells count="8">
    <mergeCell ref="F4:G4"/>
    <mergeCell ref="B5:C5"/>
    <mergeCell ref="F5:G5"/>
    <mergeCell ref="D5:E5"/>
    <mergeCell ref="H5:I5"/>
    <mergeCell ref="D4:E4"/>
    <mergeCell ref="H4:I4"/>
    <mergeCell ref="B4:C4"/>
  </mergeCells>
  <conditionalFormatting sqref="H7:H18">
    <cfRule type="expression" priority="1" dxfId="12">
      <formula>AND(ISNUMBER(H7),H7&lt;0)</formula>
    </cfRule>
  </conditionalFormatting>
  <conditionalFormatting sqref="K7:K18">
    <cfRule type="expression" priority="2" dxfId="14">
      <formula>AND(ISNUMBER(K7),ABS(K7)&gt;=0.01)</formula>
    </cfRule>
  </conditionalFormatting>
  <dataValidations count="1">
    <dataValidation sqref="B7:B18" showDropDown="0" showInputMessage="0" showErrorMessage="1" allowBlank="1" errorTitle="Tipo inválido" error="Escolha um tipo da lista." type="list">
      <formula1>='Configurações'!$K$14:$K$19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N24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2" customWidth="1" min="3" max="3"/>
    <col width="12" customWidth="1" min="4" max="4"/>
    <col width="14" customWidth="1" min="5" max="5"/>
    <col width="14" customWidth="1" min="6" max="6"/>
    <col width="13" customWidth="1" min="7" max="7"/>
    <col width="17" customWidth="1" min="8" max="8"/>
    <col width="17" customWidth="1" min="9" max="9"/>
    <col width="15" customWidth="1" min="10" max="10"/>
    <col width="12" customWidth="1" min="11" max="11"/>
    <col width="15" customWidth="1" min="12" max="12"/>
    <col width="16" customWidth="1" min="13" max="13"/>
    <col width="15" customWidth="1" min="14" max="14"/>
  </cols>
  <sheetData>
    <row r="1" ht="30" customHeight="1">
      <c r="A1" s="64" t="inlineStr">
        <is>
          <t>Cartões de crédito</t>
        </is>
      </c>
    </row>
    <row r="2">
      <c r="A2" s="65" t="inlineStr">
        <is>
          <t>A fatura do mês analisado é calculada dos Lançamentos com cartão (pelo dia de fechamento) mais as parcelas da aba Parcelados.</t>
        </is>
      </c>
    </row>
    <row r="3">
      <c r="A3" s="65" t="inlineStr">
        <is>
          <t>Regra: compra feita até o dia do fechamento entra na fatura daquele mês; depois dele, na seguinte. O mês analisado é o escolhido no Painel.</t>
        </is>
      </c>
    </row>
    <row r="6" ht="48" customHeight="1">
      <c r="A6" s="44" t="inlineStr">
        <is>
          <t>Cartão</t>
        </is>
      </c>
      <c r="B6" s="44" t="inlineStr">
        <is>
          <t>Limite (R$)</t>
        </is>
      </c>
      <c r="C6" s="44" t="inlineStr">
        <is>
          <t>Fecha no dia</t>
        </is>
      </c>
      <c r="D6" s="44" t="inlineStr">
        <is>
          <t>Vence no dia</t>
        </is>
      </c>
      <c r="E6" s="44" t="inlineStr">
        <is>
          <t>Ciclo começa em</t>
        </is>
      </c>
      <c r="F6" s="44" t="inlineStr">
        <is>
          <t>Fatura fecha em</t>
        </is>
      </c>
      <c r="G6" s="44" t="inlineStr">
        <is>
          <t>Vence em</t>
        </is>
      </c>
      <c r="H6" s="44" t="inlineStr">
        <is>
          <t>Compras do ciclo (Lançamentos)</t>
        </is>
      </c>
      <c r="I6" s="44" t="inlineStr">
        <is>
          <t>Parcelas do mês (Parcelados)</t>
        </is>
      </c>
      <c r="J6" s="44" t="inlineStr">
        <is>
          <t>Fatura do mês</t>
        </is>
      </c>
      <c r="K6" s="44" t="inlineStr">
        <is>
          <t>% do limite</t>
        </is>
      </c>
      <c r="L6" s="44" t="inlineStr">
        <is>
          <t>Parcelas futuras</t>
        </is>
      </c>
      <c r="M6" s="44" t="inlineStr">
        <is>
          <t>Limite livre (estimado)</t>
        </is>
      </c>
    </row>
    <row r="7">
      <c r="A7" s="74" t="inlineStr">
        <is>
          <t>Nubank Mastercard</t>
        </is>
      </c>
      <c r="B7" s="76" t="n">
        <v>6000</v>
      </c>
      <c r="C7" s="90" t="n">
        <v>25</v>
      </c>
      <c r="D7" s="90" t="n">
        <v>5</v>
      </c>
      <c r="E7" s="91">
        <f>IF(OR($A7="",$C7=""),"",DATE(YEAR(EDATE(INI_MES,-1)),MONTH(EDATE(INI_MES,-1)),MIN($C7,DAY(EOMONTH(INI_MES,-1))))+1)</f>
        <v/>
      </c>
      <c r="F7" s="91">
        <f>IF(OR($A7="",$C7=""),"",DATE(ANO_SEL,MES_SEL,MIN($C7,DIAS_MES)))</f>
        <v/>
      </c>
      <c r="G7" s="91">
        <f>IF(OR($A7="",$C7="",$D7=""),"",IF($D7&gt;$C7,DATE(ANO_SEL,MES_SEL,MIN($D7,DIAS_MES)),DATE(YEAR(EDATE(INI_MES,1)),MONTH(EDATE(INI_MES,1)),MIN($D7,DAY(EOMONTH(INI_MES,1))))))</f>
        <v/>
      </c>
      <c r="H7" s="84">
        <f>IF(OR($A7="",$E7=""),"",SUMIFS(L_VALOR,L_CARTAO,$A7,L_TIPO,"Despesa",L_DATA,"&gt;="&amp;$E7,L_DATA,"&lt;="&amp;$F7))</f>
        <v/>
      </c>
      <c r="I7" s="84">
        <f>IF($A7="","",SUMPRODUCT((PARC_CARTAO=$A7)*(PARC_MESES=INI_MES)*PARC_MATRIZ))</f>
        <v/>
      </c>
      <c r="J7" s="85">
        <f>IF(OR($A7="",$H7=""),"",H7+I7)</f>
        <v/>
      </c>
      <c r="K7" s="86">
        <f>IF(OR($A7="",N($B7)=0,$J7=""),"",J7/B7)</f>
        <v/>
      </c>
      <c r="L7" s="84">
        <f>IF($A7="","",SUMIF(PARC_CARTAO,$A7,PARC_RESTANTE))</f>
        <v/>
      </c>
      <c r="M7" s="84">
        <f>IF(OR($A7="",N($B7)=0,$J7=""),"",B7-J7-L7)</f>
        <v/>
      </c>
    </row>
    <row r="8">
      <c r="A8" s="74" t="inlineStr">
        <is>
          <t>Itaú Visa</t>
        </is>
      </c>
      <c r="B8" s="76" t="n">
        <v>3500</v>
      </c>
      <c r="C8" s="90" t="n">
        <v>10</v>
      </c>
      <c r="D8" s="90" t="n">
        <v>17</v>
      </c>
      <c r="E8" s="91">
        <f>IF(OR($A8="",$C8=""),"",DATE(YEAR(EDATE(INI_MES,-1)),MONTH(EDATE(INI_MES,-1)),MIN($C8,DAY(EOMONTH(INI_MES,-1))))+1)</f>
        <v/>
      </c>
      <c r="F8" s="91">
        <f>IF(OR($A8="",$C8=""),"",DATE(ANO_SEL,MES_SEL,MIN($C8,DIAS_MES)))</f>
        <v/>
      </c>
      <c r="G8" s="91">
        <f>IF(OR($A8="",$C8="",$D8=""),"",IF($D8&gt;$C8,DATE(ANO_SEL,MES_SEL,MIN($D8,DIAS_MES)),DATE(YEAR(EDATE(INI_MES,1)),MONTH(EDATE(INI_MES,1)),MIN($D8,DAY(EOMONTH(INI_MES,1))))))</f>
        <v/>
      </c>
      <c r="H8" s="84">
        <f>IF(OR($A8="",$E8=""),"",SUMIFS(L_VALOR,L_CARTAO,$A8,L_TIPO,"Despesa",L_DATA,"&gt;="&amp;$E8,L_DATA,"&lt;="&amp;$F8))</f>
        <v/>
      </c>
      <c r="I8" s="84">
        <f>IF($A8="","",SUMPRODUCT((PARC_CARTAO=$A8)*(PARC_MESES=INI_MES)*PARC_MATRIZ))</f>
        <v/>
      </c>
      <c r="J8" s="85">
        <f>IF(OR($A8="",$H8=""),"",H8+I8)</f>
        <v/>
      </c>
      <c r="K8" s="86">
        <f>IF(OR($A8="",N($B8)=0,$J8=""),"",J8/B8)</f>
        <v/>
      </c>
      <c r="L8" s="84">
        <f>IF($A8="","",SUMIF(PARC_CARTAO,$A8,PARC_RESTANTE))</f>
        <v/>
      </c>
      <c r="M8" s="84">
        <f>IF(OR($A8="",N($B8)=0,$J8=""),"",B8-J8-L8)</f>
        <v/>
      </c>
    </row>
    <row r="9">
      <c r="A9" s="74" t="n"/>
      <c r="B9" s="76" t="n"/>
      <c r="C9" s="90" t="n"/>
      <c r="D9" s="90" t="n"/>
      <c r="E9" s="91">
        <f>IF(OR($A9="",$C9=""),"",DATE(YEAR(EDATE(INI_MES,-1)),MONTH(EDATE(INI_MES,-1)),MIN($C9,DAY(EOMONTH(INI_MES,-1))))+1)</f>
        <v/>
      </c>
      <c r="F9" s="91">
        <f>IF(OR($A9="",$C9=""),"",DATE(ANO_SEL,MES_SEL,MIN($C9,DIAS_MES)))</f>
        <v/>
      </c>
      <c r="G9" s="91">
        <f>IF(OR($A9="",$C9="",$D9=""),"",IF($D9&gt;$C9,DATE(ANO_SEL,MES_SEL,MIN($D9,DIAS_MES)),DATE(YEAR(EDATE(INI_MES,1)),MONTH(EDATE(INI_MES,1)),MIN($D9,DAY(EOMONTH(INI_MES,1))))))</f>
        <v/>
      </c>
      <c r="H9" s="84">
        <f>IF(OR($A9="",$E9=""),"",SUMIFS(L_VALOR,L_CARTAO,$A9,L_TIPO,"Despesa",L_DATA,"&gt;="&amp;$E9,L_DATA,"&lt;="&amp;$F9))</f>
        <v/>
      </c>
      <c r="I9" s="84">
        <f>IF($A9="","",SUMPRODUCT((PARC_CARTAO=$A9)*(PARC_MESES=INI_MES)*PARC_MATRIZ))</f>
        <v/>
      </c>
      <c r="J9" s="85">
        <f>IF(OR($A9="",$H9=""),"",H9+I9)</f>
        <v/>
      </c>
      <c r="K9" s="86">
        <f>IF(OR($A9="",N($B9)=0,$J9=""),"",J9/B9)</f>
        <v/>
      </c>
      <c r="L9" s="84">
        <f>IF($A9="","",SUMIF(PARC_CARTAO,$A9,PARC_RESTANTE))</f>
        <v/>
      </c>
      <c r="M9" s="84">
        <f>IF(OR($A9="",N($B9)=0,$J9=""),"",B9-J9-L9)</f>
        <v/>
      </c>
    </row>
    <row r="10">
      <c r="A10" s="74" t="n"/>
      <c r="B10" s="76" t="n"/>
      <c r="C10" s="90" t="n"/>
      <c r="D10" s="90" t="n"/>
      <c r="E10" s="91">
        <f>IF(OR($A10="",$C10=""),"",DATE(YEAR(EDATE(INI_MES,-1)),MONTH(EDATE(INI_MES,-1)),MIN($C10,DAY(EOMONTH(INI_MES,-1))))+1)</f>
        <v/>
      </c>
      <c r="F10" s="91">
        <f>IF(OR($A10="",$C10=""),"",DATE(ANO_SEL,MES_SEL,MIN($C10,DIAS_MES)))</f>
        <v/>
      </c>
      <c r="G10" s="91">
        <f>IF(OR($A10="",$C10="",$D10=""),"",IF($D10&gt;$C10,DATE(ANO_SEL,MES_SEL,MIN($D10,DIAS_MES)),DATE(YEAR(EDATE(INI_MES,1)),MONTH(EDATE(INI_MES,1)),MIN($D10,DAY(EOMONTH(INI_MES,1))))))</f>
        <v/>
      </c>
      <c r="H10" s="84">
        <f>IF(OR($A10="",$E10=""),"",SUMIFS(L_VALOR,L_CARTAO,$A10,L_TIPO,"Despesa",L_DATA,"&gt;="&amp;$E10,L_DATA,"&lt;="&amp;$F10))</f>
        <v/>
      </c>
      <c r="I10" s="84">
        <f>IF($A10="","",SUMPRODUCT((PARC_CARTAO=$A10)*(PARC_MESES=INI_MES)*PARC_MATRIZ))</f>
        <v/>
      </c>
      <c r="J10" s="85">
        <f>IF(OR($A10="",$H10=""),"",H10+I10)</f>
        <v/>
      </c>
      <c r="K10" s="86">
        <f>IF(OR($A10="",N($B10)=0,$J10=""),"",J10/B10)</f>
        <v/>
      </c>
      <c r="L10" s="84">
        <f>IF($A10="","",SUMIF(PARC_CARTAO,$A10,PARC_RESTANTE))</f>
        <v/>
      </c>
      <c r="M10" s="84">
        <f>IF(OR($A10="",N($B10)=0,$J10=""),"",B10-J10-L10)</f>
        <v/>
      </c>
    </row>
    <row r="11">
      <c r="A11" s="74" t="n"/>
      <c r="B11" s="76" t="n"/>
      <c r="C11" s="90" t="n"/>
      <c r="D11" s="90" t="n"/>
      <c r="E11" s="91">
        <f>IF(OR($A11="",$C11=""),"",DATE(YEAR(EDATE(INI_MES,-1)),MONTH(EDATE(INI_MES,-1)),MIN($C11,DAY(EOMONTH(INI_MES,-1))))+1)</f>
        <v/>
      </c>
      <c r="F11" s="91">
        <f>IF(OR($A11="",$C11=""),"",DATE(ANO_SEL,MES_SEL,MIN($C11,DIAS_MES)))</f>
        <v/>
      </c>
      <c r="G11" s="91">
        <f>IF(OR($A11="",$C11="",$D11=""),"",IF($D11&gt;$C11,DATE(ANO_SEL,MES_SEL,MIN($D11,DIAS_MES)),DATE(YEAR(EDATE(INI_MES,1)),MONTH(EDATE(INI_MES,1)),MIN($D11,DAY(EOMONTH(INI_MES,1))))))</f>
        <v/>
      </c>
      <c r="H11" s="84">
        <f>IF(OR($A11="",$E11=""),"",SUMIFS(L_VALOR,L_CARTAO,$A11,L_TIPO,"Despesa",L_DATA,"&gt;="&amp;$E11,L_DATA,"&lt;="&amp;$F11))</f>
        <v/>
      </c>
      <c r="I11" s="84">
        <f>IF($A11="","",SUMPRODUCT((PARC_CARTAO=$A11)*(PARC_MESES=INI_MES)*PARC_MATRIZ))</f>
        <v/>
      </c>
      <c r="J11" s="85">
        <f>IF(OR($A11="",$H11=""),"",H11+I11)</f>
        <v/>
      </c>
      <c r="K11" s="86">
        <f>IF(OR($A11="",N($B11)=0,$J11=""),"",J11/B11)</f>
        <v/>
      </c>
      <c r="L11" s="84">
        <f>IF($A11="","",SUMIF(PARC_CARTAO,$A11,PARC_RESTANTE))</f>
        <v/>
      </c>
      <c r="M11" s="84">
        <f>IF(OR($A11="",N($B11)=0,$J11=""),"",B11-J11-L11)</f>
        <v/>
      </c>
    </row>
    <row r="12">
      <c r="A12" s="74" t="n"/>
      <c r="B12" s="76" t="n"/>
      <c r="C12" s="90" t="n"/>
      <c r="D12" s="90" t="n"/>
      <c r="E12" s="91">
        <f>IF(OR($A12="",$C12=""),"",DATE(YEAR(EDATE(INI_MES,-1)),MONTH(EDATE(INI_MES,-1)),MIN($C12,DAY(EOMONTH(INI_MES,-1))))+1)</f>
        <v/>
      </c>
      <c r="F12" s="91">
        <f>IF(OR($A12="",$C12=""),"",DATE(ANO_SEL,MES_SEL,MIN($C12,DIAS_MES)))</f>
        <v/>
      </c>
      <c r="G12" s="91">
        <f>IF(OR($A12="",$C12="",$D12=""),"",IF($D12&gt;$C12,DATE(ANO_SEL,MES_SEL,MIN($D12,DIAS_MES)),DATE(YEAR(EDATE(INI_MES,1)),MONTH(EDATE(INI_MES,1)),MIN($D12,DAY(EOMONTH(INI_MES,1))))))</f>
        <v/>
      </c>
      <c r="H12" s="84">
        <f>IF(OR($A12="",$E12=""),"",SUMIFS(L_VALOR,L_CARTAO,$A12,L_TIPO,"Despesa",L_DATA,"&gt;="&amp;$E12,L_DATA,"&lt;="&amp;$F12))</f>
        <v/>
      </c>
      <c r="I12" s="84">
        <f>IF($A12="","",SUMPRODUCT((PARC_CARTAO=$A12)*(PARC_MESES=INI_MES)*PARC_MATRIZ))</f>
        <v/>
      </c>
      <c r="J12" s="85">
        <f>IF(OR($A12="",$H12=""),"",H12+I12)</f>
        <v/>
      </c>
      <c r="K12" s="86">
        <f>IF(OR($A12="",N($B12)=0,$J12=""),"",J12/B12)</f>
        <v/>
      </c>
      <c r="L12" s="84">
        <f>IF($A12="","",SUMIF(PARC_CARTAO,$A12,PARC_RESTANTE))</f>
        <v/>
      </c>
      <c r="M12" s="84">
        <f>IF(OR($A12="",N($B12)=0,$J12=""),"",B12-J12-L12)</f>
        <v/>
      </c>
    </row>
    <row r="13">
      <c r="A13" s="87" t="inlineStr">
        <is>
          <t>Total</t>
        </is>
      </c>
      <c r="B13" s="88">
        <f>SUM(B7:B12)</f>
        <v/>
      </c>
      <c r="C13" s="88" t="n"/>
      <c r="D13" s="88" t="n"/>
      <c r="E13" s="88" t="n"/>
      <c r="F13" s="88" t="n"/>
      <c r="G13" s="88" t="n"/>
      <c r="H13" s="88">
        <f>SUM(H7:H12)</f>
        <v/>
      </c>
      <c r="I13" s="88">
        <f>SUM(I7:I12)</f>
        <v/>
      </c>
      <c r="J13" s="88">
        <f>SUM(J7:J12)</f>
        <v/>
      </c>
      <c r="K13" s="89">
        <f>IF(B13=0,"",J13/B13)</f>
        <v/>
      </c>
      <c r="L13" s="88">
        <f>SUM(L7:L12)</f>
        <v/>
      </c>
      <c r="M13" s="88">
        <f>SUM(M7:M12)</f>
        <v/>
      </c>
    </row>
    <row r="15">
      <c r="A15" s="5" t="inlineStr">
        <is>
          <t>Compromissos futuros: parcelas já comprometidas nas próximas faturas (12 meses a partir do mês analisado)</t>
        </is>
      </c>
    </row>
    <row r="16" ht="28" customHeight="1">
      <c r="A16" s="44" t="inlineStr">
        <is>
          <t>Cartão</t>
        </is>
      </c>
      <c r="B16" s="92">
        <f>INI_MES</f>
        <v/>
      </c>
      <c r="C16" s="92">
        <f>EDATE(B16,1)</f>
        <v/>
      </c>
      <c r="D16" s="92">
        <f>EDATE(C16,1)</f>
        <v/>
      </c>
      <c r="E16" s="92">
        <f>EDATE(D16,1)</f>
        <v/>
      </c>
      <c r="F16" s="92">
        <f>EDATE(E16,1)</f>
        <v/>
      </c>
      <c r="G16" s="92">
        <f>EDATE(F16,1)</f>
        <v/>
      </c>
      <c r="H16" s="92">
        <f>EDATE(G16,1)</f>
        <v/>
      </c>
      <c r="I16" s="92">
        <f>EDATE(H16,1)</f>
        <v/>
      </c>
      <c r="J16" s="92">
        <f>EDATE(I16,1)</f>
        <v/>
      </c>
      <c r="K16" s="92">
        <f>EDATE(J16,1)</f>
        <v/>
      </c>
      <c r="L16" s="92">
        <f>EDATE(K16,1)</f>
        <v/>
      </c>
      <c r="M16" s="92">
        <f>EDATE(L16,1)</f>
        <v/>
      </c>
      <c r="N16" s="44" t="inlineStr">
        <is>
          <t>Total 12 meses</t>
        </is>
      </c>
    </row>
    <row r="17">
      <c r="A17" s="75">
        <f>IF($A7="","",$A7)</f>
        <v/>
      </c>
      <c r="B17" s="93">
        <f>IF($A17="",0,SUMPRODUCT((PARC_CARTAO=$A17)*(PARC_MESES=B$16)*PARC_MATRIZ))</f>
        <v/>
      </c>
      <c r="C17" s="93">
        <f>IF($A17="",0,SUMPRODUCT((PARC_CARTAO=$A17)*(PARC_MESES=C$16)*PARC_MATRIZ))</f>
        <v/>
      </c>
      <c r="D17" s="93">
        <f>IF($A17="",0,SUMPRODUCT((PARC_CARTAO=$A17)*(PARC_MESES=D$16)*PARC_MATRIZ))</f>
        <v/>
      </c>
      <c r="E17" s="93">
        <f>IF($A17="",0,SUMPRODUCT((PARC_CARTAO=$A17)*(PARC_MESES=E$16)*PARC_MATRIZ))</f>
        <v/>
      </c>
      <c r="F17" s="93">
        <f>IF($A17="",0,SUMPRODUCT((PARC_CARTAO=$A17)*(PARC_MESES=F$16)*PARC_MATRIZ))</f>
        <v/>
      </c>
      <c r="G17" s="93">
        <f>IF($A17="",0,SUMPRODUCT((PARC_CARTAO=$A17)*(PARC_MESES=G$16)*PARC_MATRIZ))</f>
        <v/>
      </c>
      <c r="H17" s="93">
        <f>IF($A17="",0,SUMPRODUCT((PARC_CARTAO=$A17)*(PARC_MESES=H$16)*PARC_MATRIZ))</f>
        <v/>
      </c>
      <c r="I17" s="93">
        <f>IF($A17="",0,SUMPRODUCT((PARC_CARTAO=$A17)*(PARC_MESES=I$16)*PARC_MATRIZ))</f>
        <v/>
      </c>
      <c r="J17" s="93">
        <f>IF($A17="",0,SUMPRODUCT((PARC_CARTAO=$A17)*(PARC_MESES=J$16)*PARC_MATRIZ))</f>
        <v/>
      </c>
      <c r="K17" s="93">
        <f>IF($A17="",0,SUMPRODUCT((PARC_CARTAO=$A17)*(PARC_MESES=K$16)*PARC_MATRIZ))</f>
        <v/>
      </c>
      <c r="L17" s="93">
        <f>IF($A17="",0,SUMPRODUCT((PARC_CARTAO=$A17)*(PARC_MESES=L$16)*PARC_MATRIZ))</f>
        <v/>
      </c>
      <c r="M17" s="93">
        <f>IF($A17="",0,SUMPRODUCT((PARC_CARTAO=$A17)*(PARC_MESES=M$16)*PARC_MATRIZ))</f>
        <v/>
      </c>
      <c r="N17" s="85">
        <f>SUM(B17:M17)</f>
        <v/>
      </c>
    </row>
    <row r="18">
      <c r="A18" s="75">
        <f>IF($A8="","",$A8)</f>
        <v/>
      </c>
      <c r="B18" s="93">
        <f>IF($A18="",0,SUMPRODUCT((PARC_CARTAO=$A18)*(PARC_MESES=B$16)*PARC_MATRIZ))</f>
        <v/>
      </c>
      <c r="C18" s="93">
        <f>IF($A18="",0,SUMPRODUCT((PARC_CARTAO=$A18)*(PARC_MESES=C$16)*PARC_MATRIZ))</f>
        <v/>
      </c>
      <c r="D18" s="93">
        <f>IF($A18="",0,SUMPRODUCT((PARC_CARTAO=$A18)*(PARC_MESES=D$16)*PARC_MATRIZ))</f>
        <v/>
      </c>
      <c r="E18" s="93">
        <f>IF($A18="",0,SUMPRODUCT((PARC_CARTAO=$A18)*(PARC_MESES=E$16)*PARC_MATRIZ))</f>
        <v/>
      </c>
      <c r="F18" s="93">
        <f>IF($A18="",0,SUMPRODUCT((PARC_CARTAO=$A18)*(PARC_MESES=F$16)*PARC_MATRIZ))</f>
        <v/>
      </c>
      <c r="G18" s="93">
        <f>IF($A18="",0,SUMPRODUCT((PARC_CARTAO=$A18)*(PARC_MESES=G$16)*PARC_MATRIZ))</f>
        <v/>
      </c>
      <c r="H18" s="93">
        <f>IF($A18="",0,SUMPRODUCT((PARC_CARTAO=$A18)*(PARC_MESES=H$16)*PARC_MATRIZ))</f>
        <v/>
      </c>
      <c r="I18" s="93">
        <f>IF($A18="",0,SUMPRODUCT((PARC_CARTAO=$A18)*(PARC_MESES=I$16)*PARC_MATRIZ))</f>
        <v/>
      </c>
      <c r="J18" s="93">
        <f>IF($A18="",0,SUMPRODUCT((PARC_CARTAO=$A18)*(PARC_MESES=J$16)*PARC_MATRIZ))</f>
        <v/>
      </c>
      <c r="K18" s="93">
        <f>IF($A18="",0,SUMPRODUCT((PARC_CARTAO=$A18)*(PARC_MESES=K$16)*PARC_MATRIZ))</f>
        <v/>
      </c>
      <c r="L18" s="93">
        <f>IF($A18="",0,SUMPRODUCT((PARC_CARTAO=$A18)*(PARC_MESES=L$16)*PARC_MATRIZ))</f>
        <v/>
      </c>
      <c r="M18" s="93">
        <f>IF($A18="",0,SUMPRODUCT((PARC_CARTAO=$A18)*(PARC_MESES=M$16)*PARC_MATRIZ))</f>
        <v/>
      </c>
      <c r="N18" s="85">
        <f>SUM(B18:M18)</f>
        <v/>
      </c>
    </row>
    <row r="19">
      <c r="A19" s="75">
        <f>IF($A9="","",$A9)</f>
        <v/>
      </c>
      <c r="B19" s="93">
        <f>IF($A19="",0,SUMPRODUCT((PARC_CARTAO=$A19)*(PARC_MESES=B$16)*PARC_MATRIZ))</f>
        <v/>
      </c>
      <c r="C19" s="93">
        <f>IF($A19="",0,SUMPRODUCT((PARC_CARTAO=$A19)*(PARC_MESES=C$16)*PARC_MATRIZ))</f>
        <v/>
      </c>
      <c r="D19" s="93">
        <f>IF($A19="",0,SUMPRODUCT((PARC_CARTAO=$A19)*(PARC_MESES=D$16)*PARC_MATRIZ))</f>
        <v/>
      </c>
      <c r="E19" s="93">
        <f>IF($A19="",0,SUMPRODUCT((PARC_CARTAO=$A19)*(PARC_MESES=E$16)*PARC_MATRIZ))</f>
        <v/>
      </c>
      <c r="F19" s="93">
        <f>IF($A19="",0,SUMPRODUCT((PARC_CARTAO=$A19)*(PARC_MESES=F$16)*PARC_MATRIZ))</f>
        <v/>
      </c>
      <c r="G19" s="93">
        <f>IF($A19="",0,SUMPRODUCT((PARC_CARTAO=$A19)*(PARC_MESES=G$16)*PARC_MATRIZ))</f>
        <v/>
      </c>
      <c r="H19" s="93">
        <f>IF($A19="",0,SUMPRODUCT((PARC_CARTAO=$A19)*(PARC_MESES=H$16)*PARC_MATRIZ))</f>
        <v/>
      </c>
      <c r="I19" s="93">
        <f>IF($A19="",0,SUMPRODUCT((PARC_CARTAO=$A19)*(PARC_MESES=I$16)*PARC_MATRIZ))</f>
        <v/>
      </c>
      <c r="J19" s="93">
        <f>IF($A19="",0,SUMPRODUCT((PARC_CARTAO=$A19)*(PARC_MESES=J$16)*PARC_MATRIZ))</f>
        <v/>
      </c>
      <c r="K19" s="93">
        <f>IF($A19="",0,SUMPRODUCT((PARC_CARTAO=$A19)*(PARC_MESES=K$16)*PARC_MATRIZ))</f>
        <v/>
      </c>
      <c r="L19" s="93">
        <f>IF($A19="",0,SUMPRODUCT((PARC_CARTAO=$A19)*(PARC_MESES=L$16)*PARC_MATRIZ))</f>
        <v/>
      </c>
      <c r="M19" s="93">
        <f>IF($A19="",0,SUMPRODUCT((PARC_CARTAO=$A19)*(PARC_MESES=M$16)*PARC_MATRIZ))</f>
        <v/>
      </c>
      <c r="N19" s="85">
        <f>SUM(B19:M19)</f>
        <v/>
      </c>
    </row>
    <row r="20">
      <c r="A20" s="75">
        <f>IF($A10="","",$A10)</f>
        <v/>
      </c>
      <c r="B20" s="93">
        <f>IF($A20="",0,SUMPRODUCT((PARC_CARTAO=$A20)*(PARC_MESES=B$16)*PARC_MATRIZ))</f>
        <v/>
      </c>
      <c r="C20" s="93">
        <f>IF($A20="",0,SUMPRODUCT((PARC_CARTAO=$A20)*(PARC_MESES=C$16)*PARC_MATRIZ))</f>
        <v/>
      </c>
      <c r="D20" s="93">
        <f>IF($A20="",0,SUMPRODUCT((PARC_CARTAO=$A20)*(PARC_MESES=D$16)*PARC_MATRIZ))</f>
        <v/>
      </c>
      <c r="E20" s="93">
        <f>IF($A20="",0,SUMPRODUCT((PARC_CARTAO=$A20)*(PARC_MESES=E$16)*PARC_MATRIZ))</f>
        <v/>
      </c>
      <c r="F20" s="93">
        <f>IF($A20="",0,SUMPRODUCT((PARC_CARTAO=$A20)*(PARC_MESES=F$16)*PARC_MATRIZ))</f>
        <v/>
      </c>
      <c r="G20" s="93">
        <f>IF($A20="",0,SUMPRODUCT((PARC_CARTAO=$A20)*(PARC_MESES=G$16)*PARC_MATRIZ))</f>
        <v/>
      </c>
      <c r="H20" s="93">
        <f>IF($A20="",0,SUMPRODUCT((PARC_CARTAO=$A20)*(PARC_MESES=H$16)*PARC_MATRIZ))</f>
        <v/>
      </c>
      <c r="I20" s="93">
        <f>IF($A20="",0,SUMPRODUCT((PARC_CARTAO=$A20)*(PARC_MESES=I$16)*PARC_MATRIZ))</f>
        <v/>
      </c>
      <c r="J20" s="93">
        <f>IF($A20="",0,SUMPRODUCT((PARC_CARTAO=$A20)*(PARC_MESES=J$16)*PARC_MATRIZ))</f>
        <v/>
      </c>
      <c r="K20" s="93">
        <f>IF($A20="",0,SUMPRODUCT((PARC_CARTAO=$A20)*(PARC_MESES=K$16)*PARC_MATRIZ))</f>
        <v/>
      </c>
      <c r="L20" s="93">
        <f>IF($A20="",0,SUMPRODUCT((PARC_CARTAO=$A20)*(PARC_MESES=L$16)*PARC_MATRIZ))</f>
        <v/>
      </c>
      <c r="M20" s="93">
        <f>IF($A20="",0,SUMPRODUCT((PARC_CARTAO=$A20)*(PARC_MESES=M$16)*PARC_MATRIZ))</f>
        <v/>
      </c>
      <c r="N20" s="85">
        <f>SUM(B20:M20)</f>
        <v/>
      </c>
    </row>
    <row r="21">
      <c r="A21" s="75">
        <f>IF($A11="","",$A11)</f>
        <v/>
      </c>
      <c r="B21" s="93">
        <f>IF($A21="",0,SUMPRODUCT((PARC_CARTAO=$A21)*(PARC_MESES=B$16)*PARC_MATRIZ))</f>
        <v/>
      </c>
      <c r="C21" s="93">
        <f>IF($A21="",0,SUMPRODUCT((PARC_CARTAO=$A21)*(PARC_MESES=C$16)*PARC_MATRIZ))</f>
        <v/>
      </c>
      <c r="D21" s="93">
        <f>IF($A21="",0,SUMPRODUCT((PARC_CARTAO=$A21)*(PARC_MESES=D$16)*PARC_MATRIZ))</f>
        <v/>
      </c>
      <c r="E21" s="93">
        <f>IF($A21="",0,SUMPRODUCT((PARC_CARTAO=$A21)*(PARC_MESES=E$16)*PARC_MATRIZ))</f>
        <v/>
      </c>
      <c r="F21" s="93">
        <f>IF($A21="",0,SUMPRODUCT((PARC_CARTAO=$A21)*(PARC_MESES=F$16)*PARC_MATRIZ))</f>
        <v/>
      </c>
      <c r="G21" s="93">
        <f>IF($A21="",0,SUMPRODUCT((PARC_CARTAO=$A21)*(PARC_MESES=G$16)*PARC_MATRIZ))</f>
        <v/>
      </c>
      <c r="H21" s="93">
        <f>IF($A21="",0,SUMPRODUCT((PARC_CARTAO=$A21)*(PARC_MESES=H$16)*PARC_MATRIZ))</f>
        <v/>
      </c>
      <c r="I21" s="93">
        <f>IF($A21="",0,SUMPRODUCT((PARC_CARTAO=$A21)*(PARC_MESES=I$16)*PARC_MATRIZ))</f>
        <v/>
      </c>
      <c r="J21" s="93">
        <f>IF($A21="",0,SUMPRODUCT((PARC_CARTAO=$A21)*(PARC_MESES=J$16)*PARC_MATRIZ))</f>
        <v/>
      </c>
      <c r="K21" s="93">
        <f>IF($A21="",0,SUMPRODUCT((PARC_CARTAO=$A21)*(PARC_MESES=K$16)*PARC_MATRIZ))</f>
        <v/>
      </c>
      <c r="L21" s="93">
        <f>IF($A21="",0,SUMPRODUCT((PARC_CARTAO=$A21)*(PARC_MESES=L$16)*PARC_MATRIZ))</f>
        <v/>
      </c>
      <c r="M21" s="93">
        <f>IF($A21="",0,SUMPRODUCT((PARC_CARTAO=$A21)*(PARC_MESES=M$16)*PARC_MATRIZ))</f>
        <v/>
      </c>
      <c r="N21" s="85">
        <f>SUM(B21:M21)</f>
        <v/>
      </c>
    </row>
    <row r="22">
      <c r="A22" s="75">
        <f>IF($A12="","",$A12)</f>
        <v/>
      </c>
      <c r="B22" s="93">
        <f>IF($A22="",0,SUMPRODUCT((PARC_CARTAO=$A22)*(PARC_MESES=B$16)*PARC_MATRIZ))</f>
        <v/>
      </c>
      <c r="C22" s="93">
        <f>IF($A22="",0,SUMPRODUCT((PARC_CARTAO=$A22)*(PARC_MESES=C$16)*PARC_MATRIZ))</f>
        <v/>
      </c>
      <c r="D22" s="93">
        <f>IF($A22="",0,SUMPRODUCT((PARC_CARTAO=$A22)*(PARC_MESES=D$16)*PARC_MATRIZ))</f>
        <v/>
      </c>
      <c r="E22" s="93">
        <f>IF($A22="",0,SUMPRODUCT((PARC_CARTAO=$A22)*(PARC_MESES=E$16)*PARC_MATRIZ))</f>
        <v/>
      </c>
      <c r="F22" s="93">
        <f>IF($A22="",0,SUMPRODUCT((PARC_CARTAO=$A22)*(PARC_MESES=F$16)*PARC_MATRIZ))</f>
        <v/>
      </c>
      <c r="G22" s="93">
        <f>IF($A22="",0,SUMPRODUCT((PARC_CARTAO=$A22)*(PARC_MESES=G$16)*PARC_MATRIZ))</f>
        <v/>
      </c>
      <c r="H22" s="93">
        <f>IF($A22="",0,SUMPRODUCT((PARC_CARTAO=$A22)*(PARC_MESES=H$16)*PARC_MATRIZ))</f>
        <v/>
      </c>
      <c r="I22" s="93">
        <f>IF($A22="",0,SUMPRODUCT((PARC_CARTAO=$A22)*(PARC_MESES=I$16)*PARC_MATRIZ))</f>
        <v/>
      </c>
      <c r="J22" s="93">
        <f>IF($A22="",0,SUMPRODUCT((PARC_CARTAO=$A22)*(PARC_MESES=J$16)*PARC_MATRIZ))</f>
        <v/>
      </c>
      <c r="K22" s="93">
        <f>IF($A22="",0,SUMPRODUCT((PARC_CARTAO=$A22)*(PARC_MESES=K$16)*PARC_MATRIZ))</f>
        <v/>
      </c>
      <c r="L22" s="93">
        <f>IF($A22="",0,SUMPRODUCT((PARC_CARTAO=$A22)*(PARC_MESES=L$16)*PARC_MATRIZ))</f>
        <v/>
      </c>
      <c r="M22" s="93">
        <f>IF($A22="",0,SUMPRODUCT((PARC_CARTAO=$A22)*(PARC_MESES=M$16)*PARC_MATRIZ))</f>
        <v/>
      </c>
      <c r="N22" s="85">
        <f>SUM(B22:M22)</f>
        <v/>
      </c>
    </row>
    <row r="23">
      <c r="A23" s="87" t="inlineStr">
        <is>
          <t>Total de parcelas</t>
        </is>
      </c>
      <c r="B23" s="88">
        <f>SUM(B17:B22)</f>
        <v/>
      </c>
      <c r="C23" s="88">
        <f>SUM(C17:C22)</f>
        <v/>
      </c>
      <c r="D23" s="88">
        <f>SUM(D17:D22)</f>
        <v/>
      </c>
      <c r="E23" s="88">
        <f>SUM(E17:E22)</f>
        <v/>
      </c>
      <c r="F23" s="88">
        <f>SUM(F17:F22)</f>
        <v/>
      </c>
      <c r="G23" s="88">
        <f>SUM(G17:G22)</f>
        <v/>
      </c>
      <c r="H23" s="88">
        <f>SUM(H17:H22)</f>
        <v/>
      </c>
      <c r="I23" s="88">
        <f>SUM(I17:I22)</f>
        <v/>
      </c>
      <c r="J23" s="88">
        <f>SUM(J17:J22)</f>
        <v/>
      </c>
      <c r="K23" s="88">
        <f>SUM(K17:K22)</f>
        <v/>
      </c>
      <c r="L23" s="88">
        <f>SUM(L17:L22)</f>
        <v/>
      </c>
      <c r="M23" s="88">
        <f>SUM(M17:M22)</f>
        <v/>
      </c>
      <c r="N23" s="88">
        <f>SUM(N17:N22)</f>
        <v/>
      </c>
    </row>
    <row r="24">
      <c r="A24" s="59" t="inlineStr">
        <is>
          <t>rótulos do gráfico</t>
        </is>
      </c>
      <c r="B24" s="94">
        <f>CHOOSE(MONTH(B16),"jan","fev","mar","abr","mai","jun","jul","ago","set","out","nov","dez")&amp;"/"&amp;RIGHT(YEAR(B16),2)</f>
        <v/>
      </c>
      <c r="C24" s="94">
        <f>CHOOSE(MONTH(C16),"jan","fev","mar","abr","mai","jun","jul","ago","set","out","nov","dez")&amp;"/"&amp;RIGHT(YEAR(C16),2)</f>
        <v/>
      </c>
      <c r="D24" s="94">
        <f>CHOOSE(MONTH(D16),"jan","fev","mar","abr","mai","jun","jul","ago","set","out","nov","dez")&amp;"/"&amp;RIGHT(YEAR(D16),2)</f>
        <v/>
      </c>
      <c r="E24" s="94">
        <f>CHOOSE(MONTH(E16),"jan","fev","mar","abr","mai","jun","jul","ago","set","out","nov","dez")&amp;"/"&amp;RIGHT(YEAR(E16),2)</f>
        <v/>
      </c>
      <c r="F24" s="94">
        <f>CHOOSE(MONTH(F16),"jan","fev","mar","abr","mai","jun","jul","ago","set","out","nov","dez")&amp;"/"&amp;RIGHT(YEAR(F16),2)</f>
        <v/>
      </c>
      <c r="G24" s="94">
        <f>CHOOSE(MONTH(G16),"jan","fev","mar","abr","mai","jun","jul","ago","set","out","nov","dez")&amp;"/"&amp;RIGHT(YEAR(G16),2)</f>
        <v/>
      </c>
      <c r="H24" s="94">
        <f>CHOOSE(MONTH(H16),"jan","fev","mar","abr","mai","jun","jul","ago","set","out","nov","dez")&amp;"/"&amp;RIGHT(YEAR(H16),2)</f>
        <v/>
      </c>
      <c r="I24" s="94">
        <f>CHOOSE(MONTH(I16),"jan","fev","mar","abr","mai","jun","jul","ago","set","out","nov","dez")&amp;"/"&amp;RIGHT(YEAR(I16),2)</f>
        <v/>
      </c>
      <c r="J24" s="94">
        <f>CHOOSE(MONTH(J16),"jan","fev","mar","abr","mai","jun","jul","ago","set","out","nov","dez")&amp;"/"&amp;RIGHT(YEAR(J16),2)</f>
        <v/>
      </c>
      <c r="K24" s="94">
        <f>CHOOSE(MONTH(K16),"jan","fev","mar","abr","mai","jun","jul","ago","set","out","nov","dez")&amp;"/"&amp;RIGHT(YEAR(K16),2)</f>
        <v/>
      </c>
      <c r="L24" s="94">
        <f>CHOOSE(MONTH(L16),"jan","fev","mar","abr","mai","jun","jul","ago","set","out","nov","dez")&amp;"/"&amp;RIGHT(YEAR(L16),2)</f>
        <v/>
      </c>
      <c r="M24" s="94">
        <f>CHOOSE(MONTH(M16),"jan","fev","mar","abr","mai","jun","jul","ago","set","out","nov","dez")&amp;"/"&amp;RIGHT(YEAR(M16),2)</f>
        <v/>
      </c>
    </row>
  </sheetData>
  <conditionalFormatting sqref="K7:K13">
    <cfRule type="expression" priority="1" dxfId="12">
      <formula>AND(ISNUMBER(K7),K7&gt;=0.8)</formula>
    </cfRule>
    <cfRule type="expression" priority="2" dxfId="14">
      <formula>AND(ISNUMBER(K7),K7&gt;=0.5,K7&lt;0.8)</formula>
    </cfRule>
    <cfRule type="expression" priority="3" dxfId="15">
      <formula>AND(ISNUMBER(K7),K7&lt;0.5)</formula>
    </cfRule>
  </conditionalFormatting>
  <dataValidations count="2">
    <dataValidation sqref="C7:D12" showDropDown="0" showInputMessage="0" showErrorMessage="1" allowBlank="1" errorTitle="Dia inválido" error="Digite um dia de 1 a 31." type="whole" operator="between">
      <formula1>1</formula1>
      <formula2>31</formula2>
    </dataValidation>
    <dataValidation sqref="B7:B12" showDropDown="0" showInputMessage="0" showErrorMessage="1" allowBlank="1" errorTitle="Limite inválido" error="Digite o limite do cartão (R$)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BT68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30" customWidth="1" min="3" max="3"/>
    <col width="13" customWidth="1" min="4" max="4"/>
    <col width="15" customWidth="1" min="5" max="5"/>
    <col width="10" customWidth="1" min="6" max="6"/>
    <col width="14" customWidth="1" min="7" max="7"/>
    <col width="12" customWidth="1" min="8" max="8"/>
    <col width="12" customWidth="1" min="9" max="9"/>
    <col width="12" customWidth="1" min="10" max="10"/>
    <col width="16" customWidth="1" min="11" max="11"/>
    <col width="2" customWidth="1" min="12" max="12"/>
    <col outlineLevel="1" width="11" customWidth="1" min="13" max="13"/>
    <col outlineLevel="1" width="11" customWidth="1" min="14" max="14"/>
    <col outlineLevel="1" width="11" customWidth="1" min="15" max="15"/>
    <col outlineLevel="1" width="11" customWidth="1" min="16" max="16"/>
    <col outlineLevel="1" width="11" customWidth="1" min="17" max="17"/>
    <col outlineLevel="1" width="11" customWidth="1" min="18" max="18"/>
    <col outlineLevel="1" width="11" customWidth="1" min="19" max="19"/>
    <col outlineLevel="1" width="11" customWidth="1" min="20" max="20"/>
    <col outlineLevel="1" width="11" customWidth="1" min="21" max="21"/>
    <col outlineLevel="1" width="11" customWidth="1" min="22" max="22"/>
    <col outlineLevel="1" width="11" customWidth="1" min="23" max="23"/>
    <col outlineLevel="1" width="11" customWidth="1" min="24" max="24"/>
    <col outlineLevel="1" width="11" customWidth="1" min="25" max="25"/>
    <col outlineLevel="1" width="11" customWidth="1" min="26" max="26"/>
    <col outlineLevel="1" width="11" customWidth="1" min="27" max="27"/>
    <col outlineLevel="1" width="11" customWidth="1" min="28" max="28"/>
    <col outlineLevel="1" width="11" customWidth="1" min="29" max="29"/>
    <col outlineLevel="1" width="11" customWidth="1" min="30" max="30"/>
    <col outlineLevel="1" width="11" customWidth="1" min="31" max="31"/>
    <col outlineLevel="1" width="11" customWidth="1" min="32" max="32"/>
    <col outlineLevel="1" width="11" customWidth="1" min="33" max="33"/>
    <col outlineLevel="1" width="11" customWidth="1" min="34" max="34"/>
    <col outlineLevel="1" width="11" customWidth="1" min="35" max="35"/>
    <col outlineLevel="1" width="11" customWidth="1" min="36" max="36"/>
    <col outlineLevel="1" width="11" customWidth="1" min="37" max="37"/>
    <col outlineLevel="1" width="11" customWidth="1" min="38" max="38"/>
    <col outlineLevel="1" width="11" customWidth="1" min="39" max="39"/>
    <col outlineLevel="1" width="11" customWidth="1" min="40" max="40"/>
    <col outlineLevel="1" width="11" customWidth="1" min="41" max="41"/>
    <col outlineLevel="1" width="11" customWidth="1" min="42" max="42"/>
    <col outlineLevel="1" width="11" customWidth="1" min="43" max="43"/>
    <col outlineLevel="1" width="11" customWidth="1" min="44" max="44"/>
    <col outlineLevel="1" width="11" customWidth="1" min="45" max="45"/>
    <col outlineLevel="1" width="11" customWidth="1" min="46" max="46"/>
    <col outlineLevel="1" width="11" customWidth="1" min="47" max="47"/>
    <col outlineLevel="1" width="11" customWidth="1" min="48" max="48"/>
    <col outlineLevel="1" width="11" customWidth="1" min="49" max="49"/>
    <col outlineLevel="1" width="11" customWidth="1" min="50" max="50"/>
    <col outlineLevel="1" width="11" customWidth="1" min="51" max="51"/>
    <col outlineLevel="1" width="11" customWidth="1" min="52" max="52"/>
    <col outlineLevel="1" width="11" customWidth="1" min="53" max="53"/>
    <col outlineLevel="1" width="11" customWidth="1" min="54" max="54"/>
    <col outlineLevel="1" width="11" customWidth="1" min="55" max="55"/>
    <col outlineLevel="1" width="11" customWidth="1" min="56" max="56"/>
    <col outlineLevel="1" width="11" customWidth="1" min="57" max="57"/>
    <col outlineLevel="1" width="11" customWidth="1" min="58" max="58"/>
    <col outlineLevel="1" width="11" customWidth="1" min="59" max="59"/>
    <col outlineLevel="1" width="11" customWidth="1" min="60" max="60"/>
    <col outlineLevel="1" width="11" customWidth="1" min="61" max="61"/>
    <col outlineLevel="1" width="11" customWidth="1" min="62" max="62"/>
    <col outlineLevel="1" width="11" customWidth="1" min="63" max="63"/>
    <col outlineLevel="1" width="11" customWidth="1" min="64" max="64"/>
    <col outlineLevel="1" width="11" customWidth="1" min="65" max="65"/>
    <col outlineLevel="1" width="11" customWidth="1" min="66" max="66"/>
    <col outlineLevel="1" width="11" customWidth="1" min="67" max="67"/>
    <col outlineLevel="1" width="11" customWidth="1" min="68" max="68"/>
    <col outlineLevel="1" width="11" customWidth="1" min="69" max="69"/>
    <col outlineLevel="1" width="11" customWidth="1" min="70" max="70"/>
    <col outlineLevel="1" width="11" customWidth="1" min="71" max="71"/>
    <col outlineLevel="1" width="11" customWidth="1" min="72" max="72"/>
  </cols>
  <sheetData>
    <row r="1" ht="30" customHeight="1">
      <c r="A1" s="64" t="inlineStr">
        <is>
          <t>Compras parceladas no cartão</t>
        </is>
      </c>
    </row>
    <row r="2">
      <c r="A2" s="65" t="inlineStr">
        <is>
          <t>Registre aqui cada compra parcelada UMA vez. A planilha espalha as parcelas pelos meses, soma na fatura e nas despesas de cada mês.</t>
        </is>
      </c>
    </row>
    <row r="3">
      <c r="A3" s="65" t="inlineStr">
        <is>
          <t>Não registre a mesma compra em Lançamentos. A parcela entra no mês da fatura em que cai (compra depois do dia de fechamento vai para a fatura seguinte).</t>
        </is>
      </c>
    </row>
    <row r="4">
      <c r="A4" s="65" t="inlineStr">
        <is>
          <t>À direita (coluna M em diante) está a projeção mês a mês, por 5 anos a partir do Ano inicial das Configurações.</t>
        </is>
      </c>
    </row>
    <row r="6" ht="46" customHeight="1">
      <c r="A6" s="44" t="inlineStr">
        <is>
          <t>Compra (descrição)</t>
        </is>
      </c>
      <c r="B6" s="44" t="inlineStr">
        <is>
          <t>Cartão</t>
        </is>
      </c>
      <c r="C6" s="44" t="inlineStr">
        <is>
          <t>Categoria</t>
        </is>
      </c>
      <c r="D6" s="44" t="inlineStr">
        <is>
          <t>Data da compra</t>
        </is>
      </c>
      <c r="E6" s="44" t="inlineStr">
        <is>
          <t>Valor total (R$)</t>
        </is>
      </c>
      <c r="F6" s="44" t="inlineStr">
        <is>
          <t>Nº de parcelas</t>
        </is>
      </c>
      <c r="G6" s="44" t="inlineStr">
        <is>
          <t>Valor da parcela</t>
        </is>
      </c>
      <c r="H6" s="44" t="inlineStr">
        <is>
          <t>1ª fatura</t>
        </is>
      </c>
      <c r="I6" s="44" t="inlineStr">
        <is>
          <t>Última fatura</t>
        </is>
      </c>
      <c r="J6" s="44" t="inlineStr">
        <is>
          <t>Parcelas restantes</t>
        </is>
      </c>
      <c r="K6" s="44" t="inlineStr">
        <is>
          <t>Restante a pagar</t>
        </is>
      </c>
      <c r="M6" s="95">
        <f>DATE(ANO_INI,1,1)</f>
        <v/>
      </c>
      <c r="N6" s="95">
        <f>EDATE(M6,1)</f>
        <v/>
      </c>
      <c r="O6" s="95">
        <f>EDATE(N6,1)</f>
        <v/>
      </c>
      <c r="P6" s="95">
        <f>EDATE(O6,1)</f>
        <v/>
      </c>
      <c r="Q6" s="95">
        <f>EDATE(P6,1)</f>
        <v/>
      </c>
      <c r="R6" s="95">
        <f>EDATE(Q6,1)</f>
        <v/>
      </c>
      <c r="S6" s="95">
        <f>EDATE(R6,1)</f>
        <v/>
      </c>
      <c r="T6" s="95">
        <f>EDATE(S6,1)</f>
        <v/>
      </c>
      <c r="U6" s="95">
        <f>EDATE(T6,1)</f>
        <v/>
      </c>
      <c r="V6" s="95">
        <f>EDATE(U6,1)</f>
        <v/>
      </c>
      <c r="W6" s="95">
        <f>EDATE(V6,1)</f>
        <v/>
      </c>
      <c r="X6" s="95">
        <f>EDATE(W6,1)</f>
        <v/>
      </c>
      <c r="Y6" s="95">
        <f>EDATE(X6,1)</f>
        <v/>
      </c>
      <c r="Z6" s="95">
        <f>EDATE(Y6,1)</f>
        <v/>
      </c>
      <c r="AA6" s="95">
        <f>EDATE(Z6,1)</f>
        <v/>
      </c>
      <c r="AB6" s="95">
        <f>EDATE(AA6,1)</f>
        <v/>
      </c>
      <c r="AC6" s="95">
        <f>EDATE(AB6,1)</f>
        <v/>
      </c>
      <c r="AD6" s="95">
        <f>EDATE(AC6,1)</f>
        <v/>
      </c>
      <c r="AE6" s="95">
        <f>EDATE(AD6,1)</f>
        <v/>
      </c>
      <c r="AF6" s="95">
        <f>EDATE(AE6,1)</f>
        <v/>
      </c>
      <c r="AG6" s="95">
        <f>EDATE(AF6,1)</f>
        <v/>
      </c>
      <c r="AH6" s="95">
        <f>EDATE(AG6,1)</f>
        <v/>
      </c>
      <c r="AI6" s="95">
        <f>EDATE(AH6,1)</f>
        <v/>
      </c>
      <c r="AJ6" s="95">
        <f>EDATE(AI6,1)</f>
        <v/>
      </c>
      <c r="AK6" s="95">
        <f>EDATE(AJ6,1)</f>
        <v/>
      </c>
      <c r="AL6" s="95">
        <f>EDATE(AK6,1)</f>
        <v/>
      </c>
      <c r="AM6" s="95">
        <f>EDATE(AL6,1)</f>
        <v/>
      </c>
      <c r="AN6" s="95">
        <f>EDATE(AM6,1)</f>
        <v/>
      </c>
      <c r="AO6" s="95">
        <f>EDATE(AN6,1)</f>
        <v/>
      </c>
      <c r="AP6" s="95">
        <f>EDATE(AO6,1)</f>
        <v/>
      </c>
      <c r="AQ6" s="95">
        <f>EDATE(AP6,1)</f>
        <v/>
      </c>
      <c r="AR6" s="95">
        <f>EDATE(AQ6,1)</f>
        <v/>
      </c>
      <c r="AS6" s="95">
        <f>EDATE(AR6,1)</f>
        <v/>
      </c>
      <c r="AT6" s="95">
        <f>EDATE(AS6,1)</f>
        <v/>
      </c>
      <c r="AU6" s="95">
        <f>EDATE(AT6,1)</f>
        <v/>
      </c>
      <c r="AV6" s="95">
        <f>EDATE(AU6,1)</f>
        <v/>
      </c>
      <c r="AW6" s="95">
        <f>EDATE(AV6,1)</f>
        <v/>
      </c>
      <c r="AX6" s="95">
        <f>EDATE(AW6,1)</f>
        <v/>
      </c>
      <c r="AY6" s="95">
        <f>EDATE(AX6,1)</f>
        <v/>
      </c>
      <c r="AZ6" s="95">
        <f>EDATE(AY6,1)</f>
        <v/>
      </c>
      <c r="BA6" s="95">
        <f>EDATE(AZ6,1)</f>
        <v/>
      </c>
      <c r="BB6" s="95">
        <f>EDATE(BA6,1)</f>
        <v/>
      </c>
      <c r="BC6" s="95">
        <f>EDATE(BB6,1)</f>
        <v/>
      </c>
      <c r="BD6" s="95">
        <f>EDATE(BC6,1)</f>
        <v/>
      </c>
      <c r="BE6" s="95">
        <f>EDATE(BD6,1)</f>
        <v/>
      </c>
      <c r="BF6" s="95">
        <f>EDATE(BE6,1)</f>
        <v/>
      </c>
      <c r="BG6" s="95">
        <f>EDATE(BF6,1)</f>
        <v/>
      </c>
      <c r="BH6" s="95">
        <f>EDATE(BG6,1)</f>
        <v/>
      </c>
      <c r="BI6" s="95">
        <f>EDATE(BH6,1)</f>
        <v/>
      </c>
      <c r="BJ6" s="95">
        <f>EDATE(BI6,1)</f>
        <v/>
      </c>
      <c r="BK6" s="95">
        <f>EDATE(BJ6,1)</f>
        <v/>
      </c>
      <c r="BL6" s="95">
        <f>EDATE(BK6,1)</f>
        <v/>
      </c>
      <c r="BM6" s="95">
        <f>EDATE(BL6,1)</f>
        <v/>
      </c>
      <c r="BN6" s="95">
        <f>EDATE(BM6,1)</f>
        <v/>
      </c>
      <c r="BO6" s="95">
        <f>EDATE(BN6,1)</f>
        <v/>
      </c>
      <c r="BP6" s="95">
        <f>EDATE(BO6,1)</f>
        <v/>
      </c>
      <c r="BQ6" s="95">
        <f>EDATE(BP6,1)</f>
        <v/>
      </c>
      <c r="BR6" s="95">
        <f>EDATE(BQ6,1)</f>
        <v/>
      </c>
      <c r="BS6" s="95">
        <f>EDATE(BR6,1)</f>
        <v/>
      </c>
      <c r="BT6" s="95">
        <f>EDATE(BS6,1)</f>
        <v/>
      </c>
    </row>
    <row r="7">
      <c r="A7" s="74" t="inlineStr">
        <is>
          <t>Curso de inglês (anuidade)</t>
        </is>
      </c>
      <c r="B7" s="74" t="inlineStr">
        <is>
          <t>Itaú Visa</t>
        </is>
      </c>
      <c r="C7" s="74" t="inlineStr">
        <is>
          <t>Educação</t>
        </is>
      </c>
      <c r="D7" s="73" t="n">
        <v>45663</v>
      </c>
      <c r="E7" s="76" t="n">
        <v>1800</v>
      </c>
      <c r="F7" s="90" t="n">
        <v>12</v>
      </c>
      <c r="G7" s="84">
        <f>IF(OR($E7="",N($F7)&lt;=0),0,$E7/$F7)</f>
        <v/>
      </c>
      <c r="H7" s="96">
        <f>IF(OR($A7="",$B7="",$D7="",N($F7)&lt;=0),"",IFERROR(IF(DAY($D7)&gt;INDEX(CARTOES_FECHA,MATCH($B7,LISTA_CARTOES,0)),EDATE(DATE(YEAR($D7),MONTH($D7),1),1),DATE(YEAR($D7),MONTH($D7),1)),""))</f>
        <v/>
      </c>
      <c r="I7" s="96">
        <f>IF($H7="","",EDATE($H7,$F7-1))</f>
        <v/>
      </c>
      <c r="J7" s="97">
        <f>IF($H7="",0,MAX(0,MIN($F7,(YEAR($I7)*12+MONTH($I7))-(ANO_SEL*12+MES_SEL))))</f>
        <v/>
      </c>
      <c r="K7" s="84">
        <f>J7*G7</f>
        <v/>
      </c>
      <c r="M7" s="98">
        <f>IF($H7="",0,IF(AND(M$6&gt;=$H7,M$6&lt;=$I7),$G7,0))</f>
        <v/>
      </c>
      <c r="N7" s="98">
        <f>IF($H7="",0,IF(AND(N$6&gt;=$H7,N$6&lt;=$I7),$G7,0))</f>
        <v/>
      </c>
      <c r="O7" s="98">
        <f>IF($H7="",0,IF(AND(O$6&gt;=$H7,O$6&lt;=$I7),$G7,0))</f>
        <v/>
      </c>
      <c r="P7" s="98">
        <f>IF($H7="",0,IF(AND(P$6&gt;=$H7,P$6&lt;=$I7),$G7,0))</f>
        <v/>
      </c>
      <c r="Q7" s="98">
        <f>IF($H7="",0,IF(AND(Q$6&gt;=$H7,Q$6&lt;=$I7),$G7,0))</f>
        <v/>
      </c>
      <c r="R7" s="98">
        <f>IF($H7="",0,IF(AND(R$6&gt;=$H7,R$6&lt;=$I7),$G7,0))</f>
        <v/>
      </c>
      <c r="S7" s="98">
        <f>IF($H7="",0,IF(AND(S$6&gt;=$H7,S$6&lt;=$I7),$G7,0))</f>
        <v/>
      </c>
      <c r="T7" s="98">
        <f>IF($H7="",0,IF(AND(T$6&gt;=$H7,T$6&lt;=$I7),$G7,0))</f>
        <v/>
      </c>
      <c r="U7" s="98">
        <f>IF($H7="",0,IF(AND(U$6&gt;=$H7,U$6&lt;=$I7),$G7,0))</f>
        <v/>
      </c>
      <c r="V7" s="98">
        <f>IF($H7="",0,IF(AND(V$6&gt;=$H7,V$6&lt;=$I7),$G7,0))</f>
        <v/>
      </c>
      <c r="W7" s="98">
        <f>IF($H7="",0,IF(AND(W$6&gt;=$H7,W$6&lt;=$I7),$G7,0))</f>
        <v/>
      </c>
      <c r="X7" s="98">
        <f>IF($H7="",0,IF(AND(X$6&gt;=$H7,X$6&lt;=$I7),$G7,0))</f>
        <v/>
      </c>
      <c r="Y7" s="98">
        <f>IF($H7="",0,IF(AND(Y$6&gt;=$H7,Y$6&lt;=$I7),$G7,0))</f>
        <v/>
      </c>
      <c r="Z7" s="98">
        <f>IF($H7="",0,IF(AND(Z$6&gt;=$H7,Z$6&lt;=$I7),$G7,0))</f>
        <v/>
      </c>
      <c r="AA7" s="98">
        <f>IF($H7="",0,IF(AND(AA$6&gt;=$H7,AA$6&lt;=$I7),$G7,0))</f>
        <v/>
      </c>
      <c r="AB7" s="98">
        <f>IF($H7="",0,IF(AND(AB$6&gt;=$H7,AB$6&lt;=$I7),$G7,0))</f>
        <v/>
      </c>
      <c r="AC7" s="98">
        <f>IF($H7="",0,IF(AND(AC$6&gt;=$H7,AC$6&lt;=$I7),$G7,0))</f>
        <v/>
      </c>
      <c r="AD7" s="98">
        <f>IF($H7="",0,IF(AND(AD$6&gt;=$H7,AD$6&lt;=$I7),$G7,0))</f>
        <v/>
      </c>
      <c r="AE7" s="98">
        <f>IF($H7="",0,IF(AND(AE$6&gt;=$H7,AE$6&lt;=$I7),$G7,0))</f>
        <v/>
      </c>
      <c r="AF7" s="98">
        <f>IF($H7="",0,IF(AND(AF$6&gt;=$H7,AF$6&lt;=$I7),$G7,0))</f>
        <v/>
      </c>
      <c r="AG7" s="98">
        <f>IF($H7="",0,IF(AND(AG$6&gt;=$H7,AG$6&lt;=$I7),$G7,0))</f>
        <v/>
      </c>
      <c r="AH7" s="98">
        <f>IF($H7="",0,IF(AND(AH$6&gt;=$H7,AH$6&lt;=$I7),$G7,0))</f>
        <v/>
      </c>
      <c r="AI7" s="98">
        <f>IF($H7="",0,IF(AND(AI$6&gt;=$H7,AI$6&lt;=$I7),$G7,0))</f>
        <v/>
      </c>
      <c r="AJ7" s="98">
        <f>IF($H7="",0,IF(AND(AJ$6&gt;=$H7,AJ$6&lt;=$I7),$G7,0))</f>
        <v/>
      </c>
      <c r="AK7" s="98">
        <f>IF($H7="",0,IF(AND(AK$6&gt;=$H7,AK$6&lt;=$I7),$G7,0))</f>
        <v/>
      </c>
      <c r="AL7" s="98">
        <f>IF($H7="",0,IF(AND(AL$6&gt;=$H7,AL$6&lt;=$I7),$G7,0))</f>
        <v/>
      </c>
      <c r="AM7" s="98">
        <f>IF($H7="",0,IF(AND(AM$6&gt;=$H7,AM$6&lt;=$I7),$G7,0))</f>
        <v/>
      </c>
      <c r="AN7" s="98">
        <f>IF($H7="",0,IF(AND(AN$6&gt;=$H7,AN$6&lt;=$I7),$G7,0))</f>
        <v/>
      </c>
      <c r="AO7" s="98">
        <f>IF($H7="",0,IF(AND(AO$6&gt;=$H7,AO$6&lt;=$I7),$G7,0))</f>
        <v/>
      </c>
      <c r="AP7" s="98">
        <f>IF($H7="",0,IF(AND(AP$6&gt;=$H7,AP$6&lt;=$I7),$G7,0))</f>
        <v/>
      </c>
      <c r="AQ7" s="98">
        <f>IF($H7="",0,IF(AND(AQ$6&gt;=$H7,AQ$6&lt;=$I7),$G7,0))</f>
        <v/>
      </c>
      <c r="AR7" s="98">
        <f>IF($H7="",0,IF(AND(AR$6&gt;=$H7,AR$6&lt;=$I7),$G7,0))</f>
        <v/>
      </c>
      <c r="AS7" s="98">
        <f>IF($H7="",0,IF(AND(AS$6&gt;=$H7,AS$6&lt;=$I7),$G7,0))</f>
        <v/>
      </c>
      <c r="AT7" s="98">
        <f>IF($H7="",0,IF(AND(AT$6&gt;=$H7,AT$6&lt;=$I7),$G7,0))</f>
        <v/>
      </c>
      <c r="AU7" s="98">
        <f>IF($H7="",0,IF(AND(AU$6&gt;=$H7,AU$6&lt;=$I7),$G7,0))</f>
        <v/>
      </c>
      <c r="AV7" s="98">
        <f>IF($H7="",0,IF(AND(AV$6&gt;=$H7,AV$6&lt;=$I7),$G7,0))</f>
        <v/>
      </c>
      <c r="AW7" s="98">
        <f>IF($H7="",0,IF(AND(AW$6&gt;=$H7,AW$6&lt;=$I7),$G7,0))</f>
        <v/>
      </c>
      <c r="AX7" s="98">
        <f>IF($H7="",0,IF(AND(AX$6&gt;=$H7,AX$6&lt;=$I7),$G7,0))</f>
        <v/>
      </c>
      <c r="AY7" s="98">
        <f>IF($H7="",0,IF(AND(AY$6&gt;=$H7,AY$6&lt;=$I7),$G7,0))</f>
        <v/>
      </c>
      <c r="AZ7" s="98">
        <f>IF($H7="",0,IF(AND(AZ$6&gt;=$H7,AZ$6&lt;=$I7),$G7,0))</f>
        <v/>
      </c>
      <c r="BA7" s="98">
        <f>IF($H7="",0,IF(AND(BA$6&gt;=$H7,BA$6&lt;=$I7),$G7,0))</f>
        <v/>
      </c>
      <c r="BB7" s="98">
        <f>IF($H7="",0,IF(AND(BB$6&gt;=$H7,BB$6&lt;=$I7),$G7,0))</f>
        <v/>
      </c>
      <c r="BC7" s="98">
        <f>IF($H7="",0,IF(AND(BC$6&gt;=$H7,BC$6&lt;=$I7),$G7,0))</f>
        <v/>
      </c>
      <c r="BD7" s="98">
        <f>IF($H7="",0,IF(AND(BD$6&gt;=$H7,BD$6&lt;=$I7),$G7,0))</f>
        <v/>
      </c>
      <c r="BE7" s="98">
        <f>IF($H7="",0,IF(AND(BE$6&gt;=$H7,BE$6&lt;=$I7),$G7,0))</f>
        <v/>
      </c>
      <c r="BF7" s="98">
        <f>IF($H7="",0,IF(AND(BF$6&gt;=$H7,BF$6&lt;=$I7),$G7,0))</f>
        <v/>
      </c>
      <c r="BG7" s="98">
        <f>IF($H7="",0,IF(AND(BG$6&gt;=$H7,BG$6&lt;=$I7),$G7,0))</f>
        <v/>
      </c>
      <c r="BH7" s="98">
        <f>IF($H7="",0,IF(AND(BH$6&gt;=$H7,BH$6&lt;=$I7),$G7,0))</f>
        <v/>
      </c>
      <c r="BI7" s="98">
        <f>IF($H7="",0,IF(AND(BI$6&gt;=$H7,BI$6&lt;=$I7),$G7,0))</f>
        <v/>
      </c>
      <c r="BJ7" s="98">
        <f>IF($H7="",0,IF(AND(BJ$6&gt;=$H7,BJ$6&lt;=$I7),$G7,0))</f>
        <v/>
      </c>
      <c r="BK7" s="98">
        <f>IF($H7="",0,IF(AND(BK$6&gt;=$H7,BK$6&lt;=$I7),$G7,0))</f>
        <v/>
      </c>
      <c r="BL7" s="98">
        <f>IF($H7="",0,IF(AND(BL$6&gt;=$H7,BL$6&lt;=$I7),$G7,0))</f>
        <v/>
      </c>
      <c r="BM7" s="98">
        <f>IF($H7="",0,IF(AND(BM$6&gt;=$H7,BM$6&lt;=$I7),$G7,0))</f>
        <v/>
      </c>
      <c r="BN7" s="98">
        <f>IF($H7="",0,IF(AND(BN$6&gt;=$H7,BN$6&lt;=$I7),$G7,0))</f>
        <v/>
      </c>
      <c r="BO7" s="98">
        <f>IF($H7="",0,IF(AND(BO$6&gt;=$H7,BO$6&lt;=$I7),$G7,0))</f>
        <v/>
      </c>
      <c r="BP7" s="98">
        <f>IF($H7="",0,IF(AND(BP$6&gt;=$H7,BP$6&lt;=$I7),$G7,0))</f>
        <v/>
      </c>
      <c r="BQ7" s="98">
        <f>IF($H7="",0,IF(AND(BQ$6&gt;=$H7,BQ$6&lt;=$I7),$G7,0))</f>
        <v/>
      </c>
      <c r="BR7" s="98">
        <f>IF($H7="",0,IF(AND(BR$6&gt;=$H7,BR$6&lt;=$I7),$G7,0))</f>
        <v/>
      </c>
      <c r="BS7" s="98">
        <f>IF($H7="",0,IF(AND(BS$6&gt;=$H7,BS$6&lt;=$I7),$G7,0))</f>
        <v/>
      </c>
      <c r="BT7" s="98">
        <f>IF($H7="",0,IF(AND(BT$6&gt;=$H7,BT$6&lt;=$I7),$G7,0))</f>
        <v/>
      </c>
    </row>
    <row r="8">
      <c r="A8" s="74" t="inlineStr">
        <is>
          <t>Celular novo</t>
        </is>
      </c>
      <c r="B8" s="74" t="inlineStr">
        <is>
          <t>Nubank Mastercard</t>
        </is>
      </c>
      <c r="C8" s="74" t="inlineStr">
        <is>
          <t>Compras pessoais</t>
        </is>
      </c>
      <c r="D8" s="73" t="n">
        <v>45744</v>
      </c>
      <c r="E8" s="76" t="n">
        <v>2700</v>
      </c>
      <c r="F8" s="90" t="n">
        <v>18</v>
      </c>
      <c r="G8" s="84">
        <f>IF(OR($E8="",N($F8)&lt;=0),0,$E8/$F8)</f>
        <v/>
      </c>
      <c r="H8" s="96">
        <f>IF(OR($A8="",$B8="",$D8="",N($F8)&lt;=0),"",IFERROR(IF(DAY($D8)&gt;INDEX(CARTOES_FECHA,MATCH($B8,LISTA_CARTOES,0)),EDATE(DATE(YEAR($D8),MONTH($D8),1),1),DATE(YEAR($D8),MONTH($D8),1)),""))</f>
        <v/>
      </c>
      <c r="I8" s="96">
        <f>IF($H8="","",EDATE($H8,$F8-1))</f>
        <v/>
      </c>
      <c r="J8" s="97">
        <f>IF($H8="",0,MAX(0,MIN($F8,(YEAR($I8)*12+MONTH($I8))-(ANO_SEL*12+MES_SEL))))</f>
        <v/>
      </c>
      <c r="K8" s="84">
        <f>J8*G8</f>
        <v/>
      </c>
      <c r="M8" s="98">
        <f>IF($H8="",0,IF(AND(M$6&gt;=$H8,M$6&lt;=$I8),$G8,0))</f>
        <v/>
      </c>
      <c r="N8" s="98">
        <f>IF($H8="",0,IF(AND(N$6&gt;=$H8,N$6&lt;=$I8),$G8,0))</f>
        <v/>
      </c>
      <c r="O8" s="98">
        <f>IF($H8="",0,IF(AND(O$6&gt;=$H8,O$6&lt;=$I8),$G8,0))</f>
        <v/>
      </c>
      <c r="P8" s="98">
        <f>IF($H8="",0,IF(AND(P$6&gt;=$H8,P$6&lt;=$I8),$G8,0))</f>
        <v/>
      </c>
      <c r="Q8" s="98">
        <f>IF($H8="",0,IF(AND(Q$6&gt;=$H8,Q$6&lt;=$I8),$G8,0))</f>
        <v/>
      </c>
      <c r="R8" s="98">
        <f>IF($H8="",0,IF(AND(R$6&gt;=$H8,R$6&lt;=$I8),$G8,0))</f>
        <v/>
      </c>
      <c r="S8" s="98">
        <f>IF($H8="",0,IF(AND(S$6&gt;=$H8,S$6&lt;=$I8),$G8,0))</f>
        <v/>
      </c>
      <c r="T8" s="98">
        <f>IF($H8="",0,IF(AND(T$6&gt;=$H8,T$6&lt;=$I8),$G8,0))</f>
        <v/>
      </c>
      <c r="U8" s="98">
        <f>IF($H8="",0,IF(AND(U$6&gt;=$H8,U$6&lt;=$I8),$G8,0))</f>
        <v/>
      </c>
      <c r="V8" s="98">
        <f>IF($H8="",0,IF(AND(V$6&gt;=$H8,V$6&lt;=$I8),$G8,0))</f>
        <v/>
      </c>
      <c r="W8" s="98">
        <f>IF($H8="",0,IF(AND(W$6&gt;=$H8,W$6&lt;=$I8),$G8,0))</f>
        <v/>
      </c>
      <c r="X8" s="98">
        <f>IF($H8="",0,IF(AND(X$6&gt;=$H8,X$6&lt;=$I8),$G8,0))</f>
        <v/>
      </c>
      <c r="Y8" s="98">
        <f>IF($H8="",0,IF(AND(Y$6&gt;=$H8,Y$6&lt;=$I8),$G8,0))</f>
        <v/>
      </c>
      <c r="Z8" s="98">
        <f>IF($H8="",0,IF(AND(Z$6&gt;=$H8,Z$6&lt;=$I8),$G8,0))</f>
        <v/>
      </c>
      <c r="AA8" s="98">
        <f>IF($H8="",0,IF(AND(AA$6&gt;=$H8,AA$6&lt;=$I8),$G8,0))</f>
        <v/>
      </c>
      <c r="AB8" s="98">
        <f>IF($H8="",0,IF(AND(AB$6&gt;=$H8,AB$6&lt;=$I8),$G8,0))</f>
        <v/>
      </c>
      <c r="AC8" s="98">
        <f>IF($H8="",0,IF(AND(AC$6&gt;=$H8,AC$6&lt;=$I8),$G8,0))</f>
        <v/>
      </c>
      <c r="AD8" s="98">
        <f>IF($H8="",0,IF(AND(AD$6&gt;=$H8,AD$6&lt;=$I8),$G8,0))</f>
        <v/>
      </c>
      <c r="AE8" s="98">
        <f>IF($H8="",0,IF(AND(AE$6&gt;=$H8,AE$6&lt;=$I8),$G8,0))</f>
        <v/>
      </c>
      <c r="AF8" s="98">
        <f>IF($H8="",0,IF(AND(AF$6&gt;=$H8,AF$6&lt;=$I8),$G8,0))</f>
        <v/>
      </c>
      <c r="AG8" s="98">
        <f>IF($H8="",0,IF(AND(AG$6&gt;=$H8,AG$6&lt;=$I8),$G8,0))</f>
        <v/>
      </c>
      <c r="AH8" s="98">
        <f>IF($H8="",0,IF(AND(AH$6&gt;=$H8,AH$6&lt;=$I8),$G8,0))</f>
        <v/>
      </c>
      <c r="AI8" s="98">
        <f>IF($H8="",0,IF(AND(AI$6&gt;=$H8,AI$6&lt;=$I8),$G8,0))</f>
        <v/>
      </c>
      <c r="AJ8" s="98">
        <f>IF($H8="",0,IF(AND(AJ$6&gt;=$H8,AJ$6&lt;=$I8),$G8,0))</f>
        <v/>
      </c>
      <c r="AK8" s="98">
        <f>IF($H8="",0,IF(AND(AK$6&gt;=$H8,AK$6&lt;=$I8),$G8,0))</f>
        <v/>
      </c>
      <c r="AL8" s="98">
        <f>IF($H8="",0,IF(AND(AL$6&gt;=$H8,AL$6&lt;=$I8),$G8,0))</f>
        <v/>
      </c>
      <c r="AM8" s="98">
        <f>IF($H8="",0,IF(AND(AM$6&gt;=$H8,AM$6&lt;=$I8),$G8,0))</f>
        <v/>
      </c>
      <c r="AN8" s="98">
        <f>IF($H8="",0,IF(AND(AN$6&gt;=$H8,AN$6&lt;=$I8),$G8,0))</f>
        <v/>
      </c>
      <c r="AO8" s="98">
        <f>IF($H8="",0,IF(AND(AO$6&gt;=$H8,AO$6&lt;=$I8),$G8,0))</f>
        <v/>
      </c>
      <c r="AP8" s="98">
        <f>IF($H8="",0,IF(AND(AP$6&gt;=$H8,AP$6&lt;=$I8),$G8,0))</f>
        <v/>
      </c>
      <c r="AQ8" s="98">
        <f>IF($H8="",0,IF(AND(AQ$6&gt;=$H8,AQ$6&lt;=$I8),$G8,0))</f>
        <v/>
      </c>
      <c r="AR8" s="98">
        <f>IF($H8="",0,IF(AND(AR$6&gt;=$H8,AR$6&lt;=$I8),$G8,0))</f>
        <v/>
      </c>
      <c r="AS8" s="98">
        <f>IF($H8="",0,IF(AND(AS$6&gt;=$H8,AS$6&lt;=$I8),$G8,0))</f>
        <v/>
      </c>
      <c r="AT8" s="98">
        <f>IF($H8="",0,IF(AND(AT$6&gt;=$H8,AT$6&lt;=$I8),$G8,0))</f>
        <v/>
      </c>
      <c r="AU8" s="98">
        <f>IF($H8="",0,IF(AND(AU$6&gt;=$H8,AU$6&lt;=$I8),$G8,0))</f>
        <v/>
      </c>
      <c r="AV8" s="98">
        <f>IF($H8="",0,IF(AND(AV$6&gt;=$H8,AV$6&lt;=$I8),$G8,0))</f>
        <v/>
      </c>
      <c r="AW8" s="98">
        <f>IF($H8="",0,IF(AND(AW$6&gt;=$H8,AW$6&lt;=$I8),$G8,0))</f>
        <v/>
      </c>
      <c r="AX8" s="98">
        <f>IF($H8="",0,IF(AND(AX$6&gt;=$H8,AX$6&lt;=$I8),$G8,0))</f>
        <v/>
      </c>
      <c r="AY8" s="98">
        <f>IF($H8="",0,IF(AND(AY$6&gt;=$H8,AY$6&lt;=$I8),$G8,0))</f>
        <v/>
      </c>
      <c r="AZ8" s="98">
        <f>IF($H8="",0,IF(AND(AZ$6&gt;=$H8,AZ$6&lt;=$I8),$G8,0))</f>
        <v/>
      </c>
      <c r="BA8" s="98">
        <f>IF($H8="",0,IF(AND(BA$6&gt;=$H8,BA$6&lt;=$I8),$G8,0))</f>
        <v/>
      </c>
      <c r="BB8" s="98">
        <f>IF($H8="",0,IF(AND(BB$6&gt;=$H8,BB$6&lt;=$I8),$G8,0))</f>
        <v/>
      </c>
      <c r="BC8" s="98">
        <f>IF($H8="",0,IF(AND(BC$6&gt;=$H8,BC$6&lt;=$I8),$G8,0))</f>
        <v/>
      </c>
      <c r="BD8" s="98">
        <f>IF($H8="",0,IF(AND(BD$6&gt;=$H8,BD$6&lt;=$I8),$G8,0))</f>
        <v/>
      </c>
      <c r="BE8" s="98">
        <f>IF($H8="",0,IF(AND(BE$6&gt;=$H8,BE$6&lt;=$I8),$G8,0))</f>
        <v/>
      </c>
      <c r="BF8" s="98">
        <f>IF($H8="",0,IF(AND(BF$6&gt;=$H8,BF$6&lt;=$I8),$G8,0))</f>
        <v/>
      </c>
      <c r="BG8" s="98">
        <f>IF($H8="",0,IF(AND(BG$6&gt;=$H8,BG$6&lt;=$I8),$G8,0))</f>
        <v/>
      </c>
      <c r="BH8" s="98">
        <f>IF($H8="",0,IF(AND(BH$6&gt;=$H8,BH$6&lt;=$I8),$G8,0))</f>
        <v/>
      </c>
      <c r="BI8" s="98">
        <f>IF($H8="",0,IF(AND(BI$6&gt;=$H8,BI$6&lt;=$I8),$G8,0))</f>
        <v/>
      </c>
      <c r="BJ8" s="98">
        <f>IF($H8="",0,IF(AND(BJ$6&gt;=$H8,BJ$6&lt;=$I8),$G8,0))</f>
        <v/>
      </c>
      <c r="BK8" s="98">
        <f>IF($H8="",0,IF(AND(BK$6&gt;=$H8,BK$6&lt;=$I8),$G8,0))</f>
        <v/>
      </c>
      <c r="BL8" s="98">
        <f>IF($H8="",0,IF(AND(BL$6&gt;=$H8,BL$6&lt;=$I8),$G8,0))</f>
        <v/>
      </c>
      <c r="BM8" s="98">
        <f>IF($H8="",0,IF(AND(BM$6&gt;=$H8,BM$6&lt;=$I8),$G8,0))</f>
        <v/>
      </c>
      <c r="BN8" s="98">
        <f>IF($H8="",0,IF(AND(BN$6&gt;=$H8,BN$6&lt;=$I8),$G8,0))</f>
        <v/>
      </c>
      <c r="BO8" s="98">
        <f>IF($H8="",0,IF(AND(BO$6&gt;=$H8,BO$6&lt;=$I8),$G8,0))</f>
        <v/>
      </c>
      <c r="BP8" s="98">
        <f>IF($H8="",0,IF(AND(BP$6&gt;=$H8,BP$6&lt;=$I8),$G8,0))</f>
        <v/>
      </c>
      <c r="BQ8" s="98">
        <f>IF($H8="",0,IF(AND(BQ$6&gt;=$H8,BQ$6&lt;=$I8),$G8,0))</f>
        <v/>
      </c>
      <c r="BR8" s="98">
        <f>IF($H8="",0,IF(AND(BR$6&gt;=$H8,BR$6&lt;=$I8),$G8,0))</f>
        <v/>
      </c>
      <c r="BS8" s="98">
        <f>IF($H8="",0,IF(AND(BS$6&gt;=$H8,BS$6&lt;=$I8),$G8,0))</f>
        <v/>
      </c>
      <c r="BT8" s="98">
        <f>IF($H8="",0,IF(AND(BT$6&gt;=$H8,BT$6&lt;=$I8),$G8,0))</f>
        <v/>
      </c>
    </row>
    <row r="9">
      <c r="A9" s="74" t="inlineStr">
        <is>
          <t>Geladeira</t>
        </is>
      </c>
      <c r="B9" s="74" t="inlineStr">
        <is>
          <t>Itaú Visa</t>
        </is>
      </c>
      <c r="C9" s="74" t="inlineStr">
        <is>
          <t>Moradia (aluguel ou financiamento)</t>
        </is>
      </c>
      <c r="D9" s="73" t="n">
        <v>45779</v>
      </c>
      <c r="E9" s="76" t="n">
        <v>2800</v>
      </c>
      <c r="F9" s="90" t="n">
        <v>9</v>
      </c>
      <c r="G9" s="84">
        <f>IF(OR($E9="",N($F9)&lt;=0),0,$E9/$F9)</f>
        <v/>
      </c>
      <c r="H9" s="96">
        <f>IF(OR($A9="",$B9="",$D9="",N($F9)&lt;=0),"",IFERROR(IF(DAY($D9)&gt;INDEX(CARTOES_FECHA,MATCH($B9,LISTA_CARTOES,0)),EDATE(DATE(YEAR($D9),MONTH($D9),1),1),DATE(YEAR($D9),MONTH($D9),1)),""))</f>
        <v/>
      </c>
      <c r="I9" s="96">
        <f>IF($H9="","",EDATE($H9,$F9-1))</f>
        <v/>
      </c>
      <c r="J9" s="97">
        <f>IF($H9="",0,MAX(0,MIN($F9,(YEAR($I9)*12+MONTH($I9))-(ANO_SEL*12+MES_SEL))))</f>
        <v/>
      </c>
      <c r="K9" s="84">
        <f>J9*G9</f>
        <v/>
      </c>
      <c r="M9" s="98">
        <f>IF($H9="",0,IF(AND(M$6&gt;=$H9,M$6&lt;=$I9),$G9,0))</f>
        <v/>
      </c>
      <c r="N9" s="98">
        <f>IF($H9="",0,IF(AND(N$6&gt;=$H9,N$6&lt;=$I9),$G9,0))</f>
        <v/>
      </c>
      <c r="O9" s="98">
        <f>IF($H9="",0,IF(AND(O$6&gt;=$H9,O$6&lt;=$I9),$G9,0))</f>
        <v/>
      </c>
      <c r="P9" s="98">
        <f>IF($H9="",0,IF(AND(P$6&gt;=$H9,P$6&lt;=$I9),$G9,0))</f>
        <v/>
      </c>
      <c r="Q9" s="98">
        <f>IF($H9="",0,IF(AND(Q$6&gt;=$H9,Q$6&lt;=$I9),$G9,0))</f>
        <v/>
      </c>
      <c r="R9" s="98">
        <f>IF($H9="",0,IF(AND(R$6&gt;=$H9,R$6&lt;=$I9),$G9,0))</f>
        <v/>
      </c>
      <c r="S9" s="98">
        <f>IF($H9="",0,IF(AND(S$6&gt;=$H9,S$6&lt;=$I9),$G9,0))</f>
        <v/>
      </c>
      <c r="T9" s="98">
        <f>IF($H9="",0,IF(AND(T$6&gt;=$H9,T$6&lt;=$I9),$G9,0))</f>
        <v/>
      </c>
      <c r="U9" s="98">
        <f>IF($H9="",0,IF(AND(U$6&gt;=$H9,U$6&lt;=$I9),$G9,0))</f>
        <v/>
      </c>
      <c r="V9" s="98">
        <f>IF($H9="",0,IF(AND(V$6&gt;=$H9,V$6&lt;=$I9),$G9,0))</f>
        <v/>
      </c>
      <c r="W9" s="98">
        <f>IF($H9="",0,IF(AND(W$6&gt;=$H9,W$6&lt;=$I9),$G9,0))</f>
        <v/>
      </c>
      <c r="X9" s="98">
        <f>IF($H9="",0,IF(AND(X$6&gt;=$H9,X$6&lt;=$I9),$G9,0))</f>
        <v/>
      </c>
      <c r="Y9" s="98">
        <f>IF($H9="",0,IF(AND(Y$6&gt;=$H9,Y$6&lt;=$I9),$G9,0))</f>
        <v/>
      </c>
      <c r="Z9" s="98">
        <f>IF($H9="",0,IF(AND(Z$6&gt;=$H9,Z$6&lt;=$I9),$G9,0))</f>
        <v/>
      </c>
      <c r="AA9" s="98">
        <f>IF($H9="",0,IF(AND(AA$6&gt;=$H9,AA$6&lt;=$I9),$G9,0))</f>
        <v/>
      </c>
      <c r="AB9" s="98">
        <f>IF($H9="",0,IF(AND(AB$6&gt;=$H9,AB$6&lt;=$I9),$G9,0))</f>
        <v/>
      </c>
      <c r="AC9" s="98">
        <f>IF($H9="",0,IF(AND(AC$6&gt;=$H9,AC$6&lt;=$I9),$G9,0))</f>
        <v/>
      </c>
      <c r="AD9" s="98">
        <f>IF($H9="",0,IF(AND(AD$6&gt;=$H9,AD$6&lt;=$I9),$G9,0))</f>
        <v/>
      </c>
      <c r="AE9" s="98">
        <f>IF($H9="",0,IF(AND(AE$6&gt;=$H9,AE$6&lt;=$I9),$G9,0))</f>
        <v/>
      </c>
      <c r="AF9" s="98">
        <f>IF($H9="",0,IF(AND(AF$6&gt;=$H9,AF$6&lt;=$I9),$G9,0))</f>
        <v/>
      </c>
      <c r="AG9" s="98">
        <f>IF($H9="",0,IF(AND(AG$6&gt;=$H9,AG$6&lt;=$I9),$G9,0))</f>
        <v/>
      </c>
      <c r="AH9" s="98">
        <f>IF($H9="",0,IF(AND(AH$6&gt;=$H9,AH$6&lt;=$I9),$G9,0))</f>
        <v/>
      </c>
      <c r="AI9" s="98">
        <f>IF($H9="",0,IF(AND(AI$6&gt;=$H9,AI$6&lt;=$I9),$G9,0))</f>
        <v/>
      </c>
      <c r="AJ9" s="98">
        <f>IF($H9="",0,IF(AND(AJ$6&gt;=$H9,AJ$6&lt;=$I9),$G9,0))</f>
        <v/>
      </c>
      <c r="AK9" s="98">
        <f>IF($H9="",0,IF(AND(AK$6&gt;=$H9,AK$6&lt;=$I9),$G9,0))</f>
        <v/>
      </c>
      <c r="AL9" s="98">
        <f>IF($H9="",0,IF(AND(AL$6&gt;=$H9,AL$6&lt;=$I9),$G9,0))</f>
        <v/>
      </c>
      <c r="AM9" s="98">
        <f>IF($H9="",0,IF(AND(AM$6&gt;=$H9,AM$6&lt;=$I9),$G9,0))</f>
        <v/>
      </c>
      <c r="AN9" s="98">
        <f>IF($H9="",0,IF(AND(AN$6&gt;=$H9,AN$6&lt;=$I9),$G9,0))</f>
        <v/>
      </c>
      <c r="AO9" s="98">
        <f>IF($H9="",0,IF(AND(AO$6&gt;=$H9,AO$6&lt;=$I9),$G9,0))</f>
        <v/>
      </c>
      <c r="AP9" s="98">
        <f>IF($H9="",0,IF(AND(AP$6&gt;=$H9,AP$6&lt;=$I9),$G9,0))</f>
        <v/>
      </c>
      <c r="AQ9" s="98">
        <f>IF($H9="",0,IF(AND(AQ$6&gt;=$H9,AQ$6&lt;=$I9),$G9,0))</f>
        <v/>
      </c>
      <c r="AR9" s="98">
        <f>IF($H9="",0,IF(AND(AR$6&gt;=$H9,AR$6&lt;=$I9),$G9,0))</f>
        <v/>
      </c>
      <c r="AS9" s="98">
        <f>IF($H9="",0,IF(AND(AS$6&gt;=$H9,AS$6&lt;=$I9),$G9,0))</f>
        <v/>
      </c>
      <c r="AT9" s="98">
        <f>IF($H9="",0,IF(AND(AT$6&gt;=$H9,AT$6&lt;=$I9),$G9,0))</f>
        <v/>
      </c>
      <c r="AU9" s="98">
        <f>IF($H9="",0,IF(AND(AU$6&gt;=$H9,AU$6&lt;=$I9),$G9,0))</f>
        <v/>
      </c>
      <c r="AV9" s="98">
        <f>IF($H9="",0,IF(AND(AV$6&gt;=$H9,AV$6&lt;=$I9),$G9,0))</f>
        <v/>
      </c>
      <c r="AW9" s="98">
        <f>IF($H9="",0,IF(AND(AW$6&gt;=$H9,AW$6&lt;=$I9),$G9,0))</f>
        <v/>
      </c>
      <c r="AX9" s="98">
        <f>IF($H9="",0,IF(AND(AX$6&gt;=$H9,AX$6&lt;=$I9),$G9,0))</f>
        <v/>
      </c>
      <c r="AY9" s="98">
        <f>IF($H9="",0,IF(AND(AY$6&gt;=$H9,AY$6&lt;=$I9),$G9,0))</f>
        <v/>
      </c>
      <c r="AZ9" s="98">
        <f>IF($H9="",0,IF(AND(AZ$6&gt;=$H9,AZ$6&lt;=$I9),$G9,0))</f>
        <v/>
      </c>
      <c r="BA9" s="98">
        <f>IF($H9="",0,IF(AND(BA$6&gt;=$H9,BA$6&lt;=$I9),$G9,0))</f>
        <v/>
      </c>
      <c r="BB9" s="98">
        <f>IF($H9="",0,IF(AND(BB$6&gt;=$H9,BB$6&lt;=$I9),$G9,0))</f>
        <v/>
      </c>
      <c r="BC9" s="98">
        <f>IF($H9="",0,IF(AND(BC$6&gt;=$H9,BC$6&lt;=$I9),$G9,0))</f>
        <v/>
      </c>
      <c r="BD9" s="98">
        <f>IF($H9="",0,IF(AND(BD$6&gt;=$H9,BD$6&lt;=$I9),$G9,0))</f>
        <v/>
      </c>
      <c r="BE9" s="98">
        <f>IF($H9="",0,IF(AND(BE$6&gt;=$H9,BE$6&lt;=$I9),$G9,0))</f>
        <v/>
      </c>
      <c r="BF9" s="98">
        <f>IF($H9="",0,IF(AND(BF$6&gt;=$H9,BF$6&lt;=$I9),$G9,0))</f>
        <v/>
      </c>
      <c r="BG9" s="98">
        <f>IF($H9="",0,IF(AND(BG$6&gt;=$H9,BG$6&lt;=$I9),$G9,0))</f>
        <v/>
      </c>
      <c r="BH9" s="98">
        <f>IF($H9="",0,IF(AND(BH$6&gt;=$H9,BH$6&lt;=$I9),$G9,0))</f>
        <v/>
      </c>
      <c r="BI9" s="98">
        <f>IF($H9="",0,IF(AND(BI$6&gt;=$H9,BI$6&lt;=$I9),$G9,0))</f>
        <v/>
      </c>
      <c r="BJ9" s="98">
        <f>IF($H9="",0,IF(AND(BJ$6&gt;=$H9,BJ$6&lt;=$I9),$G9,0))</f>
        <v/>
      </c>
      <c r="BK9" s="98">
        <f>IF($H9="",0,IF(AND(BK$6&gt;=$H9,BK$6&lt;=$I9),$G9,0))</f>
        <v/>
      </c>
      <c r="BL9" s="98">
        <f>IF($H9="",0,IF(AND(BL$6&gt;=$H9,BL$6&lt;=$I9),$G9,0))</f>
        <v/>
      </c>
      <c r="BM9" s="98">
        <f>IF($H9="",0,IF(AND(BM$6&gt;=$H9,BM$6&lt;=$I9),$G9,0))</f>
        <v/>
      </c>
      <c r="BN9" s="98">
        <f>IF($H9="",0,IF(AND(BN$6&gt;=$H9,BN$6&lt;=$I9),$G9,0))</f>
        <v/>
      </c>
      <c r="BO9" s="98">
        <f>IF($H9="",0,IF(AND(BO$6&gt;=$H9,BO$6&lt;=$I9),$G9,0))</f>
        <v/>
      </c>
      <c r="BP9" s="98">
        <f>IF($H9="",0,IF(AND(BP$6&gt;=$H9,BP$6&lt;=$I9),$G9,0))</f>
        <v/>
      </c>
      <c r="BQ9" s="98">
        <f>IF($H9="",0,IF(AND(BQ$6&gt;=$H9,BQ$6&lt;=$I9),$G9,0))</f>
        <v/>
      </c>
      <c r="BR9" s="98">
        <f>IF($H9="",0,IF(AND(BR$6&gt;=$H9,BR$6&lt;=$I9),$G9,0))</f>
        <v/>
      </c>
      <c r="BS9" s="98">
        <f>IF($H9="",0,IF(AND(BS$6&gt;=$H9,BS$6&lt;=$I9),$G9,0))</f>
        <v/>
      </c>
      <c r="BT9" s="98">
        <f>IF($H9="",0,IF(AND(BT$6&gt;=$H9,BT$6&lt;=$I9),$G9,0))</f>
        <v/>
      </c>
    </row>
    <row r="10">
      <c r="A10" s="74" t="inlineStr">
        <is>
          <t>Passagens aéreas (viagem de julho)</t>
        </is>
      </c>
      <c r="B10" s="74" t="inlineStr">
        <is>
          <t>Nubank Mastercard</t>
        </is>
      </c>
      <c r="C10" s="74" t="inlineStr">
        <is>
          <t>Viagens</t>
        </is>
      </c>
      <c r="D10" s="73" t="n">
        <v>45828</v>
      </c>
      <c r="E10" s="76" t="n">
        <v>1380</v>
      </c>
      <c r="F10" s="90" t="n">
        <v>6</v>
      </c>
      <c r="G10" s="84">
        <f>IF(OR($E10="",N($F10)&lt;=0),0,$E10/$F10)</f>
        <v/>
      </c>
      <c r="H10" s="96">
        <f>IF(OR($A10="",$B10="",$D10="",N($F10)&lt;=0),"",IFERROR(IF(DAY($D10)&gt;INDEX(CARTOES_FECHA,MATCH($B10,LISTA_CARTOES,0)),EDATE(DATE(YEAR($D10),MONTH($D10),1),1),DATE(YEAR($D10),MONTH($D10),1)),""))</f>
        <v/>
      </c>
      <c r="I10" s="96">
        <f>IF($H10="","",EDATE($H10,$F10-1))</f>
        <v/>
      </c>
      <c r="J10" s="97">
        <f>IF($H10="",0,MAX(0,MIN($F10,(YEAR($I10)*12+MONTH($I10))-(ANO_SEL*12+MES_SEL))))</f>
        <v/>
      </c>
      <c r="K10" s="84">
        <f>J10*G10</f>
        <v/>
      </c>
      <c r="M10" s="98">
        <f>IF($H10="",0,IF(AND(M$6&gt;=$H10,M$6&lt;=$I10),$G10,0))</f>
        <v/>
      </c>
      <c r="N10" s="98">
        <f>IF($H10="",0,IF(AND(N$6&gt;=$H10,N$6&lt;=$I10),$G10,0))</f>
        <v/>
      </c>
      <c r="O10" s="98">
        <f>IF($H10="",0,IF(AND(O$6&gt;=$H10,O$6&lt;=$I10),$G10,0))</f>
        <v/>
      </c>
      <c r="P10" s="98">
        <f>IF($H10="",0,IF(AND(P$6&gt;=$H10,P$6&lt;=$I10),$G10,0))</f>
        <v/>
      </c>
      <c r="Q10" s="98">
        <f>IF($H10="",0,IF(AND(Q$6&gt;=$H10,Q$6&lt;=$I10),$G10,0))</f>
        <v/>
      </c>
      <c r="R10" s="98">
        <f>IF($H10="",0,IF(AND(R$6&gt;=$H10,R$6&lt;=$I10),$G10,0))</f>
        <v/>
      </c>
      <c r="S10" s="98">
        <f>IF($H10="",0,IF(AND(S$6&gt;=$H10,S$6&lt;=$I10),$G10,0))</f>
        <v/>
      </c>
      <c r="T10" s="98">
        <f>IF($H10="",0,IF(AND(T$6&gt;=$H10,T$6&lt;=$I10),$G10,0))</f>
        <v/>
      </c>
      <c r="U10" s="98">
        <f>IF($H10="",0,IF(AND(U$6&gt;=$H10,U$6&lt;=$I10),$G10,0))</f>
        <v/>
      </c>
      <c r="V10" s="98">
        <f>IF($H10="",0,IF(AND(V$6&gt;=$H10,V$6&lt;=$I10),$G10,0))</f>
        <v/>
      </c>
      <c r="W10" s="98">
        <f>IF($H10="",0,IF(AND(W$6&gt;=$H10,W$6&lt;=$I10),$G10,0))</f>
        <v/>
      </c>
      <c r="X10" s="98">
        <f>IF($H10="",0,IF(AND(X$6&gt;=$H10,X$6&lt;=$I10),$G10,0))</f>
        <v/>
      </c>
      <c r="Y10" s="98">
        <f>IF($H10="",0,IF(AND(Y$6&gt;=$H10,Y$6&lt;=$I10),$G10,0))</f>
        <v/>
      </c>
      <c r="Z10" s="98">
        <f>IF($H10="",0,IF(AND(Z$6&gt;=$H10,Z$6&lt;=$I10),$G10,0))</f>
        <v/>
      </c>
      <c r="AA10" s="98">
        <f>IF($H10="",0,IF(AND(AA$6&gt;=$H10,AA$6&lt;=$I10),$G10,0))</f>
        <v/>
      </c>
      <c r="AB10" s="98">
        <f>IF($H10="",0,IF(AND(AB$6&gt;=$H10,AB$6&lt;=$I10),$G10,0))</f>
        <v/>
      </c>
      <c r="AC10" s="98">
        <f>IF($H10="",0,IF(AND(AC$6&gt;=$H10,AC$6&lt;=$I10),$G10,0))</f>
        <v/>
      </c>
      <c r="AD10" s="98">
        <f>IF($H10="",0,IF(AND(AD$6&gt;=$H10,AD$6&lt;=$I10),$G10,0))</f>
        <v/>
      </c>
      <c r="AE10" s="98">
        <f>IF($H10="",0,IF(AND(AE$6&gt;=$H10,AE$6&lt;=$I10),$G10,0))</f>
        <v/>
      </c>
      <c r="AF10" s="98">
        <f>IF($H10="",0,IF(AND(AF$6&gt;=$H10,AF$6&lt;=$I10),$G10,0))</f>
        <v/>
      </c>
      <c r="AG10" s="98">
        <f>IF($H10="",0,IF(AND(AG$6&gt;=$H10,AG$6&lt;=$I10),$G10,0))</f>
        <v/>
      </c>
      <c r="AH10" s="98">
        <f>IF($H10="",0,IF(AND(AH$6&gt;=$H10,AH$6&lt;=$I10),$G10,0))</f>
        <v/>
      </c>
      <c r="AI10" s="98">
        <f>IF($H10="",0,IF(AND(AI$6&gt;=$H10,AI$6&lt;=$I10),$G10,0))</f>
        <v/>
      </c>
      <c r="AJ10" s="98">
        <f>IF($H10="",0,IF(AND(AJ$6&gt;=$H10,AJ$6&lt;=$I10),$G10,0))</f>
        <v/>
      </c>
      <c r="AK10" s="98">
        <f>IF($H10="",0,IF(AND(AK$6&gt;=$H10,AK$6&lt;=$I10),$G10,0))</f>
        <v/>
      </c>
      <c r="AL10" s="98">
        <f>IF($H10="",0,IF(AND(AL$6&gt;=$H10,AL$6&lt;=$I10),$G10,0))</f>
        <v/>
      </c>
      <c r="AM10" s="98">
        <f>IF($H10="",0,IF(AND(AM$6&gt;=$H10,AM$6&lt;=$I10),$G10,0))</f>
        <v/>
      </c>
      <c r="AN10" s="98">
        <f>IF($H10="",0,IF(AND(AN$6&gt;=$H10,AN$6&lt;=$I10),$G10,0))</f>
        <v/>
      </c>
      <c r="AO10" s="98">
        <f>IF($H10="",0,IF(AND(AO$6&gt;=$H10,AO$6&lt;=$I10),$G10,0))</f>
        <v/>
      </c>
      <c r="AP10" s="98">
        <f>IF($H10="",0,IF(AND(AP$6&gt;=$H10,AP$6&lt;=$I10),$G10,0))</f>
        <v/>
      </c>
      <c r="AQ10" s="98">
        <f>IF($H10="",0,IF(AND(AQ$6&gt;=$H10,AQ$6&lt;=$I10),$G10,0))</f>
        <v/>
      </c>
      <c r="AR10" s="98">
        <f>IF($H10="",0,IF(AND(AR$6&gt;=$H10,AR$6&lt;=$I10),$G10,0))</f>
        <v/>
      </c>
      <c r="AS10" s="98">
        <f>IF($H10="",0,IF(AND(AS$6&gt;=$H10,AS$6&lt;=$I10),$G10,0))</f>
        <v/>
      </c>
      <c r="AT10" s="98">
        <f>IF($H10="",0,IF(AND(AT$6&gt;=$H10,AT$6&lt;=$I10),$G10,0))</f>
        <v/>
      </c>
      <c r="AU10" s="98">
        <f>IF($H10="",0,IF(AND(AU$6&gt;=$H10,AU$6&lt;=$I10),$G10,0))</f>
        <v/>
      </c>
      <c r="AV10" s="98">
        <f>IF($H10="",0,IF(AND(AV$6&gt;=$H10,AV$6&lt;=$I10),$G10,0))</f>
        <v/>
      </c>
      <c r="AW10" s="98">
        <f>IF($H10="",0,IF(AND(AW$6&gt;=$H10,AW$6&lt;=$I10),$G10,0))</f>
        <v/>
      </c>
      <c r="AX10" s="98">
        <f>IF($H10="",0,IF(AND(AX$6&gt;=$H10,AX$6&lt;=$I10),$G10,0))</f>
        <v/>
      </c>
      <c r="AY10" s="98">
        <f>IF($H10="",0,IF(AND(AY$6&gt;=$H10,AY$6&lt;=$I10),$G10,0))</f>
        <v/>
      </c>
      <c r="AZ10" s="98">
        <f>IF($H10="",0,IF(AND(AZ$6&gt;=$H10,AZ$6&lt;=$I10),$G10,0))</f>
        <v/>
      </c>
      <c r="BA10" s="98">
        <f>IF($H10="",0,IF(AND(BA$6&gt;=$H10,BA$6&lt;=$I10),$G10,0))</f>
        <v/>
      </c>
      <c r="BB10" s="98">
        <f>IF($H10="",0,IF(AND(BB$6&gt;=$H10,BB$6&lt;=$I10),$G10,0))</f>
        <v/>
      </c>
      <c r="BC10" s="98">
        <f>IF($H10="",0,IF(AND(BC$6&gt;=$H10,BC$6&lt;=$I10),$G10,0))</f>
        <v/>
      </c>
      <c r="BD10" s="98">
        <f>IF($H10="",0,IF(AND(BD$6&gt;=$H10,BD$6&lt;=$I10),$G10,0))</f>
        <v/>
      </c>
      <c r="BE10" s="98">
        <f>IF($H10="",0,IF(AND(BE$6&gt;=$H10,BE$6&lt;=$I10),$G10,0))</f>
        <v/>
      </c>
      <c r="BF10" s="98">
        <f>IF($H10="",0,IF(AND(BF$6&gt;=$H10,BF$6&lt;=$I10),$G10,0))</f>
        <v/>
      </c>
      <c r="BG10" s="98">
        <f>IF($H10="",0,IF(AND(BG$6&gt;=$H10,BG$6&lt;=$I10),$G10,0))</f>
        <v/>
      </c>
      <c r="BH10" s="98">
        <f>IF($H10="",0,IF(AND(BH$6&gt;=$H10,BH$6&lt;=$I10),$G10,0))</f>
        <v/>
      </c>
      <c r="BI10" s="98">
        <f>IF($H10="",0,IF(AND(BI$6&gt;=$H10,BI$6&lt;=$I10),$G10,0))</f>
        <v/>
      </c>
      <c r="BJ10" s="98">
        <f>IF($H10="",0,IF(AND(BJ$6&gt;=$H10,BJ$6&lt;=$I10),$G10,0))</f>
        <v/>
      </c>
      <c r="BK10" s="98">
        <f>IF($H10="",0,IF(AND(BK$6&gt;=$H10,BK$6&lt;=$I10),$G10,0))</f>
        <v/>
      </c>
      <c r="BL10" s="98">
        <f>IF($H10="",0,IF(AND(BL$6&gt;=$H10,BL$6&lt;=$I10),$G10,0))</f>
        <v/>
      </c>
      <c r="BM10" s="98">
        <f>IF($H10="",0,IF(AND(BM$6&gt;=$H10,BM$6&lt;=$I10),$G10,0))</f>
        <v/>
      </c>
      <c r="BN10" s="98">
        <f>IF($H10="",0,IF(AND(BN$6&gt;=$H10,BN$6&lt;=$I10),$G10,0))</f>
        <v/>
      </c>
      <c r="BO10" s="98">
        <f>IF($H10="",0,IF(AND(BO$6&gt;=$H10,BO$6&lt;=$I10),$G10,0))</f>
        <v/>
      </c>
      <c r="BP10" s="98">
        <f>IF($H10="",0,IF(AND(BP$6&gt;=$H10,BP$6&lt;=$I10),$G10,0))</f>
        <v/>
      </c>
      <c r="BQ10" s="98">
        <f>IF($H10="",0,IF(AND(BQ$6&gt;=$H10,BQ$6&lt;=$I10),$G10,0))</f>
        <v/>
      </c>
      <c r="BR10" s="98">
        <f>IF($H10="",0,IF(AND(BR$6&gt;=$H10,BR$6&lt;=$I10),$G10,0))</f>
        <v/>
      </c>
      <c r="BS10" s="98">
        <f>IF($H10="",0,IF(AND(BS$6&gt;=$H10,BS$6&lt;=$I10),$G10,0))</f>
        <v/>
      </c>
      <c r="BT10" s="98">
        <f>IF($H10="",0,IF(AND(BT$6&gt;=$H10,BT$6&lt;=$I10),$G10,0))</f>
        <v/>
      </c>
    </row>
    <row r="11">
      <c r="A11" s="74" t="inlineStr">
        <is>
          <t>Notebook de trabalho</t>
        </is>
      </c>
      <c r="B11" s="74" t="inlineStr">
        <is>
          <t>Nubank Mastercard</t>
        </is>
      </c>
      <c r="C11" s="74" t="inlineStr">
        <is>
          <t>Compras pessoais</t>
        </is>
      </c>
      <c r="D11" s="73" t="n">
        <v>45914</v>
      </c>
      <c r="E11" s="76" t="n">
        <v>3600</v>
      </c>
      <c r="F11" s="90" t="n">
        <v>12</v>
      </c>
      <c r="G11" s="84">
        <f>IF(OR($E11="",N($F11)&lt;=0),0,$E11/$F11)</f>
        <v/>
      </c>
      <c r="H11" s="96">
        <f>IF(OR($A11="",$B11="",$D11="",N($F11)&lt;=0),"",IFERROR(IF(DAY($D11)&gt;INDEX(CARTOES_FECHA,MATCH($B11,LISTA_CARTOES,0)),EDATE(DATE(YEAR($D11),MONTH($D11),1),1),DATE(YEAR($D11),MONTH($D11),1)),""))</f>
        <v/>
      </c>
      <c r="I11" s="96">
        <f>IF($H11="","",EDATE($H11,$F11-1))</f>
        <v/>
      </c>
      <c r="J11" s="97">
        <f>IF($H11="",0,MAX(0,MIN($F11,(YEAR($I11)*12+MONTH($I11))-(ANO_SEL*12+MES_SEL))))</f>
        <v/>
      </c>
      <c r="K11" s="84">
        <f>J11*G11</f>
        <v/>
      </c>
      <c r="M11" s="98">
        <f>IF($H11="",0,IF(AND(M$6&gt;=$H11,M$6&lt;=$I11),$G11,0))</f>
        <v/>
      </c>
      <c r="N11" s="98">
        <f>IF($H11="",0,IF(AND(N$6&gt;=$H11,N$6&lt;=$I11),$G11,0))</f>
        <v/>
      </c>
      <c r="O11" s="98">
        <f>IF($H11="",0,IF(AND(O$6&gt;=$H11,O$6&lt;=$I11),$G11,0))</f>
        <v/>
      </c>
      <c r="P11" s="98">
        <f>IF($H11="",0,IF(AND(P$6&gt;=$H11,P$6&lt;=$I11),$G11,0))</f>
        <v/>
      </c>
      <c r="Q11" s="98">
        <f>IF($H11="",0,IF(AND(Q$6&gt;=$H11,Q$6&lt;=$I11),$G11,0))</f>
        <v/>
      </c>
      <c r="R11" s="98">
        <f>IF($H11="",0,IF(AND(R$6&gt;=$H11,R$6&lt;=$I11),$G11,0))</f>
        <v/>
      </c>
      <c r="S11" s="98">
        <f>IF($H11="",0,IF(AND(S$6&gt;=$H11,S$6&lt;=$I11),$G11,0))</f>
        <v/>
      </c>
      <c r="T11" s="98">
        <f>IF($H11="",0,IF(AND(T$6&gt;=$H11,T$6&lt;=$I11),$G11,0))</f>
        <v/>
      </c>
      <c r="U11" s="98">
        <f>IF($H11="",0,IF(AND(U$6&gt;=$H11,U$6&lt;=$I11),$G11,0))</f>
        <v/>
      </c>
      <c r="V11" s="98">
        <f>IF($H11="",0,IF(AND(V$6&gt;=$H11,V$6&lt;=$I11),$G11,0))</f>
        <v/>
      </c>
      <c r="W11" s="98">
        <f>IF($H11="",0,IF(AND(W$6&gt;=$H11,W$6&lt;=$I11),$G11,0))</f>
        <v/>
      </c>
      <c r="X11" s="98">
        <f>IF($H11="",0,IF(AND(X$6&gt;=$H11,X$6&lt;=$I11),$G11,0))</f>
        <v/>
      </c>
      <c r="Y11" s="98">
        <f>IF($H11="",0,IF(AND(Y$6&gt;=$H11,Y$6&lt;=$I11),$G11,0))</f>
        <v/>
      </c>
      <c r="Z11" s="98">
        <f>IF($H11="",0,IF(AND(Z$6&gt;=$H11,Z$6&lt;=$I11),$G11,0))</f>
        <v/>
      </c>
      <c r="AA11" s="98">
        <f>IF($H11="",0,IF(AND(AA$6&gt;=$H11,AA$6&lt;=$I11),$G11,0))</f>
        <v/>
      </c>
      <c r="AB11" s="98">
        <f>IF($H11="",0,IF(AND(AB$6&gt;=$H11,AB$6&lt;=$I11),$G11,0))</f>
        <v/>
      </c>
      <c r="AC11" s="98">
        <f>IF($H11="",0,IF(AND(AC$6&gt;=$H11,AC$6&lt;=$I11),$G11,0))</f>
        <v/>
      </c>
      <c r="AD11" s="98">
        <f>IF($H11="",0,IF(AND(AD$6&gt;=$H11,AD$6&lt;=$I11),$G11,0))</f>
        <v/>
      </c>
      <c r="AE11" s="98">
        <f>IF($H11="",0,IF(AND(AE$6&gt;=$H11,AE$6&lt;=$I11),$G11,0))</f>
        <v/>
      </c>
      <c r="AF11" s="98">
        <f>IF($H11="",0,IF(AND(AF$6&gt;=$H11,AF$6&lt;=$I11),$G11,0))</f>
        <v/>
      </c>
      <c r="AG11" s="98">
        <f>IF($H11="",0,IF(AND(AG$6&gt;=$H11,AG$6&lt;=$I11),$G11,0))</f>
        <v/>
      </c>
      <c r="AH11" s="98">
        <f>IF($H11="",0,IF(AND(AH$6&gt;=$H11,AH$6&lt;=$I11),$G11,0))</f>
        <v/>
      </c>
      <c r="AI11" s="98">
        <f>IF($H11="",0,IF(AND(AI$6&gt;=$H11,AI$6&lt;=$I11),$G11,0))</f>
        <v/>
      </c>
      <c r="AJ11" s="98">
        <f>IF($H11="",0,IF(AND(AJ$6&gt;=$H11,AJ$6&lt;=$I11),$G11,0))</f>
        <v/>
      </c>
      <c r="AK11" s="98">
        <f>IF($H11="",0,IF(AND(AK$6&gt;=$H11,AK$6&lt;=$I11),$G11,0))</f>
        <v/>
      </c>
      <c r="AL11" s="98">
        <f>IF($H11="",0,IF(AND(AL$6&gt;=$H11,AL$6&lt;=$I11),$G11,0))</f>
        <v/>
      </c>
      <c r="AM11" s="98">
        <f>IF($H11="",0,IF(AND(AM$6&gt;=$H11,AM$6&lt;=$I11),$G11,0))</f>
        <v/>
      </c>
      <c r="AN11" s="98">
        <f>IF($H11="",0,IF(AND(AN$6&gt;=$H11,AN$6&lt;=$I11),$G11,0))</f>
        <v/>
      </c>
      <c r="AO11" s="98">
        <f>IF($H11="",0,IF(AND(AO$6&gt;=$H11,AO$6&lt;=$I11),$G11,0))</f>
        <v/>
      </c>
      <c r="AP11" s="98">
        <f>IF($H11="",0,IF(AND(AP$6&gt;=$H11,AP$6&lt;=$I11),$G11,0))</f>
        <v/>
      </c>
      <c r="AQ11" s="98">
        <f>IF($H11="",0,IF(AND(AQ$6&gt;=$H11,AQ$6&lt;=$I11),$G11,0))</f>
        <v/>
      </c>
      <c r="AR11" s="98">
        <f>IF($H11="",0,IF(AND(AR$6&gt;=$H11,AR$6&lt;=$I11),$G11,0))</f>
        <v/>
      </c>
      <c r="AS11" s="98">
        <f>IF($H11="",0,IF(AND(AS$6&gt;=$H11,AS$6&lt;=$I11),$G11,0))</f>
        <v/>
      </c>
      <c r="AT11" s="98">
        <f>IF($H11="",0,IF(AND(AT$6&gt;=$H11,AT$6&lt;=$I11),$G11,0))</f>
        <v/>
      </c>
      <c r="AU11" s="98">
        <f>IF($H11="",0,IF(AND(AU$6&gt;=$H11,AU$6&lt;=$I11),$G11,0))</f>
        <v/>
      </c>
      <c r="AV11" s="98">
        <f>IF($H11="",0,IF(AND(AV$6&gt;=$H11,AV$6&lt;=$I11),$G11,0))</f>
        <v/>
      </c>
      <c r="AW11" s="98">
        <f>IF($H11="",0,IF(AND(AW$6&gt;=$H11,AW$6&lt;=$I11),$G11,0))</f>
        <v/>
      </c>
      <c r="AX11" s="98">
        <f>IF($H11="",0,IF(AND(AX$6&gt;=$H11,AX$6&lt;=$I11),$G11,0))</f>
        <v/>
      </c>
      <c r="AY11" s="98">
        <f>IF($H11="",0,IF(AND(AY$6&gt;=$H11,AY$6&lt;=$I11),$G11,0))</f>
        <v/>
      </c>
      <c r="AZ11" s="98">
        <f>IF($H11="",0,IF(AND(AZ$6&gt;=$H11,AZ$6&lt;=$I11),$G11,0))</f>
        <v/>
      </c>
      <c r="BA11" s="98">
        <f>IF($H11="",0,IF(AND(BA$6&gt;=$H11,BA$6&lt;=$I11),$G11,0))</f>
        <v/>
      </c>
      <c r="BB11" s="98">
        <f>IF($H11="",0,IF(AND(BB$6&gt;=$H11,BB$6&lt;=$I11),$G11,0))</f>
        <v/>
      </c>
      <c r="BC11" s="98">
        <f>IF($H11="",0,IF(AND(BC$6&gt;=$H11,BC$6&lt;=$I11),$G11,0))</f>
        <v/>
      </c>
      <c r="BD11" s="98">
        <f>IF($H11="",0,IF(AND(BD$6&gt;=$H11,BD$6&lt;=$I11),$G11,0))</f>
        <v/>
      </c>
      <c r="BE11" s="98">
        <f>IF($H11="",0,IF(AND(BE$6&gt;=$H11,BE$6&lt;=$I11),$G11,0))</f>
        <v/>
      </c>
      <c r="BF11" s="98">
        <f>IF($H11="",0,IF(AND(BF$6&gt;=$H11,BF$6&lt;=$I11),$G11,0))</f>
        <v/>
      </c>
      <c r="BG11" s="98">
        <f>IF($H11="",0,IF(AND(BG$6&gt;=$H11,BG$6&lt;=$I11),$G11,0))</f>
        <v/>
      </c>
      <c r="BH11" s="98">
        <f>IF($H11="",0,IF(AND(BH$6&gt;=$H11,BH$6&lt;=$I11),$G11,0))</f>
        <v/>
      </c>
      <c r="BI11" s="98">
        <f>IF($H11="",0,IF(AND(BI$6&gt;=$H11,BI$6&lt;=$I11),$G11,0))</f>
        <v/>
      </c>
      <c r="BJ11" s="98">
        <f>IF($H11="",0,IF(AND(BJ$6&gt;=$H11,BJ$6&lt;=$I11),$G11,0))</f>
        <v/>
      </c>
      <c r="BK11" s="98">
        <f>IF($H11="",0,IF(AND(BK$6&gt;=$H11,BK$6&lt;=$I11),$G11,0))</f>
        <v/>
      </c>
      <c r="BL11" s="98">
        <f>IF($H11="",0,IF(AND(BL$6&gt;=$H11,BL$6&lt;=$I11),$G11,0))</f>
        <v/>
      </c>
      <c r="BM11" s="98">
        <f>IF($H11="",0,IF(AND(BM$6&gt;=$H11,BM$6&lt;=$I11),$G11,0))</f>
        <v/>
      </c>
      <c r="BN11" s="98">
        <f>IF($H11="",0,IF(AND(BN$6&gt;=$H11,BN$6&lt;=$I11),$G11,0))</f>
        <v/>
      </c>
      <c r="BO11" s="98">
        <f>IF($H11="",0,IF(AND(BO$6&gt;=$H11,BO$6&lt;=$I11),$G11,0))</f>
        <v/>
      </c>
      <c r="BP11" s="98">
        <f>IF($H11="",0,IF(AND(BP$6&gt;=$H11,BP$6&lt;=$I11),$G11,0))</f>
        <v/>
      </c>
      <c r="BQ11" s="98">
        <f>IF($H11="",0,IF(AND(BQ$6&gt;=$H11,BQ$6&lt;=$I11),$G11,0))</f>
        <v/>
      </c>
      <c r="BR11" s="98">
        <f>IF($H11="",0,IF(AND(BR$6&gt;=$H11,BR$6&lt;=$I11),$G11,0))</f>
        <v/>
      </c>
      <c r="BS11" s="98">
        <f>IF($H11="",0,IF(AND(BS$6&gt;=$H11,BS$6&lt;=$I11),$G11,0))</f>
        <v/>
      </c>
      <c r="BT11" s="98">
        <f>IF($H11="",0,IF(AND(BT$6&gt;=$H11,BT$6&lt;=$I11),$G11,0))</f>
        <v/>
      </c>
    </row>
    <row r="12">
      <c r="A12" s="74" t="inlineStr">
        <is>
          <t>Sofá da sala</t>
        </is>
      </c>
      <c r="B12" s="74" t="inlineStr">
        <is>
          <t>Itaú Visa</t>
        </is>
      </c>
      <c r="C12" s="74" t="inlineStr">
        <is>
          <t>Moradia (aluguel ou financiamento)</t>
        </is>
      </c>
      <c r="D12" s="73" t="n">
        <v>45973</v>
      </c>
      <c r="E12" s="76" t="n">
        <v>1600</v>
      </c>
      <c r="F12" s="90" t="n">
        <v>8</v>
      </c>
      <c r="G12" s="84">
        <f>IF(OR($E12="",N($F12)&lt;=0),0,$E12/$F12)</f>
        <v/>
      </c>
      <c r="H12" s="96">
        <f>IF(OR($A12="",$B12="",$D12="",N($F12)&lt;=0),"",IFERROR(IF(DAY($D12)&gt;INDEX(CARTOES_FECHA,MATCH($B12,LISTA_CARTOES,0)),EDATE(DATE(YEAR($D12),MONTH($D12),1),1),DATE(YEAR($D12),MONTH($D12),1)),""))</f>
        <v/>
      </c>
      <c r="I12" s="96">
        <f>IF($H12="","",EDATE($H12,$F12-1))</f>
        <v/>
      </c>
      <c r="J12" s="97">
        <f>IF($H12="",0,MAX(0,MIN($F12,(YEAR($I12)*12+MONTH($I12))-(ANO_SEL*12+MES_SEL))))</f>
        <v/>
      </c>
      <c r="K12" s="84">
        <f>J12*G12</f>
        <v/>
      </c>
      <c r="M12" s="98">
        <f>IF($H12="",0,IF(AND(M$6&gt;=$H12,M$6&lt;=$I12),$G12,0))</f>
        <v/>
      </c>
      <c r="N12" s="98">
        <f>IF($H12="",0,IF(AND(N$6&gt;=$H12,N$6&lt;=$I12),$G12,0))</f>
        <v/>
      </c>
      <c r="O12" s="98">
        <f>IF($H12="",0,IF(AND(O$6&gt;=$H12,O$6&lt;=$I12),$G12,0))</f>
        <v/>
      </c>
      <c r="P12" s="98">
        <f>IF($H12="",0,IF(AND(P$6&gt;=$H12,P$6&lt;=$I12),$G12,0))</f>
        <v/>
      </c>
      <c r="Q12" s="98">
        <f>IF($H12="",0,IF(AND(Q$6&gt;=$H12,Q$6&lt;=$I12),$G12,0))</f>
        <v/>
      </c>
      <c r="R12" s="98">
        <f>IF($H12="",0,IF(AND(R$6&gt;=$H12,R$6&lt;=$I12),$G12,0))</f>
        <v/>
      </c>
      <c r="S12" s="98">
        <f>IF($H12="",0,IF(AND(S$6&gt;=$H12,S$6&lt;=$I12),$G12,0))</f>
        <v/>
      </c>
      <c r="T12" s="98">
        <f>IF($H12="",0,IF(AND(T$6&gt;=$H12,T$6&lt;=$I12),$G12,0))</f>
        <v/>
      </c>
      <c r="U12" s="98">
        <f>IF($H12="",0,IF(AND(U$6&gt;=$H12,U$6&lt;=$I12),$G12,0))</f>
        <v/>
      </c>
      <c r="V12" s="98">
        <f>IF($H12="",0,IF(AND(V$6&gt;=$H12,V$6&lt;=$I12),$G12,0))</f>
        <v/>
      </c>
      <c r="W12" s="98">
        <f>IF($H12="",0,IF(AND(W$6&gt;=$H12,W$6&lt;=$I12),$G12,0))</f>
        <v/>
      </c>
      <c r="X12" s="98">
        <f>IF($H12="",0,IF(AND(X$6&gt;=$H12,X$6&lt;=$I12),$G12,0))</f>
        <v/>
      </c>
      <c r="Y12" s="98">
        <f>IF($H12="",0,IF(AND(Y$6&gt;=$H12,Y$6&lt;=$I12),$G12,0))</f>
        <v/>
      </c>
      <c r="Z12" s="98">
        <f>IF($H12="",0,IF(AND(Z$6&gt;=$H12,Z$6&lt;=$I12),$G12,0))</f>
        <v/>
      </c>
      <c r="AA12" s="98">
        <f>IF($H12="",0,IF(AND(AA$6&gt;=$H12,AA$6&lt;=$I12),$G12,0))</f>
        <v/>
      </c>
      <c r="AB12" s="98">
        <f>IF($H12="",0,IF(AND(AB$6&gt;=$H12,AB$6&lt;=$I12),$G12,0))</f>
        <v/>
      </c>
      <c r="AC12" s="98">
        <f>IF($H12="",0,IF(AND(AC$6&gt;=$H12,AC$6&lt;=$I12),$G12,0))</f>
        <v/>
      </c>
      <c r="AD12" s="98">
        <f>IF($H12="",0,IF(AND(AD$6&gt;=$H12,AD$6&lt;=$I12),$G12,0))</f>
        <v/>
      </c>
      <c r="AE12" s="98">
        <f>IF($H12="",0,IF(AND(AE$6&gt;=$H12,AE$6&lt;=$I12),$G12,0))</f>
        <v/>
      </c>
      <c r="AF12" s="98">
        <f>IF($H12="",0,IF(AND(AF$6&gt;=$H12,AF$6&lt;=$I12),$G12,0))</f>
        <v/>
      </c>
      <c r="AG12" s="98">
        <f>IF($H12="",0,IF(AND(AG$6&gt;=$H12,AG$6&lt;=$I12),$G12,0))</f>
        <v/>
      </c>
      <c r="AH12" s="98">
        <f>IF($H12="",0,IF(AND(AH$6&gt;=$H12,AH$6&lt;=$I12),$G12,0))</f>
        <v/>
      </c>
      <c r="AI12" s="98">
        <f>IF($H12="",0,IF(AND(AI$6&gt;=$H12,AI$6&lt;=$I12),$G12,0))</f>
        <v/>
      </c>
      <c r="AJ12" s="98">
        <f>IF($H12="",0,IF(AND(AJ$6&gt;=$H12,AJ$6&lt;=$I12),$G12,0))</f>
        <v/>
      </c>
      <c r="AK12" s="98">
        <f>IF($H12="",0,IF(AND(AK$6&gt;=$H12,AK$6&lt;=$I12),$G12,0))</f>
        <v/>
      </c>
      <c r="AL12" s="98">
        <f>IF($H12="",0,IF(AND(AL$6&gt;=$H12,AL$6&lt;=$I12),$G12,0))</f>
        <v/>
      </c>
      <c r="AM12" s="98">
        <f>IF($H12="",0,IF(AND(AM$6&gt;=$H12,AM$6&lt;=$I12),$G12,0))</f>
        <v/>
      </c>
      <c r="AN12" s="98">
        <f>IF($H12="",0,IF(AND(AN$6&gt;=$H12,AN$6&lt;=$I12),$G12,0))</f>
        <v/>
      </c>
      <c r="AO12" s="98">
        <f>IF($H12="",0,IF(AND(AO$6&gt;=$H12,AO$6&lt;=$I12),$G12,0))</f>
        <v/>
      </c>
      <c r="AP12" s="98">
        <f>IF($H12="",0,IF(AND(AP$6&gt;=$H12,AP$6&lt;=$I12),$G12,0))</f>
        <v/>
      </c>
      <c r="AQ12" s="98">
        <f>IF($H12="",0,IF(AND(AQ$6&gt;=$H12,AQ$6&lt;=$I12),$G12,0))</f>
        <v/>
      </c>
      <c r="AR12" s="98">
        <f>IF($H12="",0,IF(AND(AR$6&gt;=$H12,AR$6&lt;=$I12),$G12,0))</f>
        <v/>
      </c>
      <c r="AS12" s="98">
        <f>IF($H12="",0,IF(AND(AS$6&gt;=$H12,AS$6&lt;=$I12),$G12,0))</f>
        <v/>
      </c>
      <c r="AT12" s="98">
        <f>IF($H12="",0,IF(AND(AT$6&gt;=$H12,AT$6&lt;=$I12),$G12,0))</f>
        <v/>
      </c>
      <c r="AU12" s="98">
        <f>IF($H12="",0,IF(AND(AU$6&gt;=$H12,AU$6&lt;=$I12),$G12,0))</f>
        <v/>
      </c>
      <c r="AV12" s="98">
        <f>IF($H12="",0,IF(AND(AV$6&gt;=$H12,AV$6&lt;=$I12),$G12,0))</f>
        <v/>
      </c>
      <c r="AW12" s="98">
        <f>IF($H12="",0,IF(AND(AW$6&gt;=$H12,AW$6&lt;=$I12),$G12,0))</f>
        <v/>
      </c>
      <c r="AX12" s="98">
        <f>IF($H12="",0,IF(AND(AX$6&gt;=$H12,AX$6&lt;=$I12),$G12,0))</f>
        <v/>
      </c>
      <c r="AY12" s="98">
        <f>IF($H12="",0,IF(AND(AY$6&gt;=$H12,AY$6&lt;=$I12),$G12,0))</f>
        <v/>
      </c>
      <c r="AZ12" s="98">
        <f>IF($H12="",0,IF(AND(AZ$6&gt;=$H12,AZ$6&lt;=$I12),$G12,0))</f>
        <v/>
      </c>
      <c r="BA12" s="98">
        <f>IF($H12="",0,IF(AND(BA$6&gt;=$H12,BA$6&lt;=$I12),$G12,0))</f>
        <v/>
      </c>
      <c r="BB12" s="98">
        <f>IF($H12="",0,IF(AND(BB$6&gt;=$H12,BB$6&lt;=$I12),$G12,0))</f>
        <v/>
      </c>
      <c r="BC12" s="98">
        <f>IF($H12="",0,IF(AND(BC$6&gt;=$H12,BC$6&lt;=$I12),$G12,0))</f>
        <v/>
      </c>
      <c r="BD12" s="98">
        <f>IF($H12="",0,IF(AND(BD$6&gt;=$H12,BD$6&lt;=$I12),$G12,0))</f>
        <v/>
      </c>
      <c r="BE12" s="98">
        <f>IF($H12="",0,IF(AND(BE$6&gt;=$H12,BE$6&lt;=$I12),$G12,0))</f>
        <v/>
      </c>
      <c r="BF12" s="98">
        <f>IF($H12="",0,IF(AND(BF$6&gt;=$H12,BF$6&lt;=$I12),$G12,0))</f>
        <v/>
      </c>
      <c r="BG12" s="98">
        <f>IF($H12="",0,IF(AND(BG$6&gt;=$H12,BG$6&lt;=$I12),$G12,0))</f>
        <v/>
      </c>
      <c r="BH12" s="98">
        <f>IF($H12="",0,IF(AND(BH$6&gt;=$H12,BH$6&lt;=$I12),$G12,0))</f>
        <v/>
      </c>
      <c r="BI12" s="98">
        <f>IF($H12="",0,IF(AND(BI$6&gt;=$H12,BI$6&lt;=$I12),$G12,0))</f>
        <v/>
      </c>
      <c r="BJ12" s="98">
        <f>IF($H12="",0,IF(AND(BJ$6&gt;=$H12,BJ$6&lt;=$I12),$G12,0))</f>
        <v/>
      </c>
      <c r="BK12" s="98">
        <f>IF($H12="",0,IF(AND(BK$6&gt;=$H12,BK$6&lt;=$I12),$G12,0))</f>
        <v/>
      </c>
      <c r="BL12" s="98">
        <f>IF($H12="",0,IF(AND(BL$6&gt;=$H12,BL$6&lt;=$I12),$G12,0))</f>
        <v/>
      </c>
      <c r="BM12" s="98">
        <f>IF($H12="",0,IF(AND(BM$6&gt;=$H12,BM$6&lt;=$I12),$G12,0))</f>
        <v/>
      </c>
      <c r="BN12" s="98">
        <f>IF($H12="",0,IF(AND(BN$6&gt;=$H12,BN$6&lt;=$I12),$G12,0))</f>
        <v/>
      </c>
      <c r="BO12" s="98">
        <f>IF($H12="",0,IF(AND(BO$6&gt;=$H12,BO$6&lt;=$I12),$G12,0))</f>
        <v/>
      </c>
      <c r="BP12" s="98">
        <f>IF($H12="",0,IF(AND(BP$6&gt;=$H12,BP$6&lt;=$I12),$G12,0))</f>
        <v/>
      </c>
      <c r="BQ12" s="98">
        <f>IF($H12="",0,IF(AND(BQ$6&gt;=$H12,BQ$6&lt;=$I12),$G12,0))</f>
        <v/>
      </c>
      <c r="BR12" s="98">
        <f>IF($H12="",0,IF(AND(BR$6&gt;=$H12,BR$6&lt;=$I12),$G12,0))</f>
        <v/>
      </c>
      <c r="BS12" s="98">
        <f>IF($H12="",0,IF(AND(BS$6&gt;=$H12,BS$6&lt;=$I12),$G12,0))</f>
        <v/>
      </c>
      <c r="BT12" s="98">
        <f>IF($H12="",0,IF(AND(BT$6&gt;=$H12,BT$6&lt;=$I12),$G12,0))</f>
        <v/>
      </c>
    </row>
    <row r="13">
      <c r="A13" s="74" t="n"/>
      <c r="B13" s="74" t="n"/>
      <c r="C13" s="74" t="n"/>
      <c r="D13" s="73" t="n"/>
      <c r="E13" s="76" t="n"/>
      <c r="F13" s="90" t="n"/>
      <c r="G13" s="84">
        <f>IF(OR($E13="",N($F13)&lt;=0),0,$E13/$F13)</f>
        <v/>
      </c>
      <c r="H13" s="96">
        <f>IF(OR($A13="",$B13="",$D13="",N($F13)&lt;=0),"",IFERROR(IF(DAY($D13)&gt;INDEX(CARTOES_FECHA,MATCH($B13,LISTA_CARTOES,0)),EDATE(DATE(YEAR($D13),MONTH($D13),1),1),DATE(YEAR($D13),MONTH($D13),1)),""))</f>
        <v/>
      </c>
      <c r="I13" s="96">
        <f>IF($H13="","",EDATE($H13,$F13-1))</f>
        <v/>
      </c>
      <c r="J13" s="97">
        <f>IF($H13="",0,MAX(0,MIN($F13,(YEAR($I13)*12+MONTH($I13))-(ANO_SEL*12+MES_SEL))))</f>
        <v/>
      </c>
      <c r="K13" s="84">
        <f>J13*G13</f>
        <v/>
      </c>
      <c r="M13" s="98">
        <f>IF($H13="",0,IF(AND(M$6&gt;=$H13,M$6&lt;=$I13),$G13,0))</f>
        <v/>
      </c>
      <c r="N13" s="98">
        <f>IF($H13="",0,IF(AND(N$6&gt;=$H13,N$6&lt;=$I13),$G13,0))</f>
        <v/>
      </c>
      <c r="O13" s="98">
        <f>IF($H13="",0,IF(AND(O$6&gt;=$H13,O$6&lt;=$I13),$G13,0))</f>
        <v/>
      </c>
      <c r="P13" s="98">
        <f>IF($H13="",0,IF(AND(P$6&gt;=$H13,P$6&lt;=$I13),$G13,0))</f>
        <v/>
      </c>
      <c r="Q13" s="98">
        <f>IF($H13="",0,IF(AND(Q$6&gt;=$H13,Q$6&lt;=$I13),$G13,0))</f>
        <v/>
      </c>
      <c r="R13" s="98">
        <f>IF($H13="",0,IF(AND(R$6&gt;=$H13,R$6&lt;=$I13),$G13,0))</f>
        <v/>
      </c>
      <c r="S13" s="98">
        <f>IF($H13="",0,IF(AND(S$6&gt;=$H13,S$6&lt;=$I13),$G13,0))</f>
        <v/>
      </c>
      <c r="T13" s="98">
        <f>IF($H13="",0,IF(AND(T$6&gt;=$H13,T$6&lt;=$I13),$G13,0))</f>
        <v/>
      </c>
      <c r="U13" s="98">
        <f>IF($H13="",0,IF(AND(U$6&gt;=$H13,U$6&lt;=$I13),$G13,0))</f>
        <v/>
      </c>
      <c r="V13" s="98">
        <f>IF($H13="",0,IF(AND(V$6&gt;=$H13,V$6&lt;=$I13),$G13,0))</f>
        <v/>
      </c>
      <c r="W13" s="98">
        <f>IF($H13="",0,IF(AND(W$6&gt;=$H13,W$6&lt;=$I13),$G13,0))</f>
        <v/>
      </c>
      <c r="X13" s="98">
        <f>IF($H13="",0,IF(AND(X$6&gt;=$H13,X$6&lt;=$I13),$G13,0))</f>
        <v/>
      </c>
      <c r="Y13" s="98">
        <f>IF($H13="",0,IF(AND(Y$6&gt;=$H13,Y$6&lt;=$I13),$G13,0))</f>
        <v/>
      </c>
      <c r="Z13" s="98">
        <f>IF($H13="",0,IF(AND(Z$6&gt;=$H13,Z$6&lt;=$I13),$G13,0))</f>
        <v/>
      </c>
      <c r="AA13" s="98">
        <f>IF($H13="",0,IF(AND(AA$6&gt;=$H13,AA$6&lt;=$I13),$G13,0))</f>
        <v/>
      </c>
      <c r="AB13" s="98">
        <f>IF($H13="",0,IF(AND(AB$6&gt;=$H13,AB$6&lt;=$I13),$G13,0))</f>
        <v/>
      </c>
      <c r="AC13" s="98">
        <f>IF($H13="",0,IF(AND(AC$6&gt;=$H13,AC$6&lt;=$I13),$G13,0))</f>
        <v/>
      </c>
      <c r="AD13" s="98">
        <f>IF($H13="",0,IF(AND(AD$6&gt;=$H13,AD$6&lt;=$I13),$G13,0))</f>
        <v/>
      </c>
      <c r="AE13" s="98">
        <f>IF($H13="",0,IF(AND(AE$6&gt;=$H13,AE$6&lt;=$I13),$G13,0))</f>
        <v/>
      </c>
      <c r="AF13" s="98">
        <f>IF($H13="",0,IF(AND(AF$6&gt;=$H13,AF$6&lt;=$I13),$G13,0))</f>
        <v/>
      </c>
      <c r="AG13" s="98">
        <f>IF($H13="",0,IF(AND(AG$6&gt;=$H13,AG$6&lt;=$I13),$G13,0))</f>
        <v/>
      </c>
      <c r="AH13" s="98">
        <f>IF($H13="",0,IF(AND(AH$6&gt;=$H13,AH$6&lt;=$I13),$G13,0))</f>
        <v/>
      </c>
      <c r="AI13" s="98">
        <f>IF($H13="",0,IF(AND(AI$6&gt;=$H13,AI$6&lt;=$I13),$G13,0))</f>
        <v/>
      </c>
      <c r="AJ13" s="98">
        <f>IF($H13="",0,IF(AND(AJ$6&gt;=$H13,AJ$6&lt;=$I13),$G13,0))</f>
        <v/>
      </c>
      <c r="AK13" s="98">
        <f>IF($H13="",0,IF(AND(AK$6&gt;=$H13,AK$6&lt;=$I13),$G13,0))</f>
        <v/>
      </c>
      <c r="AL13" s="98">
        <f>IF($H13="",0,IF(AND(AL$6&gt;=$H13,AL$6&lt;=$I13),$G13,0))</f>
        <v/>
      </c>
      <c r="AM13" s="98">
        <f>IF($H13="",0,IF(AND(AM$6&gt;=$H13,AM$6&lt;=$I13),$G13,0))</f>
        <v/>
      </c>
      <c r="AN13" s="98">
        <f>IF($H13="",0,IF(AND(AN$6&gt;=$H13,AN$6&lt;=$I13),$G13,0))</f>
        <v/>
      </c>
      <c r="AO13" s="98">
        <f>IF($H13="",0,IF(AND(AO$6&gt;=$H13,AO$6&lt;=$I13),$G13,0))</f>
        <v/>
      </c>
      <c r="AP13" s="98">
        <f>IF($H13="",0,IF(AND(AP$6&gt;=$H13,AP$6&lt;=$I13),$G13,0))</f>
        <v/>
      </c>
      <c r="AQ13" s="98">
        <f>IF($H13="",0,IF(AND(AQ$6&gt;=$H13,AQ$6&lt;=$I13),$G13,0))</f>
        <v/>
      </c>
      <c r="AR13" s="98">
        <f>IF($H13="",0,IF(AND(AR$6&gt;=$H13,AR$6&lt;=$I13),$G13,0))</f>
        <v/>
      </c>
      <c r="AS13" s="98">
        <f>IF($H13="",0,IF(AND(AS$6&gt;=$H13,AS$6&lt;=$I13),$G13,0))</f>
        <v/>
      </c>
      <c r="AT13" s="98">
        <f>IF($H13="",0,IF(AND(AT$6&gt;=$H13,AT$6&lt;=$I13),$G13,0))</f>
        <v/>
      </c>
      <c r="AU13" s="98">
        <f>IF($H13="",0,IF(AND(AU$6&gt;=$H13,AU$6&lt;=$I13),$G13,0))</f>
        <v/>
      </c>
      <c r="AV13" s="98">
        <f>IF($H13="",0,IF(AND(AV$6&gt;=$H13,AV$6&lt;=$I13),$G13,0))</f>
        <v/>
      </c>
      <c r="AW13" s="98">
        <f>IF($H13="",0,IF(AND(AW$6&gt;=$H13,AW$6&lt;=$I13),$G13,0))</f>
        <v/>
      </c>
      <c r="AX13" s="98">
        <f>IF($H13="",0,IF(AND(AX$6&gt;=$H13,AX$6&lt;=$I13),$G13,0))</f>
        <v/>
      </c>
      <c r="AY13" s="98">
        <f>IF($H13="",0,IF(AND(AY$6&gt;=$H13,AY$6&lt;=$I13),$G13,0))</f>
        <v/>
      </c>
      <c r="AZ13" s="98">
        <f>IF($H13="",0,IF(AND(AZ$6&gt;=$H13,AZ$6&lt;=$I13),$G13,0))</f>
        <v/>
      </c>
      <c r="BA13" s="98">
        <f>IF($H13="",0,IF(AND(BA$6&gt;=$H13,BA$6&lt;=$I13),$G13,0))</f>
        <v/>
      </c>
      <c r="BB13" s="98">
        <f>IF($H13="",0,IF(AND(BB$6&gt;=$H13,BB$6&lt;=$I13),$G13,0))</f>
        <v/>
      </c>
      <c r="BC13" s="98">
        <f>IF($H13="",0,IF(AND(BC$6&gt;=$H13,BC$6&lt;=$I13),$G13,0))</f>
        <v/>
      </c>
      <c r="BD13" s="98">
        <f>IF($H13="",0,IF(AND(BD$6&gt;=$H13,BD$6&lt;=$I13),$G13,0))</f>
        <v/>
      </c>
      <c r="BE13" s="98">
        <f>IF($H13="",0,IF(AND(BE$6&gt;=$H13,BE$6&lt;=$I13),$G13,0))</f>
        <v/>
      </c>
      <c r="BF13" s="98">
        <f>IF($H13="",0,IF(AND(BF$6&gt;=$H13,BF$6&lt;=$I13),$G13,0))</f>
        <v/>
      </c>
      <c r="BG13" s="98">
        <f>IF($H13="",0,IF(AND(BG$6&gt;=$H13,BG$6&lt;=$I13),$G13,0))</f>
        <v/>
      </c>
      <c r="BH13" s="98">
        <f>IF($H13="",0,IF(AND(BH$6&gt;=$H13,BH$6&lt;=$I13),$G13,0))</f>
        <v/>
      </c>
      <c r="BI13" s="98">
        <f>IF($H13="",0,IF(AND(BI$6&gt;=$H13,BI$6&lt;=$I13),$G13,0))</f>
        <v/>
      </c>
      <c r="BJ13" s="98">
        <f>IF($H13="",0,IF(AND(BJ$6&gt;=$H13,BJ$6&lt;=$I13),$G13,0))</f>
        <v/>
      </c>
      <c r="BK13" s="98">
        <f>IF($H13="",0,IF(AND(BK$6&gt;=$H13,BK$6&lt;=$I13),$G13,0))</f>
        <v/>
      </c>
      <c r="BL13" s="98">
        <f>IF($H13="",0,IF(AND(BL$6&gt;=$H13,BL$6&lt;=$I13),$G13,0))</f>
        <v/>
      </c>
      <c r="BM13" s="98">
        <f>IF($H13="",0,IF(AND(BM$6&gt;=$H13,BM$6&lt;=$I13),$G13,0))</f>
        <v/>
      </c>
      <c r="BN13" s="98">
        <f>IF($H13="",0,IF(AND(BN$6&gt;=$H13,BN$6&lt;=$I13),$G13,0))</f>
        <v/>
      </c>
      <c r="BO13" s="98">
        <f>IF($H13="",0,IF(AND(BO$6&gt;=$H13,BO$6&lt;=$I13),$G13,0))</f>
        <v/>
      </c>
      <c r="BP13" s="98">
        <f>IF($H13="",0,IF(AND(BP$6&gt;=$H13,BP$6&lt;=$I13),$G13,0))</f>
        <v/>
      </c>
      <c r="BQ13" s="98">
        <f>IF($H13="",0,IF(AND(BQ$6&gt;=$H13,BQ$6&lt;=$I13),$G13,0))</f>
        <v/>
      </c>
      <c r="BR13" s="98">
        <f>IF($H13="",0,IF(AND(BR$6&gt;=$H13,BR$6&lt;=$I13),$G13,0))</f>
        <v/>
      </c>
      <c r="BS13" s="98">
        <f>IF($H13="",0,IF(AND(BS$6&gt;=$H13,BS$6&lt;=$I13),$G13,0))</f>
        <v/>
      </c>
      <c r="BT13" s="98">
        <f>IF($H13="",0,IF(AND(BT$6&gt;=$H13,BT$6&lt;=$I13),$G13,0))</f>
        <v/>
      </c>
    </row>
    <row r="14">
      <c r="A14" s="74" t="n"/>
      <c r="B14" s="74" t="n"/>
      <c r="C14" s="74" t="n"/>
      <c r="D14" s="73" t="n"/>
      <c r="E14" s="76" t="n"/>
      <c r="F14" s="90" t="n"/>
      <c r="G14" s="84">
        <f>IF(OR($E14="",N($F14)&lt;=0),0,$E14/$F14)</f>
        <v/>
      </c>
      <c r="H14" s="96">
        <f>IF(OR($A14="",$B14="",$D14="",N($F14)&lt;=0),"",IFERROR(IF(DAY($D14)&gt;INDEX(CARTOES_FECHA,MATCH($B14,LISTA_CARTOES,0)),EDATE(DATE(YEAR($D14),MONTH($D14),1),1),DATE(YEAR($D14),MONTH($D14),1)),""))</f>
        <v/>
      </c>
      <c r="I14" s="96">
        <f>IF($H14="","",EDATE($H14,$F14-1))</f>
        <v/>
      </c>
      <c r="J14" s="97">
        <f>IF($H14="",0,MAX(0,MIN($F14,(YEAR($I14)*12+MONTH($I14))-(ANO_SEL*12+MES_SEL))))</f>
        <v/>
      </c>
      <c r="K14" s="84">
        <f>J14*G14</f>
        <v/>
      </c>
      <c r="M14" s="98">
        <f>IF($H14="",0,IF(AND(M$6&gt;=$H14,M$6&lt;=$I14),$G14,0))</f>
        <v/>
      </c>
      <c r="N14" s="98">
        <f>IF($H14="",0,IF(AND(N$6&gt;=$H14,N$6&lt;=$I14),$G14,0))</f>
        <v/>
      </c>
      <c r="O14" s="98">
        <f>IF($H14="",0,IF(AND(O$6&gt;=$H14,O$6&lt;=$I14),$G14,0))</f>
        <v/>
      </c>
      <c r="P14" s="98">
        <f>IF($H14="",0,IF(AND(P$6&gt;=$H14,P$6&lt;=$I14),$G14,0))</f>
        <v/>
      </c>
      <c r="Q14" s="98">
        <f>IF($H14="",0,IF(AND(Q$6&gt;=$H14,Q$6&lt;=$I14),$G14,0))</f>
        <v/>
      </c>
      <c r="R14" s="98">
        <f>IF($H14="",0,IF(AND(R$6&gt;=$H14,R$6&lt;=$I14),$G14,0))</f>
        <v/>
      </c>
      <c r="S14" s="98">
        <f>IF($H14="",0,IF(AND(S$6&gt;=$H14,S$6&lt;=$I14),$G14,0))</f>
        <v/>
      </c>
      <c r="T14" s="98">
        <f>IF($H14="",0,IF(AND(T$6&gt;=$H14,T$6&lt;=$I14),$G14,0))</f>
        <v/>
      </c>
      <c r="U14" s="98">
        <f>IF($H14="",0,IF(AND(U$6&gt;=$H14,U$6&lt;=$I14),$G14,0))</f>
        <v/>
      </c>
      <c r="V14" s="98">
        <f>IF($H14="",0,IF(AND(V$6&gt;=$H14,V$6&lt;=$I14),$G14,0))</f>
        <v/>
      </c>
      <c r="W14" s="98">
        <f>IF($H14="",0,IF(AND(W$6&gt;=$H14,W$6&lt;=$I14),$G14,0))</f>
        <v/>
      </c>
      <c r="X14" s="98">
        <f>IF($H14="",0,IF(AND(X$6&gt;=$H14,X$6&lt;=$I14),$G14,0))</f>
        <v/>
      </c>
      <c r="Y14" s="98">
        <f>IF($H14="",0,IF(AND(Y$6&gt;=$H14,Y$6&lt;=$I14),$G14,0))</f>
        <v/>
      </c>
      <c r="Z14" s="98">
        <f>IF($H14="",0,IF(AND(Z$6&gt;=$H14,Z$6&lt;=$I14),$G14,0))</f>
        <v/>
      </c>
      <c r="AA14" s="98">
        <f>IF($H14="",0,IF(AND(AA$6&gt;=$H14,AA$6&lt;=$I14),$G14,0))</f>
        <v/>
      </c>
      <c r="AB14" s="98">
        <f>IF($H14="",0,IF(AND(AB$6&gt;=$H14,AB$6&lt;=$I14),$G14,0))</f>
        <v/>
      </c>
      <c r="AC14" s="98">
        <f>IF($H14="",0,IF(AND(AC$6&gt;=$H14,AC$6&lt;=$I14),$G14,0))</f>
        <v/>
      </c>
      <c r="AD14" s="98">
        <f>IF($H14="",0,IF(AND(AD$6&gt;=$H14,AD$6&lt;=$I14),$G14,0))</f>
        <v/>
      </c>
      <c r="AE14" s="98">
        <f>IF($H14="",0,IF(AND(AE$6&gt;=$H14,AE$6&lt;=$I14),$G14,0))</f>
        <v/>
      </c>
      <c r="AF14" s="98">
        <f>IF($H14="",0,IF(AND(AF$6&gt;=$H14,AF$6&lt;=$I14),$G14,0))</f>
        <v/>
      </c>
      <c r="AG14" s="98">
        <f>IF($H14="",0,IF(AND(AG$6&gt;=$H14,AG$6&lt;=$I14),$G14,0))</f>
        <v/>
      </c>
      <c r="AH14" s="98">
        <f>IF($H14="",0,IF(AND(AH$6&gt;=$H14,AH$6&lt;=$I14),$G14,0))</f>
        <v/>
      </c>
      <c r="AI14" s="98">
        <f>IF($H14="",0,IF(AND(AI$6&gt;=$H14,AI$6&lt;=$I14),$G14,0))</f>
        <v/>
      </c>
      <c r="AJ14" s="98">
        <f>IF($H14="",0,IF(AND(AJ$6&gt;=$H14,AJ$6&lt;=$I14),$G14,0))</f>
        <v/>
      </c>
      <c r="AK14" s="98">
        <f>IF($H14="",0,IF(AND(AK$6&gt;=$H14,AK$6&lt;=$I14),$G14,0))</f>
        <v/>
      </c>
      <c r="AL14" s="98">
        <f>IF($H14="",0,IF(AND(AL$6&gt;=$H14,AL$6&lt;=$I14),$G14,0))</f>
        <v/>
      </c>
      <c r="AM14" s="98">
        <f>IF($H14="",0,IF(AND(AM$6&gt;=$H14,AM$6&lt;=$I14),$G14,0))</f>
        <v/>
      </c>
      <c r="AN14" s="98">
        <f>IF($H14="",0,IF(AND(AN$6&gt;=$H14,AN$6&lt;=$I14),$G14,0))</f>
        <v/>
      </c>
      <c r="AO14" s="98">
        <f>IF($H14="",0,IF(AND(AO$6&gt;=$H14,AO$6&lt;=$I14),$G14,0))</f>
        <v/>
      </c>
      <c r="AP14" s="98">
        <f>IF($H14="",0,IF(AND(AP$6&gt;=$H14,AP$6&lt;=$I14),$G14,0))</f>
        <v/>
      </c>
      <c r="AQ14" s="98">
        <f>IF($H14="",0,IF(AND(AQ$6&gt;=$H14,AQ$6&lt;=$I14),$G14,0))</f>
        <v/>
      </c>
      <c r="AR14" s="98">
        <f>IF($H14="",0,IF(AND(AR$6&gt;=$H14,AR$6&lt;=$I14),$G14,0))</f>
        <v/>
      </c>
      <c r="AS14" s="98">
        <f>IF($H14="",0,IF(AND(AS$6&gt;=$H14,AS$6&lt;=$I14),$G14,0))</f>
        <v/>
      </c>
      <c r="AT14" s="98">
        <f>IF($H14="",0,IF(AND(AT$6&gt;=$H14,AT$6&lt;=$I14),$G14,0))</f>
        <v/>
      </c>
      <c r="AU14" s="98">
        <f>IF($H14="",0,IF(AND(AU$6&gt;=$H14,AU$6&lt;=$I14),$G14,0))</f>
        <v/>
      </c>
      <c r="AV14" s="98">
        <f>IF($H14="",0,IF(AND(AV$6&gt;=$H14,AV$6&lt;=$I14),$G14,0))</f>
        <v/>
      </c>
      <c r="AW14" s="98">
        <f>IF($H14="",0,IF(AND(AW$6&gt;=$H14,AW$6&lt;=$I14),$G14,0))</f>
        <v/>
      </c>
      <c r="AX14" s="98">
        <f>IF($H14="",0,IF(AND(AX$6&gt;=$H14,AX$6&lt;=$I14),$G14,0))</f>
        <v/>
      </c>
      <c r="AY14" s="98">
        <f>IF($H14="",0,IF(AND(AY$6&gt;=$H14,AY$6&lt;=$I14),$G14,0))</f>
        <v/>
      </c>
      <c r="AZ14" s="98">
        <f>IF($H14="",0,IF(AND(AZ$6&gt;=$H14,AZ$6&lt;=$I14),$G14,0))</f>
        <v/>
      </c>
      <c r="BA14" s="98">
        <f>IF($H14="",0,IF(AND(BA$6&gt;=$H14,BA$6&lt;=$I14),$G14,0))</f>
        <v/>
      </c>
      <c r="BB14" s="98">
        <f>IF($H14="",0,IF(AND(BB$6&gt;=$H14,BB$6&lt;=$I14),$G14,0))</f>
        <v/>
      </c>
      <c r="BC14" s="98">
        <f>IF($H14="",0,IF(AND(BC$6&gt;=$H14,BC$6&lt;=$I14),$G14,0))</f>
        <v/>
      </c>
      <c r="BD14" s="98">
        <f>IF($H14="",0,IF(AND(BD$6&gt;=$H14,BD$6&lt;=$I14),$G14,0))</f>
        <v/>
      </c>
      <c r="BE14" s="98">
        <f>IF($H14="",0,IF(AND(BE$6&gt;=$H14,BE$6&lt;=$I14),$G14,0))</f>
        <v/>
      </c>
      <c r="BF14" s="98">
        <f>IF($H14="",0,IF(AND(BF$6&gt;=$H14,BF$6&lt;=$I14),$G14,0))</f>
        <v/>
      </c>
      <c r="BG14" s="98">
        <f>IF($H14="",0,IF(AND(BG$6&gt;=$H14,BG$6&lt;=$I14),$G14,0))</f>
        <v/>
      </c>
      <c r="BH14" s="98">
        <f>IF($H14="",0,IF(AND(BH$6&gt;=$H14,BH$6&lt;=$I14),$G14,0))</f>
        <v/>
      </c>
      <c r="BI14" s="98">
        <f>IF($H14="",0,IF(AND(BI$6&gt;=$H14,BI$6&lt;=$I14),$G14,0))</f>
        <v/>
      </c>
      <c r="BJ14" s="98">
        <f>IF($H14="",0,IF(AND(BJ$6&gt;=$H14,BJ$6&lt;=$I14),$G14,0))</f>
        <v/>
      </c>
      <c r="BK14" s="98">
        <f>IF($H14="",0,IF(AND(BK$6&gt;=$H14,BK$6&lt;=$I14),$G14,0))</f>
        <v/>
      </c>
      <c r="BL14" s="98">
        <f>IF($H14="",0,IF(AND(BL$6&gt;=$H14,BL$6&lt;=$I14),$G14,0))</f>
        <v/>
      </c>
      <c r="BM14" s="98">
        <f>IF($H14="",0,IF(AND(BM$6&gt;=$H14,BM$6&lt;=$I14),$G14,0))</f>
        <v/>
      </c>
      <c r="BN14" s="98">
        <f>IF($H14="",0,IF(AND(BN$6&gt;=$H14,BN$6&lt;=$I14),$G14,0))</f>
        <v/>
      </c>
      <c r="BO14" s="98">
        <f>IF($H14="",0,IF(AND(BO$6&gt;=$H14,BO$6&lt;=$I14),$G14,0))</f>
        <v/>
      </c>
      <c r="BP14" s="98">
        <f>IF($H14="",0,IF(AND(BP$6&gt;=$H14,BP$6&lt;=$I14),$G14,0))</f>
        <v/>
      </c>
      <c r="BQ14" s="98">
        <f>IF($H14="",0,IF(AND(BQ$6&gt;=$H14,BQ$6&lt;=$I14),$G14,0))</f>
        <v/>
      </c>
      <c r="BR14" s="98">
        <f>IF($H14="",0,IF(AND(BR$6&gt;=$H14,BR$6&lt;=$I14),$G14,0))</f>
        <v/>
      </c>
      <c r="BS14" s="98">
        <f>IF($H14="",0,IF(AND(BS$6&gt;=$H14,BS$6&lt;=$I14),$G14,0))</f>
        <v/>
      </c>
      <c r="BT14" s="98">
        <f>IF($H14="",0,IF(AND(BT$6&gt;=$H14,BT$6&lt;=$I14),$G14,0))</f>
        <v/>
      </c>
    </row>
    <row r="15">
      <c r="A15" s="74" t="n"/>
      <c r="B15" s="74" t="n"/>
      <c r="C15" s="74" t="n"/>
      <c r="D15" s="73" t="n"/>
      <c r="E15" s="76" t="n"/>
      <c r="F15" s="90" t="n"/>
      <c r="G15" s="84">
        <f>IF(OR($E15="",N($F15)&lt;=0),0,$E15/$F15)</f>
        <v/>
      </c>
      <c r="H15" s="96">
        <f>IF(OR($A15="",$B15="",$D15="",N($F15)&lt;=0),"",IFERROR(IF(DAY($D15)&gt;INDEX(CARTOES_FECHA,MATCH($B15,LISTA_CARTOES,0)),EDATE(DATE(YEAR($D15),MONTH($D15),1),1),DATE(YEAR($D15),MONTH($D15),1)),""))</f>
        <v/>
      </c>
      <c r="I15" s="96">
        <f>IF($H15="","",EDATE($H15,$F15-1))</f>
        <v/>
      </c>
      <c r="J15" s="97">
        <f>IF($H15="",0,MAX(0,MIN($F15,(YEAR($I15)*12+MONTH($I15))-(ANO_SEL*12+MES_SEL))))</f>
        <v/>
      </c>
      <c r="K15" s="84">
        <f>J15*G15</f>
        <v/>
      </c>
      <c r="M15" s="98">
        <f>IF($H15="",0,IF(AND(M$6&gt;=$H15,M$6&lt;=$I15),$G15,0))</f>
        <v/>
      </c>
      <c r="N15" s="98">
        <f>IF($H15="",0,IF(AND(N$6&gt;=$H15,N$6&lt;=$I15),$G15,0))</f>
        <v/>
      </c>
      <c r="O15" s="98">
        <f>IF($H15="",0,IF(AND(O$6&gt;=$H15,O$6&lt;=$I15),$G15,0))</f>
        <v/>
      </c>
      <c r="P15" s="98">
        <f>IF($H15="",0,IF(AND(P$6&gt;=$H15,P$6&lt;=$I15),$G15,0))</f>
        <v/>
      </c>
      <c r="Q15" s="98">
        <f>IF($H15="",0,IF(AND(Q$6&gt;=$H15,Q$6&lt;=$I15),$G15,0))</f>
        <v/>
      </c>
      <c r="R15" s="98">
        <f>IF($H15="",0,IF(AND(R$6&gt;=$H15,R$6&lt;=$I15),$G15,0))</f>
        <v/>
      </c>
      <c r="S15" s="98">
        <f>IF($H15="",0,IF(AND(S$6&gt;=$H15,S$6&lt;=$I15),$G15,0))</f>
        <v/>
      </c>
      <c r="T15" s="98">
        <f>IF($H15="",0,IF(AND(T$6&gt;=$H15,T$6&lt;=$I15),$G15,0))</f>
        <v/>
      </c>
      <c r="U15" s="98">
        <f>IF($H15="",0,IF(AND(U$6&gt;=$H15,U$6&lt;=$I15),$G15,0))</f>
        <v/>
      </c>
      <c r="V15" s="98">
        <f>IF($H15="",0,IF(AND(V$6&gt;=$H15,V$6&lt;=$I15),$G15,0))</f>
        <v/>
      </c>
      <c r="W15" s="98">
        <f>IF($H15="",0,IF(AND(W$6&gt;=$H15,W$6&lt;=$I15),$G15,0))</f>
        <v/>
      </c>
      <c r="X15" s="98">
        <f>IF($H15="",0,IF(AND(X$6&gt;=$H15,X$6&lt;=$I15),$G15,0))</f>
        <v/>
      </c>
      <c r="Y15" s="98">
        <f>IF($H15="",0,IF(AND(Y$6&gt;=$H15,Y$6&lt;=$I15),$G15,0))</f>
        <v/>
      </c>
      <c r="Z15" s="98">
        <f>IF($H15="",0,IF(AND(Z$6&gt;=$H15,Z$6&lt;=$I15),$G15,0))</f>
        <v/>
      </c>
      <c r="AA15" s="98">
        <f>IF($H15="",0,IF(AND(AA$6&gt;=$H15,AA$6&lt;=$I15),$G15,0))</f>
        <v/>
      </c>
      <c r="AB15" s="98">
        <f>IF($H15="",0,IF(AND(AB$6&gt;=$H15,AB$6&lt;=$I15),$G15,0))</f>
        <v/>
      </c>
      <c r="AC15" s="98">
        <f>IF($H15="",0,IF(AND(AC$6&gt;=$H15,AC$6&lt;=$I15),$G15,0))</f>
        <v/>
      </c>
      <c r="AD15" s="98">
        <f>IF($H15="",0,IF(AND(AD$6&gt;=$H15,AD$6&lt;=$I15),$G15,0))</f>
        <v/>
      </c>
      <c r="AE15" s="98">
        <f>IF($H15="",0,IF(AND(AE$6&gt;=$H15,AE$6&lt;=$I15),$G15,0))</f>
        <v/>
      </c>
      <c r="AF15" s="98">
        <f>IF($H15="",0,IF(AND(AF$6&gt;=$H15,AF$6&lt;=$I15),$G15,0))</f>
        <v/>
      </c>
      <c r="AG15" s="98">
        <f>IF($H15="",0,IF(AND(AG$6&gt;=$H15,AG$6&lt;=$I15),$G15,0))</f>
        <v/>
      </c>
      <c r="AH15" s="98">
        <f>IF($H15="",0,IF(AND(AH$6&gt;=$H15,AH$6&lt;=$I15),$G15,0))</f>
        <v/>
      </c>
      <c r="AI15" s="98">
        <f>IF($H15="",0,IF(AND(AI$6&gt;=$H15,AI$6&lt;=$I15),$G15,0))</f>
        <v/>
      </c>
      <c r="AJ15" s="98">
        <f>IF($H15="",0,IF(AND(AJ$6&gt;=$H15,AJ$6&lt;=$I15),$G15,0))</f>
        <v/>
      </c>
      <c r="AK15" s="98">
        <f>IF($H15="",0,IF(AND(AK$6&gt;=$H15,AK$6&lt;=$I15),$G15,0))</f>
        <v/>
      </c>
      <c r="AL15" s="98">
        <f>IF($H15="",0,IF(AND(AL$6&gt;=$H15,AL$6&lt;=$I15),$G15,0))</f>
        <v/>
      </c>
      <c r="AM15" s="98">
        <f>IF($H15="",0,IF(AND(AM$6&gt;=$H15,AM$6&lt;=$I15),$G15,0))</f>
        <v/>
      </c>
      <c r="AN15" s="98">
        <f>IF($H15="",0,IF(AND(AN$6&gt;=$H15,AN$6&lt;=$I15),$G15,0))</f>
        <v/>
      </c>
      <c r="AO15" s="98">
        <f>IF($H15="",0,IF(AND(AO$6&gt;=$H15,AO$6&lt;=$I15),$G15,0))</f>
        <v/>
      </c>
      <c r="AP15" s="98">
        <f>IF($H15="",0,IF(AND(AP$6&gt;=$H15,AP$6&lt;=$I15),$G15,0))</f>
        <v/>
      </c>
      <c r="AQ15" s="98">
        <f>IF($H15="",0,IF(AND(AQ$6&gt;=$H15,AQ$6&lt;=$I15),$G15,0))</f>
        <v/>
      </c>
      <c r="AR15" s="98">
        <f>IF($H15="",0,IF(AND(AR$6&gt;=$H15,AR$6&lt;=$I15),$G15,0))</f>
        <v/>
      </c>
      <c r="AS15" s="98">
        <f>IF($H15="",0,IF(AND(AS$6&gt;=$H15,AS$6&lt;=$I15),$G15,0))</f>
        <v/>
      </c>
      <c r="AT15" s="98">
        <f>IF($H15="",0,IF(AND(AT$6&gt;=$H15,AT$6&lt;=$I15),$G15,0))</f>
        <v/>
      </c>
      <c r="AU15" s="98">
        <f>IF($H15="",0,IF(AND(AU$6&gt;=$H15,AU$6&lt;=$I15),$G15,0))</f>
        <v/>
      </c>
      <c r="AV15" s="98">
        <f>IF($H15="",0,IF(AND(AV$6&gt;=$H15,AV$6&lt;=$I15),$G15,0))</f>
        <v/>
      </c>
      <c r="AW15" s="98">
        <f>IF($H15="",0,IF(AND(AW$6&gt;=$H15,AW$6&lt;=$I15),$G15,0))</f>
        <v/>
      </c>
      <c r="AX15" s="98">
        <f>IF($H15="",0,IF(AND(AX$6&gt;=$H15,AX$6&lt;=$I15),$G15,0))</f>
        <v/>
      </c>
      <c r="AY15" s="98">
        <f>IF($H15="",0,IF(AND(AY$6&gt;=$H15,AY$6&lt;=$I15),$G15,0))</f>
        <v/>
      </c>
      <c r="AZ15" s="98">
        <f>IF($H15="",0,IF(AND(AZ$6&gt;=$H15,AZ$6&lt;=$I15),$G15,0))</f>
        <v/>
      </c>
      <c r="BA15" s="98">
        <f>IF($H15="",0,IF(AND(BA$6&gt;=$H15,BA$6&lt;=$I15),$G15,0))</f>
        <v/>
      </c>
      <c r="BB15" s="98">
        <f>IF($H15="",0,IF(AND(BB$6&gt;=$H15,BB$6&lt;=$I15),$G15,0))</f>
        <v/>
      </c>
      <c r="BC15" s="98">
        <f>IF($H15="",0,IF(AND(BC$6&gt;=$H15,BC$6&lt;=$I15),$G15,0))</f>
        <v/>
      </c>
      <c r="BD15" s="98">
        <f>IF($H15="",0,IF(AND(BD$6&gt;=$H15,BD$6&lt;=$I15),$G15,0))</f>
        <v/>
      </c>
      <c r="BE15" s="98">
        <f>IF($H15="",0,IF(AND(BE$6&gt;=$H15,BE$6&lt;=$I15),$G15,0))</f>
        <v/>
      </c>
      <c r="BF15" s="98">
        <f>IF($H15="",0,IF(AND(BF$6&gt;=$H15,BF$6&lt;=$I15),$G15,0))</f>
        <v/>
      </c>
      <c r="BG15" s="98">
        <f>IF($H15="",0,IF(AND(BG$6&gt;=$H15,BG$6&lt;=$I15),$G15,0))</f>
        <v/>
      </c>
      <c r="BH15" s="98">
        <f>IF($H15="",0,IF(AND(BH$6&gt;=$H15,BH$6&lt;=$I15),$G15,0))</f>
        <v/>
      </c>
      <c r="BI15" s="98">
        <f>IF($H15="",0,IF(AND(BI$6&gt;=$H15,BI$6&lt;=$I15),$G15,0))</f>
        <v/>
      </c>
      <c r="BJ15" s="98">
        <f>IF($H15="",0,IF(AND(BJ$6&gt;=$H15,BJ$6&lt;=$I15),$G15,0))</f>
        <v/>
      </c>
      <c r="BK15" s="98">
        <f>IF($H15="",0,IF(AND(BK$6&gt;=$H15,BK$6&lt;=$I15),$G15,0))</f>
        <v/>
      </c>
      <c r="BL15" s="98">
        <f>IF($H15="",0,IF(AND(BL$6&gt;=$H15,BL$6&lt;=$I15),$G15,0))</f>
        <v/>
      </c>
      <c r="BM15" s="98">
        <f>IF($H15="",0,IF(AND(BM$6&gt;=$H15,BM$6&lt;=$I15),$G15,0))</f>
        <v/>
      </c>
      <c r="BN15" s="98">
        <f>IF($H15="",0,IF(AND(BN$6&gt;=$H15,BN$6&lt;=$I15),$G15,0))</f>
        <v/>
      </c>
      <c r="BO15" s="98">
        <f>IF($H15="",0,IF(AND(BO$6&gt;=$H15,BO$6&lt;=$I15),$G15,0))</f>
        <v/>
      </c>
      <c r="BP15" s="98">
        <f>IF($H15="",0,IF(AND(BP$6&gt;=$H15,BP$6&lt;=$I15),$G15,0))</f>
        <v/>
      </c>
      <c r="BQ15" s="98">
        <f>IF($H15="",0,IF(AND(BQ$6&gt;=$H15,BQ$6&lt;=$I15),$G15,0))</f>
        <v/>
      </c>
      <c r="BR15" s="98">
        <f>IF($H15="",0,IF(AND(BR$6&gt;=$H15,BR$6&lt;=$I15),$G15,0))</f>
        <v/>
      </c>
      <c r="BS15" s="98">
        <f>IF($H15="",0,IF(AND(BS$6&gt;=$H15,BS$6&lt;=$I15),$G15,0))</f>
        <v/>
      </c>
      <c r="BT15" s="98">
        <f>IF($H15="",0,IF(AND(BT$6&gt;=$H15,BT$6&lt;=$I15),$G15,0))</f>
        <v/>
      </c>
    </row>
    <row r="16">
      <c r="A16" s="74" t="n"/>
      <c r="B16" s="74" t="n"/>
      <c r="C16" s="74" t="n"/>
      <c r="D16" s="73" t="n"/>
      <c r="E16" s="76" t="n"/>
      <c r="F16" s="90" t="n"/>
      <c r="G16" s="84">
        <f>IF(OR($E16="",N($F16)&lt;=0),0,$E16/$F16)</f>
        <v/>
      </c>
      <c r="H16" s="96">
        <f>IF(OR($A16="",$B16="",$D16="",N($F16)&lt;=0),"",IFERROR(IF(DAY($D16)&gt;INDEX(CARTOES_FECHA,MATCH($B16,LISTA_CARTOES,0)),EDATE(DATE(YEAR($D16),MONTH($D16),1),1),DATE(YEAR($D16),MONTH($D16),1)),""))</f>
        <v/>
      </c>
      <c r="I16" s="96">
        <f>IF($H16="","",EDATE($H16,$F16-1))</f>
        <v/>
      </c>
      <c r="J16" s="97">
        <f>IF($H16="",0,MAX(0,MIN($F16,(YEAR($I16)*12+MONTH($I16))-(ANO_SEL*12+MES_SEL))))</f>
        <v/>
      </c>
      <c r="K16" s="84">
        <f>J16*G16</f>
        <v/>
      </c>
      <c r="M16" s="98">
        <f>IF($H16="",0,IF(AND(M$6&gt;=$H16,M$6&lt;=$I16),$G16,0))</f>
        <v/>
      </c>
      <c r="N16" s="98">
        <f>IF($H16="",0,IF(AND(N$6&gt;=$H16,N$6&lt;=$I16),$G16,0))</f>
        <v/>
      </c>
      <c r="O16" s="98">
        <f>IF($H16="",0,IF(AND(O$6&gt;=$H16,O$6&lt;=$I16),$G16,0))</f>
        <v/>
      </c>
      <c r="P16" s="98">
        <f>IF($H16="",0,IF(AND(P$6&gt;=$H16,P$6&lt;=$I16),$G16,0))</f>
        <v/>
      </c>
      <c r="Q16" s="98">
        <f>IF($H16="",0,IF(AND(Q$6&gt;=$H16,Q$6&lt;=$I16),$G16,0))</f>
        <v/>
      </c>
      <c r="R16" s="98">
        <f>IF($H16="",0,IF(AND(R$6&gt;=$H16,R$6&lt;=$I16),$G16,0))</f>
        <v/>
      </c>
      <c r="S16" s="98">
        <f>IF($H16="",0,IF(AND(S$6&gt;=$H16,S$6&lt;=$I16),$G16,0))</f>
        <v/>
      </c>
      <c r="T16" s="98">
        <f>IF($H16="",0,IF(AND(T$6&gt;=$H16,T$6&lt;=$I16),$G16,0))</f>
        <v/>
      </c>
      <c r="U16" s="98">
        <f>IF($H16="",0,IF(AND(U$6&gt;=$H16,U$6&lt;=$I16),$G16,0))</f>
        <v/>
      </c>
      <c r="V16" s="98">
        <f>IF($H16="",0,IF(AND(V$6&gt;=$H16,V$6&lt;=$I16),$G16,0))</f>
        <v/>
      </c>
      <c r="W16" s="98">
        <f>IF($H16="",0,IF(AND(W$6&gt;=$H16,W$6&lt;=$I16),$G16,0))</f>
        <v/>
      </c>
      <c r="X16" s="98">
        <f>IF($H16="",0,IF(AND(X$6&gt;=$H16,X$6&lt;=$I16),$G16,0))</f>
        <v/>
      </c>
      <c r="Y16" s="98">
        <f>IF($H16="",0,IF(AND(Y$6&gt;=$H16,Y$6&lt;=$I16),$G16,0))</f>
        <v/>
      </c>
      <c r="Z16" s="98">
        <f>IF($H16="",0,IF(AND(Z$6&gt;=$H16,Z$6&lt;=$I16),$G16,0))</f>
        <v/>
      </c>
      <c r="AA16" s="98">
        <f>IF($H16="",0,IF(AND(AA$6&gt;=$H16,AA$6&lt;=$I16),$G16,0))</f>
        <v/>
      </c>
      <c r="AB16" s="98">
        <f>IF($H16="",0,IF(AND(AB$6&gt;=$H16,AB$6&lt;=$I16),$G16,0))</f>
        <v/>
      </c>
      <c r="AC16" s="98">
        <f>IF($H16="",0,IF(AND(AC$6&gt;=$H16,AC$6&lt;=$I16),$G16,0))</f>
        <v/>
      </c>
      <c r="AD16" s="98">
        <f>IF($H16="",0,IF(AND(AD$6&gt;=$H16,AD$6&lt;=$I16),$G16,0))</f>
        <v/>
      </c>
      <c r="AE16" s="98">
        <f>IF($H16="",0,IF(AND(AE$6&gt;=$H16,AE$6&lt;=$I16),$G16,0))</f>
        <v/>
      </c>
      <c r="AF16" s="98">
        <f>IF($H16="",0,IF(AND(AF$6&gt;=$H16,AF$6&lt;=$I16),$G16,0))</f>
        <v/>
      </c>
      <c r="AG16" s="98">
        <f>IF($H16="",0,IF(AND(AG$6&gt;=$H16,AG$6&lt;=$I16),$G16,0))</f>
        <v/>
      </c>
      <c r="AH16" s="98">
        <f>IF($H16="",0,IF(AND(AH$6&gt;=$H16,AH$6&lt;=$I16),$G16,0))</f>
        <v/>
      </c>
      <c r="AI16" s="98">
        <f>IF($H16="",0,IF(AND(AI$6&gt;=$H16,AI$6&lt;=$I16),$G16,0))</f>
        <v/>
      </c>
      <c r="AJ16" s="98">
        <f>IF($H16="",0,IF(AND(AJ$6&gt;=$H16,AJ$6&lt;=$I16),$G16,0))</f>
        <v/>
      </c>
      <c r="AK16" s="98">
        <f>IF($H16="",0,IF(AND(AK$6&gt;=$H16,AK$6&lt;=$I16),$G16,0))</f>
        <v/>
      </c>
      <c r="AL16" s="98">
        <f>IF($H16="",0,IF(AND(AL$6&gt;=$H16,AL$6&lt;=$I16),$G16,0))</f>
        <v/>
      </c>
      <c r="AM16" s="98">
        <f>IF($H16="",0,IF(AND(AM$6&gt;=$H16,AM$6&lt;=$I16),$G16,0))</f>
        <v/>
      </c>
      <c r="AN16" s="98">
        <f>IF($H16="",0,IF(AND(AN$6&gt;=$H16,AN$6&lt;=$I16),$G16,0))</f>
        <v/>
      </c>
      <c r="AO16" s="98">
        <f>IF($H16="",0,IF(AND(AO$6&gt;=$H16,AO$6&lt;=$I16),$G16,0))</f>
        <v/>
      </c>
      <c r="AP16" s="98">
        <f>IF($H16="",0,IF(AND(AP$6&gt;=$H16,AP$6&lt;=$I16),$G16,0))</f>
        <v/>
      </c>
      <c r="AQ16" s="98">
        <f>IF($H16="",0,IF(AND(AQ$6&gt;=$H16,AQ$6&lt;=$I16),$G16,0))</f>
        <v/>
      </c>
      <c r="AR16" s="98">
        <f>IF($H16="",0,IF(AND(AR$6&gt;=$H16,AR$6&lt;=$I16),$G16,0))</f>
        <v/>
      </c>
      <c r="AS16" s="98">
        <f>IF($H16="",0,IF(AND(AS$6&gt;=$H16,AS$6&lt;=$I16),$G16,0))</f>
        <v/>
      </c>
      <c r="AT16" s="98">
        <f>IF($H16="",0,IF(AND(AT$6&gt;=$H16,AT$6&lt;=$I16),$G16,0))</f>
        <v/>
      </c>
      <c r="AU16" s="98">
        <f>IF($H16="",0,IF(AND(AU$6&gt;=$H16,AU$6&lt;=$I16),$G16,0))</f>
        <v/>
      </c>
      <c r="AV16" s="98">
        <f>IF($H16="",0,IF(AND(AV$6&gt;=$H16,AV$6&lt;=$I16),$G16,0))</f>
        <v/>
      </c>
      <c r="AW16" s="98">
        <f>IF($H16="",0,IF(AND(AW$6&gt;=$H16,AW$6&lt;=$I16),$G16,0))</f>
        <v/>
      </c>
      <c r="AX16" s="98">
        <f>IF($H16="",0,IF(AND(AX$6&gt;=$H16,AX$6&lt;=$I16),$G16,0))</f>
        <v/>
      </c>
      <c r="AY16" s="98">
        <f>IF($H16="",0,IF(AND(AY$6&gt;=$H16,AY$6&lt;=$I16),$G16,0))</f>
        <v/>
      </c>
      <c r="AZ16" s="98">
        <f>IF($H16="",0,IF(AND(AZ$6&gt;=$H16,AZ$6&lt;=$I16),$G16,0))</f>
        <v/>
      </c>
      <c r="BA16" s="98">
        <f>IF($H16="",0,IF(AND(BA$6&gt;=$H16,BA$6&lt;=$I16),$G16,0))</f>
        <v/>
      </c>
      <c r="BB16" s="98">
        <f>IF($H16="",0,IF(AND(BB$6&gt;=$H16,BB$6&lt;=$I16),$G16,0))</f>
        <v/>
      </c>
      <c r="BC16" s="98">
        <f>IF($H16="",0,IF(AND(BC$6&gt;=$H16,BC$6&lt;=$I16),$G16,0))</f>
        <v/>
      </c>
      <c r="BD16" s="98">
        <f>IF($H16="",0,IF(AND(BD$6&gt;=$H16,BD$6&lt;=$I16),$G16,0))</f>
        <v/>
      </c>
      <c r="BE16" s="98">
        <f>IF($H16="",0,IF(AND(BE$6&gt;=$H16,BE$6&lt;=$I16),$G16,0))</f>
        <v/>
      </c>
      <c r="BF16" s="98">
        <f>IF($H16="",0,IF(AND(BF$6&gt;=$H16,BF$6&lt;=$I16),$G16,0))</f>
        <v/>
      </c>
      <c r="BG16" s="98">
        <f>IF($H16="",0,IF(AND(BG$6&gt;=$H16,BG$6&lt;=$I16),$G16,0))</f>
        <v/>
      </c>
      <c r="BH16" s="98">
        <f>IF($H16="",0,IF(AND(BH$6&gt;=$H16,BH$6&lt;=$I16),$G16,0))</f>
        <v/>
      </c>
      <c r="BI16" s="98">
        <f>IF($H16="",0,IF(AND(BI$6&gt;=$H16,BI$6&lt;=$I16),$G16,0))</f>
        <v/>
      </c>
      <c r="BJ16" s="98">
        <f>IF($H16="",0,IF(AND(BJ$6&gt;=$H16,BJ$6&lt;=$I16),$G16,0))</f>
        <v/>
      </c>
      <c r="BK16" s="98">
        <f>IF($H16="",0,IF(AND(BK$6&gt;=$H16,BK$6&lt;=$I16),$G16,0))</f>
        <v/>
      </c>
      <c r="BL16" s="98">
        <f>IF($H16="",0,IF(AND(BL$6&gt;=$H16,BL$6&lt;=$I16),$G16,0))</f>
        <v/>
      </c>
      <c r="BM16" s="98">
        <f>IF($H16="",0,IF(AND(BM$6&gt;=$H16,BM$6&lt;=$I16),$G16,0))</f>
        <v/>
      </c>
      <c r="BN16" s="98">
        <f>IF($H16="",0,IF(AND(BN$6&gt;=$H16,BN$6&lt;=$I16),$G16,0))</f>
        <v/>
      </c>
      <c r="BO16" s="98">
        <f>IF($H16="",0,IF(AND(BO$6&gt;=$H16,BO$6&lt;=$I16),$G16,0))</f>
        <v/>
      </c>
      <c r="BP16" s="98">
        <f>IF($H16="",0,IF(AND(BP$6&gt;=$H16,BP$6&lt;=$I16),$G16,0))</f>
        <v/>
      </c>
      <c r="BQ16" s="98">
        <f>IF($H16="",0,IF(AND(BQ$6&gt;=$H16,BQ$6&lt;=$I16),$G16,0))</f>
        <v/>
      </c>
      <c r="BR16" s="98">
        <f>IF($H16="",0,IF(AND(BR$6&gt;=$H16,BR$6&lt;=$I16),$G16,0))</f>
        <v/>
      </c>
      <c r="BS16" s="98">
        <f>IF($H16="",0,IF(AND(BS$6&gt;=$H16,BS$6&lt;=$I16),$G16,0))</f>
        <v/>
      </c>
      <c r="BT16" s="98">
        <f>IF($H16="",0,IF(AND(BT$6&gt;=$H16,BT$6&lt;=$I16),$G16,0))</f>
        <v/>
      </c>
    </row>
    <row r="17">
      <c r="A17" s="74" t="n"/>
      <c r="B17" s="74" t="n"/>
      <c r="C17" s="74" t="n"/>
      <c r="D17" s="73" t="n"/>
      <c r="E17" s="76" t="n"/>
      <c r="F17" s="90" t="n"/>
      <c r="G17" s="84">
        <f>IF(OR($E17="",N($F17)&lt;=0),0,$E17/$F17)</f>
        <v/>
      </c>
      <c r="H17" s="96">
        <f>IF(OR($A17="",$B17="",$D17="",N($F17)&lt;=0),"",IFERROR(IF(DAY($D17)&gt;INDEX(CARTOES_FECHA,MATCH($B17,LISTA_CARTOES,0)),EDATE(DATE(YEAR($D17),MONTH($D17),1),1),DATE(YEAR($D17),MONTH($D17),1)),""))</f>
        <v/>
      </c>
      <c r="I17" s="96">
        <f>IF($H17="","",EDATE($H17,$F17-1))</f>
        <v/>
      </c>
      <c r="J17" s="97">
        <f>IF($H17="",0,MAX(0,MIN($F17,(YEAR($I17)*12+MONTH($I17))-(ANO_SEL*12+MES_SEL))))</f>
        <v/>
      </c>
      <c r="K17" s="84">
        <f>J17*G17</f>
        <v/>
      </c>
      <c r="M17" s="98">
        <f>IF($H17="",0,IF(AND(M$6&gt;=$H17,M$6&lt;=$I17),$G17,0))</f>
        <v/>
      </c>
      <c r="N17" s="98">
        <f>IF($H17="",0,IF(AND(N$6&gt;=$H17,N$6&lt;=$I17),$G17,0))</f>
        <v/>
      </c>
      <c r="O17" s="98">
        <f>IF($H17="",0,IF(AND(O$6&gt;=$H17,O$6&lt;=$I17),$G17,0))</f>
        <v/>
      </c>
      <c r="P17" s="98">
        <f>IF($H17="",0,IF(AND(P$6&gt;=$H17,P$6&lt;=$I17),$G17,0))</f>
        <v/>
      </c>
      <c r="Q17" s="98">
        <f>IF($H17="",0,IF(AND(Q$6&gt;=$H17,Q$6&lt;=$I17),$G17,0))</f>
        <v/>
      </c>
      <c r="R17" s="98">
        <f>IF($H17="",0,IF(AND(R$6&gt;=$H17,R$6&lt;=$I17),$G17,0))</f>
        <v/>
      </c>
      <c r="S17" s="98">
        <f>IF($H17="",0,IF(AND(S$6&gt;=$H17,S$6&lt;=$I17),$G17,0))</f>
        <v/>
      </c>
      <c r="T17" s="98">
        <f>IF($H17="",0,IF(AND(T$6&gt;=$H17,T$6&lt;=$I17),$G17,0))</f>
        <v/>
      </c>
      <c r="U17" s="98">
        <f>IF($H17="",0,IF(AND(U$6&gt;=$H17,U$6&lt;=$I17),$G17,0))</f>
        <v/>
      </c>
      <c r="V17" s="98">
        <f>IF($H17="",0,IF(AND(V$6&gt;=$H17,V$6&lt;=$I17),$G17,0))</f>
        <v/>
      </c>
      <c r="W17" s="98">
        <f>IF($H17="",0,IF(AND(W$6&gt;=$H17,W$6&lt;=$I17),$G17,0))</f>
        <v/>
      </c>
      <c r="X17" s="98">
        <f>IF($H17="",0,IF(AND(X$6&gt;=$H17,X$6&lt;=$I17),$G17,0))</f>
        <v/>
      </c>
      <c r="Y17" s="98">
        <f>IF($H17="",0,IF(AND(Y$6&gt;=$H17,Y$6&lt;=$I17),$G17,0))</f>
        <v/>
      </c>
      <c r="Z17" s="98">
        <f>IF($H17="",0,IF(AND(Z$6&gt;=$H17,Z$6&lt;=$I17),$G17,0))</f>
        <v/>
      </c>
      <c r="AA17" s="98">
        <f>IF($H17="",0,IF(AND(AA$6&gt;=$H17,AA$6&lt;=$I17),$G17,0))</f>
        <v/>
      </c>
      <c r="AB17" s="98">
        <f>IF($H17="",0,IF(AND(AB$6&gt;=$H17,AB$6&lt;=$I17),$G17,0))</f>
        <v/>
      </c>
      <c r="AC17" s="98">
        <f>IF($H17="",0,IF(AND(AC$6&gt;=$H17,AC$6&lt;=$I17),$G17,0))</f>
        <v/>
      </c>
      <c r="AD17" s="98">
        <f>IF($H17="",0,IF(AND(AD$6&gt;=$H17,AD$6&lt;=$I17),$G17,0))</f>
        <v/>
      </c>
      <c r="AE17" s="98">
        <f>IF($H17="",0,IF(AND(AE$6&gt;=$H17,AE$6&lt;=$I17),$G17,0))</f>
        <v/>
      </c>
      <c r="AF17" s="98">
        <f>IF($H17="",0,IF(AND(AF$6&gt;=$H17,AF$6&lt;=$I17),$G17,0))</f>
        <v/>
      </c>
      <c r="AG17" s="98">
        <f>IF($H17="",0,IF(AND(AG$6&gt;=$H17,AG$6&lt;=$I17),$G17,0))</f>
        <v/>
      </c>
      <c r="AH17" s="98">
        <f>IF($H17="",0,IF(AND(AH$6&gt;=$H17,AH$6&lt;=$I17),$G17,0))</f>
        <v/>
      </c>
      <c r="AI17" s="98">
        <f>IF($H17="",0,IF(AND(AI$6&gt;=$H17,AI$6&lt;=$I17),$G17,0))</f>
        <v/>
      </c>
      <c r="AJ17" s="98">
        <f>IF($H17="",0,IF(AND(AJ$6&gt;=$H17,AJ$6&lt;=$I17),$G17,0))</f>
        <v/>
      </c>
      <c r="AK17" s="98">
        <f>IF($H17="",0,IF(AND(AK$6&gt;=$H17,AK$6&lt;=$I17),$G17,0))</f>
        <v/>
      </c>
      <c r="AL17" s="98">
        <f>IF($H17="",0,IF(AND(AL$6&gt;=$H17,AL$6&lt;=$I17),$G17,0))</f>
        <v/>
      </c>
      <c r="AM17" s="98">
        <f>IF($H17="",0,IF(AND(AM$6&gt;=$H17,AM$6&lt;=$I17),$G17,0))</f>
        <v/>
      </c>
      <c r="AN17" s="98">
        <f>IF($H17="",0,IF(AND(AN$6&gt;=$H17,AN$6&lt;=$I17),$G17,0))</f>
        <v/>
      </c>
      <c r="AO17" s="98">
        <f>IF($H17="",0,IF(AND(AO$6&gt;=$H17,AO$6&lt;=$I17),$G17,0))</f>
        <v/>
      </c>
      <c r="AP17" s="98">
        <f>IF($H17="",0,IF(AND(AP$6&gt;=$H17,AP$6&lt;=$I17),$G17,0))</f>
        <v/>
      </c>
      <c r="AQ17" s="98">
        <f>IF($H17="",0,IF(AND(AQ$6&gt;=$H17,AQ$6&lt;=$I17),$G17,0))</f>
        <v/>
      </c>
      <c r="AR17" s="98">
        <f>IF($H17="",0,IF(AND(AR$6&gt;=$H17,AR$6&lt;=$I17),$G17,0))</f>
        <v/>
      </c>
      <c r="AS17" s="98">
        <f>IF($H17="",0,IF(AND(AS$6&gt;=$H17,AS$6&lt;=$I17),$G17,0))</f>
        <v/>
      </c>
      <c r="AT17" s="98">
        <f>IF($H17="",0,IF(AND(AT$6&gt;=$H17,AT$6&lt;=$I17),$G17,0))</f>
        <v/>
      </c>
      <c r="AU17" s="98">
        <f>IF($H17="",0,IF(AND(AU$6&gt;=$H17,AU$6&lt;=$I17),$G17,0))</f>
        <v/>
      </c>
      <c r="AV17" s="98">
        <f>IF($H17="",0,IF(AND(AV$6&gt;=$H17,AV$6&lt;=$I17),$G17,0))</f>
        <v/>
      </c>
      <c r="AW17" s="98">
        <f>IF($H17="",0,IF(AND(AW$6&gt;=$H17,AW$6&lt;=$I17),$G17,0))</f>
        <v/>
      </c>
      <c r="AX17" s="98">
        <f>IF($H17="",0,IF(AND(AX$6&gt;=$H17,AX$6&lt;=$I17),$G17,0))</f>
        <v/>
      </c>
      <c r="AY17" s="98">
        <f>IF($H17="",0,IF(AND(AY$6&gt;=$H17,AY$6&lt;=$I17),$G17,0))</f>
        <v/>
      </c>
      <c r="AZ17" s="98">
        <f>IF($H17="",0,IF(AND(AZ$6&gt;=$H17,AZ$6&lt;=$I17),$G17,0))</f>
        <v/>
      </c>
      <c r="BA17" s="98">
        <f>IF($H17="",0,IF(AND(BA$6&gt;=$H17,BA$6&lt;=$I17),$G17,0))</f>
        <v/>
      </c>
      <c r="BB17" s="98">
        <f>IF($H17="",0,IF(AND(BB$6&gt;=$H17,BB$6&lt;=$I17),$G17,0))</f>
        <v/>
      </c>
      <c r="BC17" s="98">
        <f>IF($H17="",0,IF(AND(BC$6&gt;=$H17,BC$6&lt;=$I17),$G17,0))</f>
        <v/>
      </c>
      <c r="BD17" s="98">
        <f>IF($H17="",0,IF(AND(BD$6&gt;=$H17,BD$6&lt;=$I17),$G17,0))</f>
        <v/>
      </c>
      <c r="BE17" s="98">
        <f>IF($H17="",0,IF(AND(BE$6&gt;=$H17,BE$6&lt;=$I17),$G17,0))</f>
        <v/>
      </c>
      <c r="BF17" s="98">
        <f>IF($H17="",0,IF(AND(BF$6&gt;=$H17,BF$6&lt;=$I17),$G17,0))</f>
        <v/>
      </c>
      <c r="BG17" s="98">
        <f>IF($H17="",0,IF(AND(BG$6&gt;=$H17,BG$6&lt;=$I17),$G17,0))</f>
        <v/>
      </c>
      <c r="BH17" s="98">
        <f>IF($H17="",0,IF(AND(BH$6&gt;=$H17,BH$6&lt;=$I17),$G17,0))</f>
        <v/>
      </c>
      <c r="BI17" s="98">
        <f>IF($H17="",0,IF(AND(BI$6&gt;=$H17,BI$6&lt;=$I17),$G17,0))</f>
        <v/>
      </c>
      <c r="BJ17" s="98">
        <f>IF($H17="",0,IF(AND(BJ$6&gt;=$H17,BJ$6&lt;=$I17),$G17,0))</f>
        <v/>
      </c>
      <c r="BK17" s="98">
        <f>IF($H17="",0,IF(AND(BK$6&gt;=$H17,BK$6&lt;=$I17),$G17,0))</f>
        <v/>
      </c>
      <c r="BL17" s="98">
        <f>IF($H17="",0,IF(AND(BL$6&gt;=$H17,BL$6&lt;=$I17),$G17,0))</f>
        <v/>
      </c>
      <c r="BM17" s="98">
        <f>IF($H17="",0,IF(AND(BM$6&gt;=$H17,BM$6&lt;=$I17),$G17,0))</f>
        <v/>
      </c>
      <c r="BN17" s="98">
        <f>IF($H17="",0,IF(AND(BN$6&gt;=$H17,BN$6&lt;=$I17),$G17,0))</f>
        <v/>
      </c>
      <c r="BO17" s="98">
        <f>IF($H17="",0,IF(AND(BO$6&gt;=$H17,BO$6&lt;=$I17),$G17,0))</f>
        <v/>
      </c>
      <c r="BP17" s="98">
        <f>IF($H17="",0,IF(AND(BP$6&gt;=$H17,BP$6&lt;=$I17),$G17,0))</f>
        <v/>
      </c>
      <c r="BQ17" s="98">
        <f>IF($H17="",0,IF(AND(BQ$6&gt;=$H17,BQ$6&lt;=$I17),$G17,0))</f>
        <v/>
      </c>
      <c r="BR17" s="98">
        <f>IF($H17="",0,IF(AND(BR$6&gt;=$H17,BR$6&lt;=$I17),$G17,0))</f>
        <v/>
      </c>
      <c r="BS17" s="98">
        <f>IF($H17="",0,IF(AND(BS$6&gt;=$H17,BS$6&lt;=$I17),$G17,0))</f>
        <v/>
      </c>
      <c r="BT17" s="98">
        <f>IF($H17="",0,IF(AND(BT$6&gt;=$H17,BT$6&lt;=$I17),$G17,0))</f>
        <v/>
      </c>
    </row>
    <row r="18">
      <c r="A18" s="74" t="n"/>
      <c r="B18" s="74" t="n"/>
      <c r="C18" s="74" t="n"/>
      <c r="D18" s="73" t="n"/>
      <c r="E18" s="76" t="n"/>
      <c r="F18" s="90" t="n"/>
      <c r="G18" s="84">
        <f>IF(OR($E18="",N($F18)&lt;=0),0,$E18/$F18)</f>
        <v/>
      </c>
      <c r="H18" s="96">
        <f>IF(OR($A18="",$B18="",$D18="",N($F18)&lt;=0),"",IFERROR(IF(DAY($D18)&gt;INDEX(CARTOES_FECHA,MATCH($B18,LISTA_CARTOES,0)),EDATE(DATE(YEAR($D18),MONTH($D18),1),1),DATE(YEAR($D18),MONTH($D18),1)),""))</f>
        <v/>
      </c>
      <c r="I18" s="96">
        <f>IF($H18="","",EDATE($H18,$F18-1))</f>
        <v/>
      </c>
      <c r="J18" s="97">
        <f>IF($H18="",0,MAX(0,MIN($F18,(YEAR($I18)*12+MONTH($I18))-(ANO_SEL*12+MES_SEL))))</f>
        <v/>
      </c>
      <c r="K18" s="84">
        <f>J18*G18</f>
        <v/>
      </c>
      <c r="M18" s="98">
        <f>IF($H18="",0,IF(AND(M$6&gt;=$H18,M$6&lt;=$I18),$G18,0))</f>
        <v/>
      </c>
      <c r="N18" s="98">
        <f>IF($H18="",0,IF(AND(N$6&gt;=$H18,N$6&lt;=$I18),$G18,0))</f>
        <v/>
      </c>
      <c r="O18" s="98">
        <f>IF($H18="",0,IF(AND(O$6&gt;=$H18,O$6&lt;=$I18),$G18,0))</f>
        <v/>
      </c>
      <c r="P18" s="98">
        <f>IF($H18="",0,IF(AND(P$6&gt;=$H18,P$6&lt;=$I18),$G18,0))</f>
        <v/>
      </c>
      <c r="Q18" s="98">
        <f>IF($H18="",0,IF(AND(Q$6&gt;=$H18,Q$6&lt;=$I18),$G18,0))</f>
        <v/>
      </c>
      <c r="R18" s="98">
        <f>IF($H18="",0,IF(AND(R$6&gt;=$H18,R$6&lt;=$I18),$G18,0))</f>
        <v/>
      </c>
      <c r="S18" s="98">
        <f>IF($H18="",0,IF(AND(S$6&gt;=$H18,S$6&lt;=$I18),$G18,0))</f>
        <v/>
      </c>
      <c r="T18" s="98">
        <f>IF($H18="",0,IF(AND(T$6&gt;=$H18,T$6&lt;=$I18),$G18,0))</f>
        <v/>
      </c>
      <c r="U18" s="98">
        <f>IF($H18="",0,IF(AND(U$6&gt;=$H18,U$6&lt;=$I18),$G18,0))</f>
        <v/>
      </c>
      <c r="V18" s="98">
        <f>IF($H18="",0,IF(AND(V$6&gt;=$H18,V$6&lt;=$I18),$G18,0))</f>
        <v/>
      </c>
      <c r="W18" s="98">
        <f>IF($H18="",0,IF(AND(W$6&gt;=$H18,W$6&lt;=$I18),$G18,0))</f>
        <v/>
      </c>
      <c r="X18" s="98">
        <f>IF($H18="",0,IF(AND(X$6&gt;=$H18,X$6&lt;=$I18),$G18,0))</f>
        <v/>
      </c>
      <c r="Y18" s="98">
        <f>IF($H18="",0,IF(AND(Y$6&gt;=$H18,Y$6&lt;=$I18),$G18,0))</f>
        <v/>
      </c>
      <c r="Z18" s="98">
        <f>IF($H18="",0,IF(AND(Z$6&gt;=$H18,Z$6&lt;=$I18),$G18,0))</f>
        <v/>
      </c>
      <c r="AA18" s="98">
        <f>IF($H18="",0,IF(AND(AA$6&gt;=$H18,AA$6&lt;=$I18),$G18,0))</f>
        <v/>
      </c>
      <c r="AB18" s="98">
        <f>IF($H18="",0,IF(AND(AB$6&gt;=$H18,AB$6&lt;=$I18),$G18,0))</f>
        <v/>
      </c>
      <c r="AC18" s="98">
        <f>IF($H18="",0,IF(AND(AC$6&gt;=$H18,AC$6&lt;=$I18),$G18,0))</f>
        <v/>
      </c>
      <c r="AD18" s="98">
        <f>IF($H18="",0,IF(AND(AD$6&gt;=$H18,AD$6&lt;=$I18),$G18,0))</f>
        <v/>
      </c>
      <c r="AE18" s="98">
        <f>IF($H18="",0,IF(AND(AE$6&gt;=$H18,AE$6&lt;=$I18),$G18,0))</f>
        <v/>
      </c>
      <c r="AF18" s="98">
        <f>IF($H18="",0,IF(AND(AF$6&gt;=$H18,AF$6&lt;=$I18),$G18,0))</f>
        <v/>
      </c>
      <c r="AG18" s="98">
        <f>IF($H18="",0,IF(AND(AG$6&gt;=$H18,AG$6&lt;=$I18),$G18,0))</f>
        <v/>
      </c>
      <c r="AH18" s="98">
        <f>IF($H18="",0,IF(AND(AH$6&gt;=$H18,AH$6&lt;=$I18),$G18,0))</f>
        <v/>
      </c>
      <c r="AI18" s="98">
        <f>IF($H18="",0,IF(AND(AI$6&gt;=$H18,AI$6&lt;=$I18),$G18,0))</f>
        <v/>
      </c>
      <c r="AJ18" s="98">
        <f>IF($H18="",0,IF(AND(AJ$6&gt;=$H18,AJ$6&lt;=$I18),$G18,0))</f>
        <v/>
      </c>
      <c r="AK18" s="98">
        <f>IF($H18="",0,IF(AND(AK$6&gt;=$H18,AK$6&lt;=$I18),$G18,0))</f>
        <v/>
      </c>
      <c r="AL18" s="98">
        <f>IF($H18="",0,IF(AND(AL$6&gt;=$H18,AL$6&lt;=$I18),$G18,0))</f>
        <v/>
      </c>
      <c r="AM18" s="98">
        <f>IF($H18="",0,IF(AND(AM$6&gt;=$H18,AM$6&lt;=$I18),$G18,0))</f>
        <v/>
      </c>
      <c r="AN18" s="98">
        <f>IF($H18="",0,IF(AND(AN$6&gt;=$H18,AN$6&lt;=$I18),$G18,0))</f>
        <v/>
      </c>
      <c r="AO18" s="98">
        <f>IF($H18="",0,IF(AND(AO$6&gt;=$H18,AO$6&lt;=$I18),$G18,0))</f>
        <v/>
      </c>
      <c r="AP18" s="98">
        <f>IF($H18="",0,IF(AND(AP$6&gt;=$H18,AP$6&lt;=$I18),$G18,0))</f>
        <v/>
      </c>
      <c r="AQ18" s="98">
        <f>IF($H18="",0,IF(AND(AQ$6&gt;=$H18,AQ$6&lt;=$I18),$G18,0))</f>
        <v/>
      </c>
      <c r="AR18" s="98">
        <f>IF($H18="",0,IF(AND(AR$6&gt;=$H18,AR$6&lt;=$I18),$G18,0))</f>
        <v/>
      </c>
      <c r="AS18" s="98">
        <f>IF($H18="",0,IF(AND(AS$6&gt;=$H18,AS$6&lt;=$I18),$G18,0))</f>
        <v/>
      </c>
      <c r="AT18" s="98">
        <f>IF($H18="",0,IF(AND(AT$6&gt;=$H18,AT$6&lt;=$I18),$G18,0))</f>
        <v/>
      </c>
      <c r="AU18" s="98">
        <f>IF($H18="",0,IF(AND(AU$6&gt;=$H18,AU$6&lt;=$I18),$G18,0))</f>
        <v/>
      </c>
      <c r="AV18" s="98">
        <f>IF($H18="",0,IF(AND(AV$6&gt;=$H18,AV$6&lt;=$I18),$G18,0))</f>
        <v/>
      </c>
      <c r="AW18" s="98">
        <f>IF($H18="",0,IF(AND(AW$6&gt;=$H18,AW$6&lt;=$I18),$G18,0))</f>
        <v/>
      </c>
      <c r="AX18" s="98">
        <f>IF($H18="",0,IF(AND(AX$6&gt;=$H18,AX$6&lt;=$I18),$G18,0))</f>
        <v/>
      </c>
      <c r="AY18" s="98">
        <f>IF($H18="",0,IF(AND(AY$6&gt;=$H18,AY$6&lt;=$I18),$G18,0))</f>
        <v/>
      </c>
      <c r="AZ18" s="98">
        <f>IF($H18="",0,IF(AND(AZ$6&gt;=$H18,AZ$6&lt;=$I18),$G18,0))</f>
        <v/>
      </c>
      <c r="BA18" s="98">
        <f>IF($H18="",0,IF(AND(BA$6&gt;=$H18,BA$6&lt;=$I18),$G18,0))</f>
        <v/>
      </c>
      <c r="BB18" s="98">
        <f>IF($H18="",0,IF(AND(BB$6&gt;=$H18,BB$6&lt;=$I18),$G18,0))</f>
        <v/>
      </c>
      <c r="BC18" s="98">
        <f>IF($H18="",0,IF(AND(BC$6&gt;=$H18,BC$6&lt;=$I18),$G18,0))</f>
        <v/>
      </c>
      <c r="BD18" s="98">
        <f>IF($H18="",0,IF(AND(BD$6&gt;=$H18,BD$6&lt;=$I18),$G18,0))</f>
        <v/>
      </c>
      <c r="BE18" s="98">
        <f>IF($H18="",0,IF(AND(BE$6&gt;=$H18,BE$6&lt;=$I18),$G18,0))</f>
        <v/>
      </c>
      <c r="BF18" s="98">
        <f>IF($H18="",0,IF(AND(BF$6&gt;=$H18,BF$6&lt;=$I18),$G18,0))</f>
        <v/>
      </c>
      <c r="BG18" s="98">
        <f>IF($H18="",0,IF(AND(BG$6&gt;=$H18,BG$6&lt;=$I18),$G18,0))</f>
        <v/>
      </c>
      <c r="BH18" s="98">
        <f>IF($H18="",0,IF(AND(BH$6&gt;=$H18,BH$6&lt;=$I18),$G18,0))</f>
        <v/>
      </c>
      <c r="BI18" s="98">
        <f>IF($H18="",0,IF(AND(BI$6&gt;=$H18,BI$6&lt;=$I18),$G18,0))</f>
        <v/>
      </c>
      <c r="BJ18" s="98">
        <f>IF($H18="",0,IF(AND(BJ$6&gt;=$H18,BJ$6&lt;=$I18),$G18,0))</f>
        <v/>
      </c>
      <c r="BK18" s="98">
        <f>IF($H18="",0,IF(AND(BK$6&gt;=$H18,BK$6&lt;=$I18),$G18,0))</f>
        <v/>
      </c>
      <c r="BL18" s="98">
        <f>IF($H18="",0,IF(AND(BL$6&gt;=$H18,BL$6&lt;=$I18),$G18,0))</f>
        <v/>
      </c>
      <c r="BM18" s="98">
        <f>IF($H18="",0,IF(AND(BM$6&gt;=$H18,BM$6&lt;=$I18),$G18,0))</f>
        <v/>
      </c>
      <c r="BN18" s="98">
        <f>IF($H18="",0,IF(AND(BN$6&gt;=$H18,BN$6&lt;=$I18),$G18,0))</f>
        <v/>
      </c>
      <c r="BO18" s="98">
        <f>IF($H18="",0,IF(AND(BO$6&gt;=$H18,BO$6&lt;=$I18),$G18,0))</f>
        <v/>
      </c>
      <c r="BP18" s="98">
        <f>IF($H18="",0,IF(AND(BP$6&gt;=$H18,BP$6&lt;=$I18),$G18,0))</f>
        <v/>
      </c>
      <c r="BQ18" s="98">
        <f>IF($H18="",0,IF(AND(BQ$6&gt;=$H18,BQ$6&lt;=$I18),$G18,0))</f>
        <v/>
      </c>
      <c r="BR18" s="98">
        <f>IF($H18="",0,IF(AND(BR$6&gt;=$H18,BR$6&lt;=$I18),$G18,0))</f>
        <v/>
      </c>
      <c r="BS18" s="98">
        <f>IF($H18="",0,IF(AND(BS$6&gt;=$H18,BS$6&lt;=$I18),$G18,0))</f>
        <v/>
      </c>
      <c r="BT18" s="98">
        <f>IF($H18="",0,IF(AND(BT$6&gt;=$H18,BT$6&lt;=$I18),$G18,0))</f>
        <v/>
      </c>
    </row>
    <row r="19">
      <c r="A19" s="74" t="n"/>
      <c r="B19" s="74" t="n"/>
      <c r="C19" s="74" t="n"/>
      <c r="D19" s="73" t="n"/>
      <c r="E19" s="76" t="n"/>
      <c r="F19" s="90" t="n"/>
      <c r="G19" s="84">
        <f>IF(OR($E19="",N($F19)&lt;=0),0,$E19/$F19)</f>
        <v/>
      </c>
      <c r="H19" s="96">
        <f>IF(OR($A19="",$B19="",$D19="",N($F19)&lt;=0),"",IFERROR(IF(DAY($D19)&gt;INDEX(CARTOES_FECHA,MATCH($B19,LISTA_CARTOES,0)),EDATE(DATE(YEAR($D19),MONTH($D19),1),1),DATE(YEAR($D19),MONTH($D19),1)),""))</f>
        <v/>
      </c>
      <c r="I19" s="96">
        <f>IF($H19="","",EDATE($H19,$F19-1))</f>
        <v/>
      </c>
      <c r="J19" s="97">
        <f>IF($H19="",0,MAX(0,MIN($F19,(YEAR($I19)*12+MONTH($I19))-(ANO_SEL*12+MES_SEL))))</f>
        <v/>
      </c>
      <c r="K19" s="84">
        <f>J19*G19</f>
        <v/>
      </c>
      <c r="M19" s="98">
        <f>IF($H19="",0,IF(AND(M$6&gt;=$H19,M$6&lt;=$I19),$G19,0))</f>
        <v/>
      </c>
      <c r="N19" s="98">
        <f>IF($H19="",0,IF(AND(N$6&gt;=$H19,N$6&lt;=$I19),$G19,0))</f>
        <v/>
      </c>
      <c r="O19" s="98">
        <f>IF($H19="",0,IF(AND(O$6&gt;=$H19,O$6&lt;=$I19),$G19,0))</f>
        <v/>
      </c>
      <c r="P19" s="98">
        <f>IF($H19="",0,IF(AND(P$6&gt;=$H19,P$6&lt;=$I19),$G19,0))</f>
        <v/>
      </c>
      <c r="Q19" s="98">
        <f>IF($H19="",0,IF(AND(Q$6&gt;=$H19,Q$6&lt;=$I19),$G19,0))</f>
        <v/>
      </c>
      <c r="R19" s="98">
        <f>IF($H19="",0,IF(AND(R$6&gt;=$H19,R$6&lt;=$I19),$G19,0))</f>
        <v/>
      </c>
      <c r="S19" s="98">
        <f>IF($H19="",0,IF(AND(S$6&gt;=$H19,S$6&lt;=$I19),$G19,0))</f>
        <v/>
      </c>
      <c r="T19" s="98">
        <f>IF($H19="",0,IF(AND(T$6&gt;=$H19,T$6&lt;=$I19),$G19,0))</f>
        <v/>
      </c>
      <c r="U19" s="98">
        <f>IF($H19="",0,IF(AND(U$6&gt;=$H19,U$6&lt;=$I19),$G19,0))</f>
        <v/>
      </c>
      <c r="V19" s="98">
        <f>IF($H19="",0,IF(AND(V$6&gt;=$H19,V$6&lt;=$I19),$G19,0))</f>
        <v/>
      </c>
      <c r="W19" s="98">
        <f>IF($H19="",0,IF(AND(W$6&gt;=$H19,W$6&lt;=$I19),$G19,0))</f>
        <v/>
      </c>
      <c r="X19" s="98">
        <f>IF($H19="",0,IF(AND(X$6&gt;=$H19,X$6&lt;=$I19),$G19,0))</f>
        <v/>
      </c>
      <c r="Y19" s="98">
        <f>IF($H19="",0,IF(AND(Y$6&gt;=$H19,Y$6&lt;=$I19),$G19,0))</f>
        <v/>
      </c>
      <c r="Z19" s="98">
        <f>IF($H19="",0,IF(AND(Z$6&gt;=$H19,Z$6&lt;=$I19),$G19,0))</f>
        <v/>
      </c>
      <c r="AA19" s="98">
        <f>IF($H19="",0,IF(AND(AA$6&gt;=$H19,AA$6&lt;=$I19),$G19,0))</f>
        <v/>
      </c>
      <c r="AB19" s="98">
        <f>IF($H19="",0,IF(AND(AB$6&gt;=$H19,AB$6&lt;=$I19),$G19,0))</f>
        <v/>
      </c>
      <c r="AC19" s="98">
        <f>IF($H19="",0,IF(AND(AC$6&gt;=$H19,AC$6&lt;=$I19),$G19,0))</f>
        <v/>
      </c>
      <c r="AD19" s="98">
        <f>IF($H19="",0,IF(AND(AD$6&gt;=$H19,AD$6&lt;=$I19),$G19,0))</f>
        <v/>
      </c>
      <c r="AE19" s="98">
        <f>IF($H19="",0,IF(AND(AE$6&gt;=$H19,AE$6&lt;=$I19),$G19,0))</f>
        <v/>
      </c>
      <c r="AF19" s="98">
        <f>IF($H19="",0,IF(AND(AF$6&gt;=$H19,AF$6&lt;=$I19),$G19,0))</f>
        <v/>
      </c>
      <c r="AG19" s="98">
        <f>IF($H19="",0,IF(AND(AG$6&gt;=$H19,AG$6&lt;=$I19),$G19,0))</f>
        <v/>
      </c>
      <c r="AH19" s="98">
        <f>IF($H19="",0,IF(AND(AH$6&gt;=$H19,AH$6&lt;=$I19),$G19,0))</f>
        <v/>
      </c>
      <c r="AI19" s="98">
        <f>IF($H19="",0,IF(AND(AI$6&gt;=$H19,AI$6&lt;=$I19),$G19,0))</f>
        <v/>
      </c>
      <c r="AJ19" s="98">
        <f>IF($H19="",0,IF(AND(AJ$6&gt;=$H19,AJ$6&lt;=$I19),$G19,0))</f>
        <v/>
      </c>
      <c r="AK19" s="98">
        <f>IF($H19="",0,IF(AND(AK$6&gt;=$H19,AK$6&lt;=$I19),$G19,0))</f>
        <v/>
      </c>
      <c r="AL19" s="98">
        <f>IF($H19="",0,IF(AND(AL$6&gt;=$H19,AL$6&lt;=$I19),$G19,0))</f>
        <v/>
      </c>
      <c r="AM19" s="98">
        <f>IF($H19="",0,IF(AND(AM$6&gt;=$H19,AM$6&lt;=$I19),$G19,0))</f>
        <v/>
      </c>
      <c r="AN19" s="98">
        <f>IF($H19="",0,IF(AND(AN$6&gt;=$H19,AN$6&lt;=$I19),$G19,0))</f>
        <v/>
      </c>
      <c r="AO19" s="98">
        <f>IF($H19="",0,IF(AND(AO$6&gt;=$H19,AO$6&lt;=$I19),$G19,0))</f>
        <v/>
      </c>
      <c r="AP19" s="98">
        <f>IF($H19="",0,IF(AND(AP$6&gt;=$H19,AP$6&lt;=$I19),$G19,0))</f>
        <v/>
      </c>
      <c r="AQ19" s="98">
        <f>IF($H19="",0,IF(AND(AQ$6&gt;=$H19,AQ$6&lt;=$I19),$G19,0))</f>
        <v/>
      </c>
      <c r="AR19" s="98">
        <f>IF($H19="",0,IF(AND(AR$6&gt;=$H19,AR$6&lt;=$I19),$G19,0))</f>
        <v/>
      </c>
      <c r="AS19" s="98">
        <f>IF($H19="",0,IF(AND(AS$6&gt;=$H19,AS$6&lt;=$I19),$G19,0))</f>
        <v/>
      </c>
      <c r="AT19" s="98">
        <f>IF($H19="",0,IF(AND(AT$6&gt;=$H19,AT$6&lt;=$I19),$G19,0))</f>
        <v/>
      </c>
      <c r="AU19" s="98">
        <f>IF($H19="",0,IF(AND(AU$6&gt;=$H19,AU$6&lt;=$I19),$G19,0))</f>
        <v/>
      </c>
      <c r="AV19" s="98">
        <f>IF($H19="",0,IF(AND(AV$6&gt;=$H19,AV$6&lt;=$I19),$G19,0))</f>
        <v/>
      </c>
      <c r="AW19" s="98">
        <f>IF($H19="",0,IF(AND(AW$6&gt;=$H19,AW$6&lt;=$I19),$G19,0))</f>
        <v/>
      </c>
      <c r="AX19" s="98">
        <f>IF($H19="",0,IF(AND(AX$6&gt;=$H19,AX$6&lt;=$I19),$G19,0))</f>
        <v/>
      </c>
      <c r="AY19" s="98">
        <f>IF($H19="",0,IF(AND(AY$6&gt;=$H19,AY$6&lt;=$I19),$G19,0))</f>
        <v/>
      </c>
      <c r="AZ19" s="98">
        <f>IF($H19="",0,IF(AND(AZ$6&gt;=$H19,AZ$6&lt;=$I19),$G19,0))</f>
        <v/>
      </c>
      <c r="BA19" s="98">
        <f>IF($H19="",0,IF(AND(BA$6&gt;=$H19,BA$6&lt;=$I19),$G19,0))</f>
        <v/>
      </c>
      <c r="BB19" s="98">
        <f>IF($H19="",0,IF(AND(BB$6&gt;=$H19,BB$6&lt;=$I19),$G19,0))</f>
        <v/>
      </c>
      <c r="BC19" s="98">
        <f>IF($H19="",0,IF(AND(BC$6&gt;=$H19,BC$6&lt;=$I19),$G19,0))</f>
        <v/>
      </c>
      <c r="BD19" s="98">
        <f>IF($H19="",0,IF(AND(BD$6&gt;=$H19,BD$6&lt;=$I19),$G19,0))</f>
        <v/>
      </c>
      <c r="BE19" s="98">
        <f>IF($H19="",0,IF(AND(BE$6&gt;=$H19,BE$6&lt;=$I19),$G19,0))</f>
        <v/>
      </c>
      <c r="BF19" s="98">
        <f>IF($H19="",0,IF(AND(BF$6&gt;=$H19,BF$6&lt;=$I19),$G19,0))</f>
        <v/>
      </c>
      <c r="BG19" s="98">
        <f>IF($H19="",0,IF(AND(BG$6&gt;=$H19,BG$6&lt;=$I19),$G19,0))</f>
        <v/>
      </c>
      <c r="BH19" s="98">
        <f>IF($H19="",0,IF(AND(BH$6&gt;=$H19,BH$6&lt;=$I19),$G19,0))</f>
        <v/>
      </c>
      <c r="BI19" s="98">
        <f>IF($H19="",0,IF(AND(BI$6&gt;=$H19,BI$6&lt;=$I19),$G19,0))</f>
        <v/>
      </c>
      <c r="BJ19" s="98">
        <f>IF($H19="",0,IF(AND(BJ$6&gt;=$H19,BJ$6&lt;=$I19),$G19,0))</f>
        <v/>
      </c>
      <c r="BK19" s="98">
        <f>IF($H19="",0,IF(AND(BK$6&gt;=$H19,BK$6&lt;=$I19),$G19,0))</f>
        <v/>
      </c>
      <c r="BL19" s="98">
        <f>IF($H19="",0,IF(AND(BL$6&gt;=$H19,BL$6&lt;=$I19),$G19,0))</f>
        <v/>
      </c>
      <c r="BM19" s="98">
        <f>IF($H19="",0,IF(AND(BM$6&gt;=$H19,BM$6&lt;=$I19),$G19,0))</f>
        <v/>
      </c>
      <c r="BN19" s="98">
        <f>IF($H19="",0,IF(AND(BN$6&gt;=$H19,BN$6&lt;=$I19),$G19,0))</f>
        <v/>
      </c>
      <c r="BO19" s="98">
        <f>IF($H19="",0,IF(AND(BO$6&gt;=$H19,BO$6&lt;=$I19),$G19,0))</f>
        <v/>
      </c>
      <c r="BP19" s="98">
        <f>IF($H19="",0,IF(AND(BP$6&gt;=$H19,BP$6&lt;=$I19),$G19,0))</f>
        <v/>
      </c>
      <c r="BQ19" s="98">
        <f>IF($H19="",0,IF(AND(BQ$6&gt;=$H19,BQ$6&lt;=$I19),$G19,0))</f>
        <v/>
      </c>
      <c r="BR19" s="98">
        <f>IF($H19="",0,IF(AND(BR$6&gt;=$H19,BR$6&lt;=$I19),$G19,0))</f>
        <v/>
      </c>
      <c r="BS19" s="98">
        <f>IF($H19="",0,IF(AND(BS$6&gt;=$H19,BS$6&lt;=$I19),$G19,0))</f>
        <v/>
      </c>
      <c r="BT19" s="98">
        <f>IF($H19="",0,IF(AND(BT$6&gt;=$H19,BT$6&lt;=$I19),$G19,0))</f>
        <v/>
      </c>
    </row>
    <row r="20">
      <c r="A20" s="74" t="n"/>
      <c r="B20" s="74" t="n"/>
      <c r="C20" s="74" t="n"/>
      <c r="D20" s="73" t="n"/>
      <c r="E20" s="76" t="n"/>
      <c r="F20" s="90" t="n"/>
      <c r="G20" s="84">
        <f>IF(OR($E20="",N($F20)&lt;=0),0,$E20/$F20)</f>
        <v/>
      </c>
      <c r="H20" s="96">
        <f>IF(OR($A20="",$B20="",$D20="",N($F20)&lt;=0),"",IFERROR(IF(DAY($D20)&gt;INDEX(CARTOES_FECHA,MATCH($B20,LISTA_CARTOES,0)),EDATE(DATE(YEAR($D20),MONTH($D20),1),1),DATE(YEAR($D20),MONTH($D20),1)),""))</f>
        <v/>
      </c>
      <c r="I20" s="96">
        <f>IF($H20="","",EDATE($H20,$F20-1))</f>
        <v/>
      </c>
      <c r="J20" s="97">
        <f>IF($H20="",0,MAX(0,MIN($F20,(YEAR($I20)*12+MONTH($I20))-(ANO_SEL*12+MES_SEL))))</f>
        <v/>
      </c>
      <c r="K20" s="84">
        <f>J20*G20</f>
        <v/>
      </c>
      <c r="M20" s="98">
        <f>IF($H20="",0,IF(AND(M$6&gt;=$H20,M$6&lt;=$I20),$G20,0))</f>
        <v/>
      </c>
      <c r="N20" s="98">
        <f>IF($H20="",0,IF(AND(N$6&gt;=$H20,N$6&lt;=$I20),$G20,0))</f>
        <v/>
      </c>
      <c r="O20" s="98">
        <f>IF($H20="",0,IF(AND(O$6&gt;=$H20,O$6&lt;=$I20),$G20,0))</f>
        <v/>
      </c>
      <c r="P20" s="98">
        <f>IF($H20="",0,IF(AND(P$6&gt;=$H20,P$6&lt;=$I20),$G20,0))</f>
        <v/>
      </c>
      <c r="Q20" s="98">
        <f>IF($H20="",0,IF(AND(Q$6&gt;=$H20,Q$6&lt;=$I20),$G20,0))</f>
        <v/>
      </c>
      <c r="R20" s="98">
        <f>IF($H20="",0,IF(AND(R$6&gt;=$H20,R$6&lt;=$I20),$G20,0))</f>
        <v/>
      </c>
      <c r="S20" s="98">
        <f>IF($H20="",0,IF(AND(S$6&gt;=$H20,S$6&lt;=$I20),$G20,0))</f>
        <v/>
      </c>
      <c r="T20" s="98">
        <f>IF($H20="",0,IF(AND(T$6&gt;=$H20,T$6&lt;=$I20),$G20,0))</f>
        <v/>
      </c>
      <c r="U20" s="98">
        <f>IF($H20="",0,IF(AND(U$6&gt;=$H20,U$6&lt;=$I20),$G20,0))</f>
        <v/>
      </c>
      <c r="V20" s="98">
        <f>IF($H20="",0,IF(AND(V$6&gt;=$H20,V$6&lt;=$I20),$G20,0))</f>
        <v/>
      </c>
      <c r="W20" s="98">
        <f>IF($H20="",0,IF(AND(W$6&gt;=$H20,W$6&lt;=$I20),$G20,0))</f>
        <v/>
      </c>
      <c r="X20" s="98">
        <f>IF($H20="",0,IF(AND(X$6&gt;=$H20,X$6&lt;=$I20),$G20,0))</f>
        <v/>
      </c>
      <c r="Y20" s="98">
        <f>IF($H20="",0,IF(AND(Y$6&gt;=$H20,Y$6&lt;=$I20),$G20,0))</f>
        <v/>
      </c>
      <c r="Z20" s="98">
        <f>IF($H20="",0,IF(AND(Z$6&gt;=$H20,Z$6&lt;=$I20),$G20,0))</f>
        <v/>
      </c>
      <c r="AA20" s="98">
        <f>IF($H20="",0,IF(AND(AA$6&gt;=$H20,AA$6&lt;=$I20),$G20,0))</f>
        <v/>
      </c>
      <c r="AB20" s="98">
        <f>IF($H20="",0,IF(AND(AB$6&gt;=$H20,AB$6&lt;=$I20),$G20,0))</f>
        <v/>
      </c>
      <c r="AC20" s="98">
        <f>IF($H20="",0,IF(AND(AC$6&gt;=$H20,AC$6&lt;=$I20),$G20,0))</f>
        <v/>
      </c>
      <c r="AD20" s="98">
        <f>IF($H20="",0,IF(AND(AD$6&gt;=$H20,AD$6&lt;=$I20),$G20,0))</f>
        <v/>
      </c>
      <c r="AE20" s="98">
        <f>IF($H20="",0,IF(AND(AE$6&gt;=$H20,AE$6&lt;=$I20),$G20,0))</f>
        <v/>
      </c>
      <c r="AF20" s="98">
        <f>IF($H20="",0,IF(AND(AF$6&gt;=$H20,AF$6&lt;=$I20),$G20,0))</f>
        <v/>
      </c>
      <c r="AG20" s="98">
        <f>IF($H20="",0,IF(AND(AG$6&gt;=$H20,AG$6&lt;=$I20),$G20,0))</f>
        <v/>
      </c>
      <c r="AH20" s="98">
        <f>IF($H20="",0,IF(AND(AH$6&gt;=$H20,AH$6&lt;=$I20),$G20,0))</f>
        <v/>
      </c>
      <c r="AI20" s="98">
        <f>IF($H20="",0,IF(AND(AI$6&gt;=$H20,AI$6&lt;=$I20),$G20,0))</f>
        <v/>
      </c>
      <c r="AJ20" s="98">
        <f>IF($H20="",0,IF(AND(AJ$6&gt;=$H20,AJ$6&lt;=$I20),$G20,0))</f>
        <v/>
      </c>
      <c r="AK20" s="98">
        <f>IF($H20="",0,IF(AND(AK$6&gt;=$H20,AK$6&lt;=$I20),$G20,0))</f>
        <v/>
      </c>
      <c r="AL20" s="98">
        <f>IF($H20="",0,IF(AND(AL$6&gt;=$H20,AL$6&lt;=$I20),$G20,0))</f>
        <v/>
      </c>
      <c r="AM20" s="98">
        <f>IF($H20="",0,IF(AND(AM$6&gt;=$H20,AM$6&lt;=$I20),$G20,0))</f>
        <v/>
      </c>
      <c r="AN20" s="98">
        <f>IF($H20="",0,IF(AND(AN$6&gt;=$H20,AN$6&lt;=$I20),$G20,0))</f>
        <v/>
      </c>
      <c r="AO20" s="98">
        <f>IF($H20="",0,IF(AND(AO$6&gt;=$H20,AO$6&lt;=$I20),$G20,0))</f>
        <v/>
      </c>
      <c r="AP20" s="98">
        <f>IF($H20="",0,IF(AND(AP$6&gt;=$H20,AP$6&lt;=$I20),$G20,0))</f>
        <v/>
      </c>
      <c r="AQ20" s="98">
        <f>IF($H20="",0,IF(AND(AQ$6&gt;=$H20,AQ$6&lt;=$I20),$G20,0))</f>
        <v/>
      </c>
      <c r="AR20" s="98">
        <f>IF($H20="",0,IF(AND(AR$6&gt;=$H20,AR$6&lt;=$I20),$G20,0))</f>
        <v/>
      </c>
      <c r="AS20" s="98">
        <f>IF($H20="",0,IF(AND(AS$6&gt;=$H20,AS$6&lt;=$I20),$G20,0))</f>
        <v/>
      </c>
      <c r="AT20" s="98">
        <f>IF($H20="",0,IF(AND(AT$6&gt;=$H20,AT$6&lt;=$I20),$G20,0))</f>
        <v/>
      </c>
      <c r="AU20" s="98">
        <f>IF($H20="",0,IF(AND(AU$6&gt;=$H20,AU$6&lt;=$I20),$G20,0))</f>
        <v/>
      </c>
      <c r="AV20" s="98">
        <f>IF($H20="",0,IF(AND(AV$6&gt;=$H20,AV$6&lt;=$I20),$G20,0))</f>
        <v/>
      </c>
      <c r="AW20" s="98">
        <f>IF($H20="",0,IF(AND(AW$6&gt;=$H20,AW$6&lt;=$I20),$G20,0))</f>
        <v/>
      </c>
      <c r="AX20" s="98">
        <f>IF($H20="",0,IF(AND(AX$6&gt;=$H20,AX$6&lt;=$I20),$G20,0))</f>
        <v/>
      </c>
      <c r="AY20" s="98">
        <f>IF($H20="",0,IF(AND(AY$6&gt;=$H20,AY$6&lt;=$I20),$G20,0))</f>
        <v/>
      </c>
      <c r="AZ20" s="98">
        <f>IF($H20="",0,IF(AND(AZ$6&gt;=$H20,AZ$6&lt;=$I20),$G20,0))</f>
        <v/>
      </c>
      <c r="BA20" s="98">
        <f>IF($H20="",0,IF(AND(BA$6&gt;=$H20,BA$6&lt;=$I20),$G20,0))</f>
        <v/>
      </c>
      <c r="BB20" s="98">
        <f>IF($H20="",0,IF(AND(BB$6&gt;=$H20,BB$6&lt;=$I20),$G20,0))</f>
        <v/>
      </c>
      <c r="BC20" s="98">
        <f>IF($H20="",0,IF(AND(BC$6&gt;=$H20,BC$6&lt;=$I20),$G20,0))</f>
        <v/>
      </c>
      <c r="BD20" s="98">
        <f>IF($H20="",0,IF(AND(BD$6&gt;=$H20,BD$6&lt;=$I20),$G20,0))</f>
        <v/>
      </c>
      <c r="BE20" s="98">
        <f>IF($H20="",0,IF(AND(BE$6&gt;=$H20,BE$6&lt;=$I20),$G20,0))</f>
        <v/>
      </c>
      <c r="BF20" s="98">
        <f>IF($H20="",0,IF(AND(BF$6&gt;=$H20,BF$6&lt;=$I20),$G20,0))</f>
        <v/>
      </c>
      <c r="BG20" s="98">
        <f>IF($H20="",0,IF(AND(BG$6&gt;=$H20,BG$6&lt;=$I20),$G20,0))</f>
        <v/>
      </c>
      <c r="BH20" s="98">
        <f>IF($H20="",0,IF(AND(BH$6&gt;=$H20,BH$6&lt;=$I20),$G20,0))</f>
        <v/>
      </c>
      <c r="BI20" s="98">
        <f>IF($H20="",0,IF(AND(BI$6&gt;=$H20,BI$6&lt;=$I20),$G20,0))</f>
        <v/>
      </c>
      <c r="BJ20" s="98">
        <f>IF($H20="",0,IF(AND(BJ$6&gt;=$H20,BJ$6&lt;=$I20),$G20,0))</f>
        <v/>
      </c>
      <c r="BK20" s="98">
        <f>IF($H20="",0,IF(AND(BK$6&gt;=$H20,BK$6&lt;=$I20),$G20,0))</f>
        <v/>
      </c>
      <c r="BL20" s="98">
        <f>IF($H20="",0,IF(AND(BL$6&gt;=$H20,BL$6&lt;=$I20),$G20,0))</f>
        <v/>
      </c>
      <c r="BM20" s="98">
        <f>IF($H20="",0,IF(AND(BM$6&gt;=$H20,BM$6&lt;=$I20),$G20,0))</f>
        <v/>
      </c>
      <c r="BN20" s="98">
        <f>IF($H20="",0,IF(AND(BN$6&gt;=$H20,BN$6&lt;=$I20),$G20,0))</f>
        <v/>
      </c>
      <c r="BO20" s="98">
        <f>IF($H20="",0,IF(AND(BO$6&gt;=$H20,BO$6&lt;=$I20),$G20,0))</f>
        <v/>
      </c>
      <c r="BP20" s="98">
        <f>IF($H20="",0,IF(AND(BP$6&gt;=$H20,BP$6&lt;=$I20),$G20,0))</f>
        <v/>
      </c>
      <c r="BQ20" s="98">
        <f>IF($H20="",0,IF(AND(BQ$6&gt;=$H20,BQ$6&lt;=$I20),$G20,0))</f>
        <v/>
      </c>
      <c r="BR20" s="98">
        <f>IF($H20="",0,IF(AND(BR$6&gt;=$H20,BR$6&lt;=$I20),$G20,0))</f>
        <v/>
      </c>
      <c r="BS20" s="98">
        <f>IF($H20="",0,IF(AND(BS$6&gt;=$H20,BS$6&lt;=$I20),$G20,0))</f>
        <v/>
      </c>
      <c r="BT20" s="98">
        <f>IF($H20="",0,IF(AND(BT$6&gt;=$H20,BT$6&lt;=$I20),$G20,0))</f>
        <v/>
      </c>
    </row>
    <row r="21">
      <c r="A21" s="74" t="n"/>
      <c r="B21" s="74" t="n"/>
      <c r="C21" s="74" t="n"/>
      <c r="D21" s="73" t="n"/>
      <c r="E21" s="76" t="n"/>
      <c r="F21" s="90" t="n"/>
      <c r="G21" s="84">
        <f>IF(OR($E21="",N($F21)&lt;=0),0,$E21/$F21)</f>
        <v/>
      </c>
      <c r="H21" s="96">
        <f>IF(OR($A21="",$B21="",$D21="",N($F21)&lt;=0),"",IFERROR(IF(DAY($D21)&gt;INDEX(CARTOES_FECHA,MATCH($B21,LISTA_CARTOES,0)),EDATE(DATE(YEAR($D21),MONTH($D21),1),1),DATE(YEAR($D21),MONTH($D21),1)),""))</f>
        <v/>
      </c>
      <c r="I21" s="96">
        <f>IF($H21="","",EDATE($H21,$F21-1))</f>
        <v/>
      </c>
      <c r="J21" s="97">
        <f>IF($H21="",0,MAX(0,MIN($F21,(YEAR($I21)*12+MONTH($I21))-(ANO_SEL*12+MES_SEL))))</f>
        <v/>
      </c>
      <c r="K21" s="84">
        <f>J21*G21</f>
        <v/>
      </c>
      <c r="M21" s="98">
        <f>IF($H21="",0,IF(AND(M$6&gt;=$H21,M$6&lt;=$I21),$G21,0))</f>
        <v/>
      </c>
      <c r="N21" s="98">
        <f>IF($H21="",0,IF(AND(N$6&gt;=$H21,N$6&lt;=$I21),$G21,0))</f>
        <v/>
      </c>
      <c r="O21" s="98">
        <f>IF($H21="",0,IF(AND(O$6&gt;=$H21,O$6&lt;=$I21),$G21,0))</f>
        <v/>
      </c>
      <c r="P21" s="98">
        <f>IF($H21="",0,IF(AND(P$6&gt;=$H21,P$6&lt;=$I21),$G21,0))</f>
        <v/>
      </c>
      <c r="Q21" s="98">
        <f>IF($H21="",0,IF(AND(Q$6&gt;=$H21,Q$6&lt;=$I21),$G21,0))</f>
        <v/>
      </c>
      <c r="R21" s="98">
        <f>IF($H21="",0,IF(AND(R$6&gt;=$H21,R$6&lt;=$I21),$G21,0))</f>
        <v/>
      </c>
      <c r="S21" s="98">
        <f>IF($H21="",0,IF(AND(S$6&gt;=$H21,S$6&lt;=$I21),$G21,0))</f>
        <v/>
      </c>
      <c r="T21" s="98">
        <f>IF($H21="",0,IF(AND(T$6&gt;=$H21,T$6&lt;=$I21),$G21,0))</f>
        <v/>
      </c>
      <c r="U21" s="98">
        <f>IF($H21="",0,IF(AND(U$6&gt;=$H21,U$6&lt;=$I21),$G21,0))</f>
        <v/>
      </c>
      <c r="V21" s="98">
        <f>IF($H21="",0,IF(AND(V$6&gt;=$H21,V$6&lt;=$I21),$G21,0))</f>
        <v/>
      </c>
      <c r="W21" s="98">
        <f>IF($H21="",0,IF(AND(W$6&gt;=$H21,W$6&lt;=$I21),$G21,0))</f>
        <v/>
      </c>
      <c r="X21" s="98">
        <f>IF($H21="",0,IF(AND(X$6&gt;=$H21,X$6&lt;=$I21),$G21,0))</f>
        <v/>
      </c>
      <c r="Y21" s="98">
        <f>IF($H21="",0,IF(AND(Y$6&gt;=$H21,Y$6&lt;=$I21),$G21,0))</f>
        <v/>
      </c>
      <c r="Z21" s="98">
        <f>IF($H21="",0,IF(AND(Z$6&gt;=$H21,Z$6&lt;=$I21),$G21,0))</f>
        <v/>
      </c>
      <c r="AA21" s="98">
        <f>IF($H21="",0,IF(AND(AA$6&gt;=$H21,AA$6&lt;=$I21),$G21,0))</f>
        <v/>
      </c>
      <c r="AB21" s="98">
        <f>IF($H21="",0,IF(AND(AB$6&gt;=$H21,AB$6&lt;=$I21),$G21,0))</f>
        <v/>
      </c>
      <c r="AC21" s="98">
        <f>IF($H21="",0,IF(AND(AC$6&gt;=$H21,AC$6&lt;=$I21),$G21,0))</f>
        <v/>
      </c>
      <c r="AD21" s="98">
        <f>IF($H21="",0,IF(AND(AD$6&gt;=$H21,AD$6&lt;=$I21),$G21,0))</f>
        <v/>
      </c>
      <c r="AE21" s="98">
        <f>IF($H21="",0,IF(AND(AE$6&gt;=$H21,AE$6&lt;=$I21),$G21,0))</f>
        <v/>
      </c>
      <c r="AF21" s="98">
        <f>IF($H21="",0,IF(AND(AF$6&gt;=$H21,AF$6&lt;=$I21),$G21,0))</f>
        <v/>
      </c>
      <c r="AG21" s="98">
        <f>IF($H21="",0,IF(AND(AG$6&gt;=$H21,AG$6&lt;=$I21),$G21,0))</f>
        <v/>
      </c>
      <c r="AH21" s="98">
        <f>IF($H21="",0,IF(AND(AH$6&gt;=$H21,AH$6&lt;=$I21),$G21,0))</f>
        <v/>
      </c>
      <c r="AI21" s="98">
        <f>IF($H21="",0,IF(AND(AI$6&gt;=$H21,AI$6&lt;=$I21),$G21,0))</f>
        <v/>
      </c>
      <c r="AJ21" s="98">
        <f>IF($H21="",0,IF(AND(AJ$6&gt;=$H21,AJ$6&lt;=$I21),$G21,0))</f>
        <v/>
      </c>
      <c r="AK21" s="98">
        <f>IF($H21="",0,IF(AND(AK$6&gt;=$H21,AK$6&lt;=$I21),$G21,0))</f>
        <v/>
      </c>
      <c r="AL21" s="98">
        <f>IF($H21="",0,IF(AND(AL$6&gt;=$H21,AL$6&lt;=$I21),$G21,0))</f>
        <v/>
      </c>
      <c r="AM21" s="98">
        <f>IF($H21="",0,IF(AND(AM$6&gt;=$H21,AM$6&lt;=$I21),$G21,0))</f>
        <v/>
      </c>
      <c r="AN21" s="98">
        <f>IF($H21="",0,IF(AND(AN$6&gt;=$H21,AN$6&lt;=$I21),$G21,0))</f>
        <v/>
      </c>
      <c r="AO21" s="98">
        <f>IF($H21="",0,IF(AND(AO$6&gt;=$H21,AO$6&lt;=$I21),$G21,0))</f>
        <v/>
      </c>
      <c r="AP21" s="98">
        <f>IF($H21="",0,IF(AND(AP$6&gt;=$H21,AP$6&lt;=$I21),$G21,0))</f>
        <v/>
      </c>
      <c r="AQ21" s="98">
        <f>IF($H21="",0,IF(AND(AQ$6&gt;=$H21,AQ$6&lt;=$I21),$G21,0))</f>
        <v/>
      </c>
      <c r="AR21" s="98">
        <f>IF($H21="",0,IF(AND(AR$6&gt;=$H21,AR$6&lt;=$I21),$G21,0))</f>
        <v/>
      </c>
      <c r="AS21" s="98">
        <f>IF($H21="",0,IF(AND(AS$6&gt;=$H21,AS$6&lt;=$I21),$G21,0))</f>
        <v/>
      </c>
      <c r="AT21" s="98">
        <f>IF($H21="",0,IF(AND(AT$6&gt;=$H21,AT$6&lt;=$I21),$G21,0))</f>
        <v/>
      </c>
      <c r="AU21" s="98">
        <f>IF($H21="",0,IF(AND(AU$6&gt;=$H21,AU$6&lt;=$I21),$G21,0))</f>
        <v/>
      </c>
      <c r="AV21" s="98">
        <f>IF($H21="",0,IF(AND(AV$6&gt;=$H21,AV$6&lt;=$I21),$G21,0))</f>
        <v/>
      </c>
      <c r="AW21" s="98">
        <f>IF($H21="",0,IF(AND(AW$6&gt;=$H21,AW$6&lt;=$I21),$G21,0))</f>
        <v/>
      </c>
      <c r="AX21" s="98">
        <f>IF($H21="",0,IF(AND(AX$6&gt;=$H21,AX$6&lt;=$I21),$G21,0))</f>
        <v/>
      </c>
      <c r="AY21" s="98">
        <f>IF($H21="",0,IF(AND(AY$6&gt;=$H21,AY$6&lt;=$I21),$G21,0))</f>
        <v/>
      </c>
      <c r="AZ21" s="98">
        <f>IF($H21="",0,IF(AND(AZ$6&gt;=$H21,AZ$6&lt;=$I21),$G21,0))</f>
        <v/>
      </c>
      <c r="BA21" s="98">
        <f>IF($H21="",0,IF(AND(BA$6&gt;=$H21,BA$6&lt;=$I21),$G21,0))</f>
        <v/>
      </c>
      <c r="BB21" s="98">
        <f>IF($H21="",0,IF(AND(BB$6&gt;=$H21,BB$6&lt;=$I21),$G21,0))</f>
        <v/>
      </c>
      <c r="BC21" s="98">
        <f>IF($H21="",0,IF(AND(BC$6&gt;=$H21,BC$6&lt;=$I21),$G21,0))</f>
        <v/>
      </c>
      <c r="BD21" s="98">
        <f>IF($H21="",0,IF(AND(BD$6&gt;=$H21,BD$6&lt;=$I21),$G21,0))</f>
        <v/>
      </c>
      <c r="BE21" s="98">
        <f>IF($H21="",0,IF(AND(BE$6&gt;=$H21,BE$6&lt;=$I21),$G21,0))</f>
        <v/>
      </c>
      <c r="BF21" s="98">
        <f>IF($H21="",0,IF(AND(BF$6&gt;=$H21,BF$6&lt;=$I21),$G21,0))</f>
        <v/>
      </c>
      <c r="BG21" s="98">
        <f>IF($H21="",0,IF(AND(BG$6&gt;=$H21,BG$6&lt;=$I21),$G21,0))</f>
        <v/>
      </c>
      <c r="BH21" s="98">
        <f>IF($H21="",0,IF(AND(BH$6&gt;=$H21,BH$6&lt;=$I21),$G21,0))</f>
        <v/>
      </c>
      <c r="BI21" s="98">
        <f>IF($H21="",0,IF(AND(BI$6&gt;=$H21,BI$6&lt;=$I21),$G21,0))</f>
        <v/>
      </c>
      <c r="BJ21" s="98">
        <f>IF($H21="",0,IF(AND(BJ$6&gt;=$H21,BJ$6&lt;=$I21),$G21,0))</f>
        <v/>
      </c>
      <c r="BK21" s="98">
        <f>IF($H21="",0,IF(AND(BK$6&gt;=$H21,BK$6&lt;=$I21),$G21,0))</f>
        <v/>
      </c>
      <c r="BL21" s="98">
        <f>IF($H21="",0,IF(AND(BL$6&gt;=$H21,BL$6&lt;=$I21),$G21,0))</f>
        <v/>
      </c>
      <c r="BM21" s="98">
        <f>IF($H21="",0,IF(AND(BM$6&gt;=$H21,BM$6&lt;=$I21),$G21,0))</f>
        <v/>
      </c>
      <c r="BN21" s="98">
        <f>IF($H21="",0,IF(AND(BN$6&gt;=$H21,BN$6&lt;=$I21),$G21,0))</f>
        <v/>
      </c>
      <c r="BO21" s="98">
        <f>IF($H21="",0,IF(AND(BO$6&gt;=$H21,BO$6&lt;=$I21),$G21,0))</f>
        <v/>
      </c>
      <c r="BP21" s="98">
        <f>IF($H21="",0,IF(AND(BP$6&gt;=$H21,BP$6&lt;=$I21),$G21,0))</f>
        <v/>
      </c>
      <c r="BQ21" s="98">
        <f>IF($H21="",0,IF(AND(BQ$6&gt;=$H21,BQ$6&lt;=$I21),$G21,0))</f>
        <v/>
      </c>
      <c r="BR21" s="98">
        <f>IF($H21="",0,IF(AND(BR$6&gt;=$H21,BR$6&lt;=$I21),$G21,0))</f>
        <v/>
      </c>
      <c r="BS21" s="98">
        <f>IF($H21="",0,IF(AND(BS$6&gt;=$H21,BS$6&lt;=$I21),$G21,0))</f>
        <v/>
      </c>
      <c r="BT21" s="98">
        <f>IF($H21="",0,IF(AND(BT$6&gt;=$H21,BT$6&lt;=$I21),$G21,0))</f>
        <v/>
      </c>
    </row>
    <row r="22">
      <c r="A22" s="74" t="n"/>
      <c r="B22" s="74" t="n"/>
      <c r="C22" s="74" t="n"/>
      <c r="D22" s="73" t="n"/>
      <c r="E22" s="76" t="n"/>
      <c r="F22" s="90" t="n"/>
      <c r="G22" s="84">
        <f>IF(OR($E22="",N($F22)&lt;=0),0,$E22/$F22)</f>
        <v/>
      </c>
      <c r="H22" s="96">
        <f>IF(OR($A22="",$B22="",$D22="",N($F22)&lt;=0),"",IFERROR(IF(DAY($D22)&gt;INDEX(CARTOES_FECHA,MATCH($B22,LISTA_CARTOES,0)),EDATE(DATE(YEAR($D22),MONTH($D22),1),1),DATE(YEAR($D22),MONTH($D22),1)),""))</f>
        <v/>
      </c>
      <c r="I22" s="96">
        <f>IF($H22="","",EDATE($H22,$F22-1))</f>
        <v/>
      </c>
      <c r="J22" s="97">
        <f>IF($H22="",0,MAX(0,MIN($F22,(YEAR($I22)*12+MONTH($I22))-(ANO_SEL*12+MES_SEL))))</f>
        <v/>
      </c>
      <c r="K22" s="84">
        <f>J22*G22</f>
        <v/>
      </c>
      <c r="M22" s="98">
        <f>IF($H22="",0,IF(AND(M$6&gt;=$H22,M$6&lt;=$I22),$G22,0))</f>
        <v/>
      </c>
      <c r="N22" s="98">
        <f>IF($H22="",0,IF(AND(N$6&gt;=$H22,N$6&lt;=$I22),$G22,0))</f>
        <v/>
      </c>
      <c r="O22" s="98">
        <f>IF($H22="",0,IF(AND(O$6&gt;=$H22,O$6&lt;=$I22),$G22,0))</f>
        <v/>
      </c>
      <c r="P22" s="98">
        <f>IF($H22="",0,IF(AND(P$6&gt;=$H22,P$6&lt;=$I22),$G22,0))</f>
        <v/>
      </c>
      <c r="Q22" s="98">
        <f>IF($H22="",0,IF(AND(Q$6&gt;=$H22,Q$6&lt;=$I22),$G22,0))</f>
        <v/>
      </c>
      <c r="R22" s="98">
        <f>IF($H22="",0,IF(AND(R$6&gt;=$H22,R$6&lt;=$I22),$G22,0))</f>
        <v/>
      </c>
      <c r="S22" s="98">
        <f>IF($H22="",0,IF(AND(S$6&gt;=$H22,S$6&lt;=$I22),$G22,0))</f>
        <v/>
      </c>
      <c r="T22" s="98">
        <f>IF($H22="",0,IF(AND(T$6&gt;=$H22,T$6&lt;=$I22),$G22,0))</f>
        <v/>
      </c>
      <c r="U22" s="98">
        <f>IF($H22="",0,IF(AND(U$6&gt;=$H22,U$6&lt;=$I22),$G22,0))</f>
        <v/>
      </c>
      <c r="V22" s="98">
        <f>IF($H22="",0,IF(AND(V$6&gt;=$H22,V$6&lt;=$I22),$G22,0))</f>
        <v/>
      </c>
      <c r="W22" s="98">
        <f>IF($H22="",0,IF(AND(W$6&gt;=$H22,W$6&lt;=$I22),$G22,0))</f>
        <v/>
      </c>
      <c r="X22" s="98">
        <f>IF($H22="",0,IF(AND(X$6&gt;=$H22,X$6&lt;=$I22),$G22,0))</f>
        <v/>
      </c>
      <c r="Y22" s="98">
        <f>IF($H22="",0,IF(AND(Y$6&gt;=$H22,Y$6&lt;=$I22),$G22,0))</f>
        <v/>
      </c>
      <c r="Z22" s="98">
        <f>IF($H22="",0,IF(AND(Z$6&gt;=$H22,Z$6&lt;=$I22),$G22,0))</f>
        <v/>
      </c>
      <c r="AA22" s="98">
        <f>IF($H22="",0,IF(AND(AA$6&gt;=$H22,AA$6&lt;=$I22),$G22,0))</f>
        <v/>
      </c>
      <c r="AB22" s="98">
        <f>IF($H22="",0,IF(AND(AB$6&gt;=$H22,AB$6&lt;=$I22),$G22,0))</f>
        <v/>
      </c>
      <c r="AC22" s="98">
        <f>IF($H22="",0,IF(AND(AC$6&gt;=$H22,AC$6&lt;=$I22),$G22,0))</f>
        <v/>
      </c>
      <c r="AD22" s="98">
        <f>IF($H22="",0,IF(AND(AD$6&gt;=$H22,AD$6&lt;=$I22),$G22,0))</f>
        <v/>
      </c>
      <c r="AE22" s="98">
        <f>IF($H22="",0,IF(AND(AE$6&gt;=$H22,AE$6&lt;=$I22),$G22,0))</f>
        <v/>
      </c>
      <c r="AF22" s="98">
        <f>IF($H22="",0,IF(AND(AF$6&gt;=$H22,AF$6&lt;=$I22),$G22,0))</f>
        <v/>
      </c>
      <c r="AG22" s="98">
        <f>IF($H22="",0,IF(AND(AG$6&gt;=$H22,AG$6&lt;=$I22),$G22,0))</f>
        <v/>
      </c>
      <c r="AH22" s="98">
        <f>IF($H22="",0,IF(AND(AH$6&gt;=$H22,AH$6&lt;=$I22),$G22,0))</f>
        <v/>
      </c>
      <c r="AI22" s="98">
        <f>IF($H22="",0,IF(AND(AI$6&gt;=$H22,AI$6&lt;=$I22),$G22,0))</f>
        <v/>
      </c>
      <c r="AJ22" s="98">
        <f>IF($H22="",0,IF(AND(AJ$6&gt;=$H22,AJ$6&lt;=$I22),$G22,0))</f>
        <v/>
      </c>
      <c r="AK22" s="98">
        <f>IF($H22="",0,IF(AND(AK$6&gt;=$H22,AK$6&lt;=$I22),$G22,0))</f>
        <v/>
      </c>
      <c r="AL22" s="98">
        <f>IF($H22="",0,IF(AND(AL$6&gt;=$H22,AL$6&lt;=$I22),$G22,0))</f>
        <v/>
      </c>
      <c r="AM22" s="98">
        <f>IF($H22="",0,IF(AND(AM$6&gt;=$H22,AM$6&lt;=$I22),$G22,0))</f>
        <v/>
      </c>
      <c r="AN22" s="98">
        <f>IF($H22="",0,IF(AND(AN$6&gt;=$H22,AN$6&lt;=$I22),$G22,0))</f>
        <v/>
      </c>
      <c r="AO22" s="98">
        <f>IF($H22="",0,IF(AND(AO$6&gt;=$H22,AO$6&lt;=$I22),$G22,0))</f>
        <v/>
      </c>
      <c r="AP22" s="98">
        <f>IF($H22="",0,IF(AND(AP$6&gt;=$H22,AP$6&lt;=$I22),$G22,0))</f>
        <v/>
      </c>
      <c r="AQ22" s="98">
        <f>IF($H22="",0,IF(AND(AQ$6&gt;=$H22,AQ$6&lt;=$I22),$G22,0))</f>
        <v/>
      </c>
      <c r="AR22" s="98">
        <f>IF($H22="",0,IF(AND(AR$6&gt;=$H22,AR$6&lt;=$I22),$G22,0))</f>
        <v/>
      </c>
      <c r="AS22" s="98">
        <f>IF($H22="",0,IF(AND(AS$6&gt;=$H22,AS$6&lt;=$I22),$G22,0))</f>
        <v/>
      </c>
      <c r="AT22" s="98">
        <f>IF($H22="",0,IF(AND(AT$6&gt;=$H22,AT$6&lt;=$I22),$G22,0))</f>
        <v/>
      </c>
      <c r="AU22" s="98">
        <f>IF($H22="",0,IF(AND(AU$6&gt;=$H22,AU$6&lt;=$I22),$G22,0))</f>
        <v/>
      </c>
      <c r="AV22" s="98">
        <f>IF($H22="",0,IF(AND(AV$6&gt;=$H22,AV$6&lt;=$I22),$G22,0))</f>
        <v/>
      </c>
      <c r="AW22" s="98">
        <f>IF($H22="",0,IF(AND(AW$6&gt;=$H22,AW$6&lt;=$I22),$G22,0))</f>
        <v/>
      </c>
      <c r="AX22" s="98">
        <f>IF($H22="",0,IF(AND(AX$6&gt;=$H22,AX$6&lt;=$I22),$G22,0))</f>
        <v/>
      </c>
      <c r="AY22" s="98">
        <f>IF($H22="",0,IF(AND(AY$6&gt;=$H22,AY$6&lt;=$I22),$G22,0))</f>
        <v/>
      </c>
      <c r="AZ22" s="98">
        <f>IF($H22="",0,IF(AND(AZ$6&gt;=$H22,AZ$6&lt;=$I22),$G22,0))</f>
        <v/>
      </c>
      <c r="BA22" s="98">
        <f>IF($H22="",0,IF(AND(BA$6&gt;=$H22,BA$6&lt;=$I22),$G22,0))</f>
        <v/>
      </c>
      <c r="BB22" s="98">
        <f>IF($H22="",0,IF(AND(BB$6&gt;=$H22,BB$6&lt;=$I22),$G22,0))</f>
        <v/>
      </c>
      <c r="BC22" s="98">
        <f>IF($H22="",0,IF(AND(BC$6&gt;=$H22,BC$6&lt;=$I22),$G22,0))</f>
        <v/>
      </c>
      <c r="BD22" s="98">
        <f>IF($H22="",0,IF(AND(BD$6&gt;=$H22,BD$6&lt;=$I22),$G22,0))</f>
        <v/>
      </c>
      <c r="BE22" s="98">
        <f>IF($H22="",0,IF(AND(BE$6&gt;=$H22,BE$6&lt;=$I22),$G22,0))</f>
        <v/>
      </c>
      <c r="BF22" s="98">
        <f>IF($H22="",0,IF(AND(BF$6&gt;=$H22,BF$6&lt;=$I22),$G22,0))</f>
        <v/>
      </c>
      <c r="BG22" s="98">
        <f>IF($H22="",0,IF(AND(BG$6&gt;=$H22,BG$6&lt;=$I22),$G22,0))</f>
        <v/>
      </c>
      <c r="BH22" s="98">
        <f>IF($H22="",0,IF(AND(BH$6&gt;=$H22,BH$6&lt;=$I22),$G22,0))</f>
        <v/>
      </c>
      <c r="BI22" s="98">
        <f>IF($H22="",0,IF(AND(BI$6&gt;=$H22,BI$6&lt;=$I22),$G22,0))</f>
        <v/>
      </c>
      <c r="BJ22" s="98">
        <f>IF($H22="",0,IF(AND(BJ$6&gt;=$H22,BJ$6&lt;=$I22),$G22,0))</f>
        <v/>
      </c>
      <c r="BK22" s="98">
        <f>IF($H22="",0,IF(AND(BK$6&gt;=$H22,BK$6&lt;=$I22),$G22,0))</f>
        <v/>
      </c>
      <c r="BL22" s="98">
        <f>IF($H22="",0,IF(AND(BL$6&gt;=$H22,BL$6&lt;=$I22),$G22,0))</f>
        <v/>
      </c>
      <c r="BM22" s="98">
        <f>IF($H22="",0,IF(AND(BM$6&gt;=$H22,BM$6&lt;=$I22),$G22,0))</f>
        <v/>
      </c>
      <c r="BN22" s="98">
        <f>IF($H22="",0,IF(AND(BN$6&gt;=$H22,BN$6&lt;=$I22),$G22,0))</f>
        <v/>
      </c>
      <c r="BO22" s="98">
        <f>IF($H22="",0,IF(AND(BO$6&gt;=$H22,BO$6&lt;=$I22),$G22,0))</f>
        <v/>
      </c>
      <c r="BP22" s="98">
        <f>IF($H22="",0,IF(AND(BP$6&gt;=$H22,BP$6&lt;=$I22),$G22,0))</f>
        <v/>
      </c>
      <c r="BQ22" s="98">
        <f>IF($H22="",0,IF(AND(BQ$6&gt;=$H22,BQ$6&lt;=$I22),$G22,0))</f>
        <v/>
      </c>
      <c r="BR22" s="98">
        <f>IF($H22="",0,IF(AND(BR$6&gt;=$H22,BR$6&lt;=$I22),$G22,0))</f>
        <v/>
      </c>
      <c r="BS22" s="98">
        <f>IF($H22="",0,IF(AND(BS$6&gt;=$H22,BS$6&lt;=$I22),$G22,0))</f>
        <v/>
      </c>
      <c r="BT22" s="98">
        <f>IF($H22="",0,IF(AND(BT$6&gt;=$H22,BT$6&lt;=$I22),$G22,0))</f>
        <v/>
      </c>
    </row>
    <row r="23">
      <c r="A23" s="74" t="n"/>
      <c r="B23" s="74" t="n"/>
      <c r="C23" s="74" t="n"/>
      <c r="D23" s="73" t="n"/>
      <c r="E23" s="76" t="n"/>
      <c r="F23" s="90" t="n"/>
      <c r="G23" s="84">
        <f>IF(OR($E23="",N($F23)&lt;=0),0,$E23/$F23)</f>
        <v/>
      </c>
      <c r="H23" s="96">
        <f>IF(OR($A23="",$B23="",$D23="",N($F23)&lt;=0),"",IFERROR(IF(DAY($D23)&gt;INDEX(CARTOES_FECHA,MATCH($B23,LISTA_CARTOES,0)),EDATE(DATE(YEAR($D23),MONTH($D23),1),1),DATE(YEAR($D23),MONTH($D23),1)),""))</f>
        <v/>
      </c>
      <c r="I23" s="96">
        <f>IF($H23="","",EDATE($H23,$F23-1))</f>
        <v/>
      </c>
      <c r="J23" s="97">
        <f>IF($H23="",0,MAX(0,MIN($F23,(YEAR($I23)*12+MONTH($I23))-(ANO_SEL*12+MES_SEL))))</f>
        <v/>
      </c>
      <c r="K23" s="84">
        <f>J23*G23</f>
        <v/>
      </c>
      <c r="M23" s="98">
        <f>IF($H23="",0,IF(AND(M$6&gt;=$H23,M$6&lt;=$I23),$G23,0))</f>
        <v/>
      </c>
      <c r="N23" s="98">
        <f>IF($H23="",0,IF(AND(N$6&gt;=$H23,N$6&lt;=$I23),$G23,0))</f>
        <v/>
      </c>
      <c r="O23" s="98">
        <f>IF($H23="",0,IF(AND(O$6&gt;=$H23,O$6&lt;=$I23),$G23,0))</f>
        <v/>
      </c>
      <c r="P23" s="98">
        <f>IF($H23="",0,IF(AND(P$6&gt;=$H23,P$6&lt;=$I23),$G23,0))</f>
        <v/>
      </c>
      <c r="Q23" s="98">
        <f>IF($H23="",0,IF(AND(Q$6&gt;=$H23,Q$6&lt;=$I23),$G23,0))</f>
        <v/>
      </c>
      <c r="R23" s="98">
        <f>IF($H23="",0,IF(AND(R$6&gt;=$H23,R$6&lt;=$I23),$G23,0))</f>
        <v/>
      </c>
      <c r="S23" s="98">
        <f>IF($H23="",0,IF(AND(S$6&gt;=$H23,S$6&lt;=$I23),$G23,0))</f>
        <v/>
      </c>
      <c r="T23" s="98">
        <f>IF($H23="",0,IF(AND(T$6&gt;=$H23,T$6&lt;=$I23),$G23,0))</f>
        <v/>
      </c>
      <c r="U23" s="98">
        <f>IF($H23="",0,IF(AND(U$6&gt;=$H23,U$6&lt;=$I23),$G23,0))</f>
        <v/>
      </c>
      <c r="V23" s="98">
        <f>IF($H23="",0,IF(AND(V$6&gt;=$H23,V$6&lt;=$I23),$G23,0))</f>
        <v/>
      </c>
      <c r="W23" s="98">
        <f>IF($H23="",0,IF(AND(W$6&gt;=$H23,W$6&lt;=$I23),$G23,0))</f>
        <v/>
      </c>
      <c r="X23" s="98">
        <f>IF($H23="",0,IF(AND(X$6&gt;=$H23,X$6&lt;=$I23),$G23,0))</f>
        <v/>
      </c>
      <c r="Y23" s="98">
        <f>IF($H23="",0,IF(AND(Y$6&gt;=$H23,Y$6&lt;=$I23),$G23,0))</f>
        <v/>
      </c>
      <c r="Z23" s="98">
        <f>IF($H23="",0,IF(AND(Z$6&gt;=$H23,Z$6&lt;=$I23),$G23,0))</f>
        <v/>
      </c>
      <c r="AA23" s="98">
        <f>IF($H23="",0,IF(AND(AA$6&gt;=$H23,AA$6&lt;=$I23),$G23,0))</f>
        <v/>
      </c>
      <c r="AB23" s="98">
        <f>IF($H23="",0,IF(AND(AB$6&gt;=$H23,AB$6&lt;=$I23),$G23,0))</f>
        <v/>
      </c>
      <c r="AC23" s="98">
        <f>IF($H23="",0,IF(AND(AC$6&gt;=$H23,AC$6&lt;=$I23),$G23,0))</f>
        <v/>
      </c>
      <c r="AD23" s="98">
        <f>IF($H23="",0,IF(AND(AD$6&gt;=$H23,AD$6&lt;=$I23),$G23,0))</f>
        <v/>
      </c>
      <c r="AE23" s="98">
        <f>IF($H23="",0,IF(AND(AE$6&gt;=$H23,AE$6&lt;=$I23),$G23,0))</f>
        <v/>
      </c>
      <c r="AF23" s="98">
        <f>IF($H23="",0,IF(AND(AF$6&gt;=$H23,AF$6&lt;=$I23),$G23,0))</f>
        <v/>
      </c>
      <c r="AG23" s="98">
        <f>IF($H23="",0,IF(AND(AG$6&gt;=$H23,AG$6&lt;=$I23),$G23,0))</f>
        <v/>
      </c>
      <c r="AH23" s="98">
        <f>IF($H23="",0,IF(AND(AH$6&gt;=$H23,AH$6&lt;=$I23),$G23,0))</f>
        <v/>
      </c>
      <c r="AI23" s="98">
        <f>IF($H23="",0,IF(AND(AI$6&gt;=$H23,AI$6&lt;=$I23),$G23,0))</f>
        <v/>
      </c>
      <c r="AJ23" s="98">
        <f>IF($H23="",0,IF(AND(AJ$6&gt;=$H23,AJ$6&lt;=$I23),$G23,0))</f>
        <v/>
      </c>
      <c r="AK23" s="98">
        <f>IF($H23="",0,IF(AND(AK$6&gt;=$H23,AK$6&lt;=$I23),$G23,0))</f>
        <v/>
      </c>
      <c r="AL23" s="98">
        <f>IF($H23="",0,IF(AND(AL$6&gt;=$H23,AL$6&lt;=$I23),$G23,0))</f>
        <v/>
      </c>
      <c r="AM23" s="98">
        <f>IF($H23="",0,IF(AND(AM$6&gt;=$H23,AM$6&lt;=$I23),$G23,0))</f>
        <v/>
      </c>
      <c r="AN23" s="98">
        <f>IF($H23="",0,IF(AND(AN$6&gt;=$H23,AN$6&lt;=$I23),$G23,0))</f>
        <v/>
      </c>
      <c r="AO23" s="98">
        <f>IF($H23="",0,IF(AND(AO$6&gt;=$H23,AO$6&lt;=$I23),$G23,0))</f>
        <v/>
      </c>
      <c r="AP23" s="98">
        <f>IF($H23="",0,IF(AND(AP$6&gt;=$H23,AP$6&lt;=$I23),$G23,0))</f>
        <v/>
      </c>
      <c r="AQ23" s="98">
        <f>IF($H23="",0,IF(AND(AQ$6&gt;=$H23,AQ$6&lt;=$I23),$G23,0))</f>
        <v/>
      </c>
      <c r="AR23" s="98">
        <f>IF($H23="",0,IF(AND(AR$6&gt;=$H23,AR$6&lt;=$I23),$G23,0))</f>
        <v/>
      </c>
      <c r="AS23" s="98">
        <f>IF($H23="",0,IF(AND(AS$6&gt;=$H23,AS$6&lt;=$I23),$G23,0))</f>
        <v/>
      </c>
      <c r="AT23" s="98">
        <f>IF($H23="",0,IF(AND(AT$6&gt;=$H23,AT$6&lt;=$I23),$G23,0))</f>
        <v/>
      </c>
      <c r="AU23" s="98">
        <f>IF($H23="",0,IF(AND(AU$6&gt;=$H23,AU$6&lt;=$I23),$G23,0))</f>
        <v/>
      </c>
      <c r="AV23" s="98">
        <f>IF($H23="",0,IF(AND(AV$6&gt;=$H23,AV$6&lt;=$I23),$G23,0))</f>
        <v/>
      </c>
      <c r="AW23" s="98">
        <f>IF($H23="",0,IF(AND(AW$6&gt;=$H23,AW$6&lt;=$I23),$G23,0))</f>
        <v/>
      </c>
      <c r="AX23" s="98">
        <f>IF($H23="",0,IF(AND(AX$6&gt;=$H23,AX$6&lt;=$I23),$G23,0))</f>
        <v/>
      </c>
      <c r="AY23" s="98">
        <f>IF($H23="",0,IF(AND(AY$6&gt;=$H23,AY$6&lt;=$I23),$G23,0))</f>
        <v/>
      </c>
      <c r="AZ23" s="98">
        <f>IF($H23="",0,IF(AND(AZ$6&gt;=$H23,AZ$6&lt;=$I23),$G23,0))</f>
        <v/>
      </c>
      <c r="BA23" s="98">
        <f>IF($H23="",0,IF(AND(BA$6&gt;=$H23,BA$6&lt;=$I23),$G23,0))</f>
        <v/>
      </c>
      <c r="BB23" s="98">
        <f>IF($H23="",0,IF(AND(BB$6&gt;=$H23,BB$6&lt;=$I23),$G23,0))</f>
        <v/>
      </c>
      <c r="BC23" s="98">
        <f>IF($H23="",0,IF(AND(BC$6&gt;=$H23,BC$6&lt;=$I23),$G23,0))</f>
        <v/>
      </c>
      <c r="BD23" s="98">
        <f>IF($H23="",0,IF(AND(BD$6&gt;=$H23,BD$6&lt;=$I23),$G23,0))</f>
        <v/>
      </c>
      <c r="BE23" s="98">
        <f>IF($H23="",0,IF(AND(BE$6&gt;=$H23,BE$6&lt;=$I23),$G23,0))</f>
        <v/>
      </c>
      <c r="BF23" s="98">
        <f>IF($H23="",0,IF(AND(BF$6&gt;=$H23,BF$6&lt;=$I23),$G23,0))</f>
        <v/>
      </c>
      <c r="BG23" s="98">
        <f>IF($H23="",0,IF(AND(BG$6&gt;=$H23,BG$6&lt;=$I23),$G23,0))</f>
        <v/>
      </c>
      <c r="BH23" s="98">
        <f>IF($H23="",0,IF(AND(BH$6&gt;=$H23,BH$6&lt;=$I23),$G23,0))</f>
        <v/>
      </c>
      <c r="BI23" s="98">
        <f>IF($H23="",0,IF(AND(BI$6&gt;=$H23,BI$6&lt;=$I23),$G23,0))</f>
        <v/>
      </c>
      <c r="BJ23" s="98">
        <f>IF($H23="",0,IF(AND(BJ$6&gt;=$H23,BJ$6&lt;=$I23),$G23,0))</f>
        <v/>
      </c>
      <c r="BK23" s="98">
        <f>IF($H23="",0,IF(AND(BK$6&gt;=$H23,BK$6&lt;=$I23),$G23,0))</f>
        <v/>
      </c>
      <c r="BL23" s="98">
        <f>IF($H23="",0,IF(AND(BL$6&gt;=$H23,BL$6&lt;=$I23),$G23,0))</f>
        <v/>
      </c>
      <c r="BM23" s="98">
        <f>IF($H23="",0,IF(AND(BM$6&gt;=$H23,BM$6&lt;=$I23),$G23,0))</f>
        <v/>
      </c>
      <c r="BN23" s="98">
        <f>IF($H23="",0,IF(AND(BN$6&gt;=$H23,BN$6&lt;=$I23),$G23,0))</f>
        <v/>
      </c>
      <c r="BO23" s="98">
        <f>IF($H23="",0,IF(AND(BO$6&gt;=$H23,BO$6&lt;=$I23),$G23,0))</f>
        <v/>
      </c>
      <c r="BP23" s="98">
        <f>IF($H23="",0,IF(AND(BP$6&gt;=$H23,BP$6&lt;=$I23),$G23,0))</f>
        <v/>
      </c>
      <c r="BQ23" s="98">
        <f>IF($H23="",0,IF(AND(BQ$6&gt;=$H23,BQ$6&lt;=$I23),$G23,0))</f>
        <v/>
      </c>
      <c r="BR23" s="98">
        <f>IF($H23="",0,IF(AND(BR$6&gt;=$H23,BR$6&lt;=$I23),$G23,0))</f>
        <v/>
      </c>
      <c r="BS23" s="98">
        <f>IF($H23="",0,IF(AND(BS$6&gt;=$H23,BS$6&lt;=$I23),$G23,0))</f>
        <v/>
      </c>
      <c r="BT23" s="98">
        <f>IF($H23="",0,IF(AND(BT$6&gt;=$H23,BT$6&lt;=$I23),$G23,0))</f>
        <v/>
      </c>
    </row>
    <row r="24">
      <c r="A24" s="74" t="n"/>
      <c r="B24" s="74" t="n"/>
      <c r="C24" s="74" t="n"/>
      <c r="D24" s="73" t="n"/>
      <c r="E24" s="76" t="n"/>
      <c r="F24" s="90" t="n"/>
      <c r="G24" s="84">
        <f>IF(OR($E24="",N($F24)&lt;=0),0,$E24/$F24)</f>
        <v/>
      </c>
      <c r="H24" s="96">
        <f>IF(OR($A24="",$B24="",$D24="",N($F24)&lt;=0),"",IFERROR(IF(DAY($D24)&gt;INDEX(CARTOES_FECHA,MATCH($B24,LISTA_CARTOES,0)),EDATE(DATE(YEAR($D24),MONTH($D24),1),1),DATE(YEAR($D24),MONTH($D24),1)),""))</f>
        <v/>
      </c>
      <c r="I24" s="96">
        <f>IF($H24="","",EDATE($H24,$F24-1))</f>
        <v/>
      </c>
      <c r="J24" s="97">
        <f>IF($H24="",0,MAX(0,MIN($F24,(YEAR($I24)*12+MONTH($I24))-(ANO_SEL*12+MES_SEL))))</f>
        <v/>
      </c>
      <c r="K24" s="84">
        <f>J24*G24</f>
        <v/>
      </c>
      <c r="M24" s="98">
        <f>IF($H24="",0,IF(AND(M$6&gt;=$H24,M$6&lt;=$I24),$G24,0))</f>
        <v/>
      </c>
      <c r="N24" s="98">
        <f>IF($H24="",0,IF(AND(N$6&gt;=$H24,N$6&lt;=$I24),$G24,0))</f>
        <v/>
      </c>
      <c r="O24" s="98">
        <f>IF($H24="",0,IF(AND(O$6&gt;=$H24,O$6&lt;=$I24),$G24,0))</f>
        <v/>
      </c>
      <c r="P24" s="98">
        <f>IF($H24="",0,IF(AND(P$6&gt;=$H24,P$6&lt;=$I24),$G24,0))</f>
        <v/>
      </c>
      <c r="Q24" s="98">
        <f>IF($H24="",0,IF(AND(Q$6&gt;=$H24,Q$6&lt;=$I24),$G24,0))</f>
        <v/>
      </c>
      <c r="R24" s="98">
        <f>IF($H24="",0,IF(AND(R$6&gt;=$H24,R$6&lt;=$I24),$G24,0))</f>
        <v/>
      </c>
      <c r="S24" s="98">
        <f>IF($H24="",0,IF(AND(S$6&gt;=$H24,S$6&lt;=$I24),$G24,0))</f>
        <v/>
      </c>
      <c r="T24" s="98">
        <f>IF($H24="",0,IF(AND(T$6&gt;=$H24,T$6&lt;=$I24),$G24,0))</f>
        <v/>
      </c>
      <c r="U24" s="98">
        <f>IF($H24="",0,IF(AND(U$6&gt;=$H24,U$6&lt;=$I24),$G24,0))</f>
        <v/>
      </c>
      <c r="V24" s="98">
        <f>IF($H24="",0,IF(AND(V$6&gt;=$H24,V$6&lt;=$I24),$G24,0))</f>
        <v/>
      </c>
      <c r="W24" s="98">
        <f>IF($H24="",0,IF(AND(W$6&gt;=$H24,W$6&lt;=$I24),$G24,0))</f>
        <v/>
      </c>
      <c r="X24" s="98">
        <f>IF($H24="",0,IF(AND(X$6&gt;=$H24,X$6&lt;=$I24),$G24,0))</f>
        <v/>
      </c>
      <c r="Y24" s="98">
        <f>IF($H24="",0,IF(AND(Y$6&gt;=$H24,Y$6&lt;=$I24),$G24,0))</f>
        <v/>
      </c>
      <c r="Z24" s="98">
        <f>IF($H24="",0,IF(AND(Z$6&gt;=$H24,Z$6&lt;=$I24),$G24,0))</f>
        <v/>
      </c>
      <c r="AA24" s="98">
        <f>IF($H24="",0,IF(AND(AA$6&gt;=$H24,AA$6&lt;=$I24),$G24,0))</f>
        <v/>
      </c>
      <c r="AB24" s="98">
        <f>IF($H24="",0,IF(AND(AB$6&gt;=$H24,AB$6&lt;=$I24),$G24,0))</f>
        <v/>
      </c>
      <c r="AC24" s="98">
        <f>IF($H24="",0,IF(AND(AC$6&gt;=$H24,AC$6&lt;=$I24),$G24,0))</f>
        <v/>
      </c>
      <c r="AD24" s="98">
        <f>IF($H24="",0,IF(AND(AD$6&gt;=$H24,AD$6&lt;=$I24),$G24,0))</f>
        <v/>
      </c>
      <c r="AE24" s="98">
        <f>IF($H24="",0,IF(AND(AE$6&gt;=$H24,AE$6&lt;=$I24),$G24,0))</f>
        <v/>
      </c>
      <c r="AF24" s="98">
        <f>IF($H24="",0,IF(AND(AF$6&gt;=$H24,AF$6&lt;=$I24),$G24,0))</f>
        <v/>
      </c>
      <c r="AG24" s="98">
        <f>IF($H24="",0,IF(AND(AG$6&gt;=$H24,AG$6&lt;=$I24),$G24,0))</f>
        <v/>
      </c>
      <c r="AH24" s="98">
        <f>IF($H24="",0,IF(AND(AH$6&gt;=$H24,AH$6&lt;=$I24),$G24,0))</f>
        <v/>
      </c>
      <c r="AI24" s="98">
        <f>IF($H24="",0,IF(AND(AI$6&gt;=$H24,AI$6&lt;=$I24),$G24,0))</f>
        <v/>
      </c>
      <c r="AJ24" s="98">
        <f>IF($H24="",0,IF(AND(AJ$6&gt;=$H24,AJ$6&lt;=$I24),$G24,0))</f>
        <v/>
      </c>
      <c r="AK24" s="98">
        <f>IF($H24="",0,IF(AND(AK$6&gt;=$H24,AK$6&lt;=$I24),$G24,0))</f>
        <v/>
      </c>
      <c r="AL24" s="98">
        <f>IF($H24="",0,IF(AND(AL$6&gt;=$H24,AL$6&lt;=$I24),$G24,0))</f>
        <v/>
      </c>
      <c r="AM24" s="98">
        <f>IF($H24="",0,IF(AND(AM$6&gt;=$H24,AM$6&lt;=$I24),$G24,0))</f>
        <v/>
      </c>
      <c r="AN24" s="98">
        <f>IF($H24="",0,IF(AND(AN$6&gt;=$H24,AN$6&lt;=$I24),$G24,0))</f>
        <v/>
      </c>
      <c r="AO24" s="98">
        <f>IF($H24="",0,IF(AND(AO$6&gt;=$H24,AO$6&lt;=$I24),$G24,0))</f>
        <v/>
      </c>
      <c r="AP24" s="98">
        <f>IF($H24="",0,IF(AND(AP$6&gt;=$H24,AP$6&lt;=$I24),$G24,0))</f>
        <v/>
      </c>
      <c r="AQ24" s="98">
        <f>IF($H24="",0,IF(AND(AQ$6&gt;=$H24,AQ$6&lt;=$I24),$G24,0))</f>
        <v/>
      </c>
      <c r="AR24" s="98">
        <f>IF($H24="",0,IF(AND(AR$6&gt;=$H24,AR$6&lt;=$I24),$G24,0))</f>
        <v/>
      </c>
      <c r="AS24" s="98">
        <f>IF($H24="",0,IF(AND(AS$6&gt;=$H24,AS$6&lt;=$I24),$G24,0))</f>
        <v/>
      </c>
      <c r="AT24" s="98">
        <f>IF($H24="",0,IF(AND(AT$6&gt;=$H24,AT$6&lt;=$I24),$G24,0))</f>
        <v/>
      </c>
      <c r="AU24" s="98">
        <f>IF($H24="",0,IF(AND(AU$6&gt;=$H24,AU$6&lt;=$I24),$G24,0))</f>
        <v/>
      </c>
      <c r="AV24" s="98">
        <f>IF($H24="",0,IF(AND(AV$6&gt;=$H24,AV$6&lt;=$I24),$G24,0))</f>
        <v/>
      </c>
      <c r="AW24" s="98">
        <f>IF($H24="",0,IF(AND(AW$6&gt;=$H24,AW$6&lt;=$I24),$G24,0))</f>
        <v/>
      </c>
      <c r="AX24" s="98">
        <f>IF($H24="",0,IF(AND(AX$6&gt;=$H24,AX$6&lt;=$I24),$G24,0))</f>
        <v/>
      </c>
      <c r="AY24" s="98">
        <f>IF($H24="",0,IF(AND(AY$6&gt;=$H24,AY$6&lt;=$I24),$G24,0))</f>
        <v/>
      </c>
      <c r="AZ24" s="98">
        <f>IF($H24="",0,IF(AND(AZ$6&gt;=$H24,AZ$6&lt;=$I24),$G24,0))</f>
        <v/>
      </c>
      <c r="BA24" s="98">
        <f>IF($H24="",0,IF(AND(BA$6&gt;=$H24,BA$6&lt;=$I24),$G24,0))</f>
        <v/>
      </c>
      <c r="BB24" s="98">
        <f>IF($H24="",0,IF(AND(BB$6&gt;=$H24,BB$6&lt;=$I24),$G24,0))</f>
        <v/>
      </c>
      <c r="BC24" s="98">
        <f>IF($H24="",0,IF(AND(BC$6&gt;=$H24,BC$6&lt;=$I24),$G24,0))</f>
        <v/>
      </c>
      <c r="BD24" s="98">
        <f>IF($H24="",0,IF(AND(BD$6&gt;=$H24,BD$6&lt;=$I24),$G24,0))</f>
        <v/>
      </c>
      <c r="BE24" s="98">
        <f>IF($H24="",0,IF(AND(BE$6&gt;=$H24,BE$6&lt;=$I24),$G24,0))</f>
        <v/>
      </c>
      <c r="BF24" s="98">
        <f>IF($H24="",0,IF(AND(BF$6&gt;=$H24,BF$6&lt;=$I24),$G24,0))</f>
        <v/>
      </c>
      <c r="BG24" s="98">
        <f>IF($H24="",0,IF(AND(BG$6&gt;=$H24,BG$6&lt;=$I24),$G24,0))</f>
        <v/>
      </c>
      <c r="BH24" s="98">
        <f>IF($H24="",0,IF(AND(BH$6&gt;=$H24,BH$6&lt;=$I24),$G24,0))</f>
        <v/>
      </c>
      <c r="BI24" s="98">
        <f>IF($H24="",0,IF(AND(BI$6&gt;=$H24,BI$6&lt;=$I24),$G24,0))</f>
        <v/>
      </c>
      <c r="BJ24" s="98">
        <f>IF($H24="",0,IF(AND(BJ$6&gt;=$H24,BJ$6&lt;=$I24),$G24,0))</f>
        <v/>
      </c>
      <c r="BK24" s="98">
        <f>IF($H24="",0,IF(AND(BK$6&gt;=$H24,BK$6&lt;=$I24),$G24,0))</f>
        <v/>
      </c>
      <c r="BL24" s="98">
        <f>IF($H24="",0,IF(AND(BL$6&gt;=$H24,BL$6&lt;=$I24),$G24,0))</f>
        <v/>
      </c>
      <c r="BM24" s="98">
        <f>IF($H24="",0,IF(AND(BM$6&gt;=$H24,BM$6&lt;=$I24),$G24,0))</f>
        <v/>
      </c>
      <c r="BN24" s="98">
        <f>IF($H24="",0,IF(AND(BN$6&gt;=$H24,BN$6&lt;=$I24),$G24,0))</f>
        <v/>
      </c>
      <c r="BO24" s="98">
        <f>IF($H24="",0,IF(AND(BO$6&gt;=$H24,BO$6&lt;=$I24),$G24,0))</f>
        <v/>
      </c>
      <c r="BP24" s="98">
        <f>IF($H24="",0,IF(AND(BP$6&gt;=$H24,BP$6&lt;=$I24),$G24,0))</f>
        <v/>
      </c>
      <c r="BQ24" s="98">
        <f>IF($H24="",0,IF(AND(BQ$6&gt;=$H24,BQ$6&lt;=$I24),$G24,0))</f>
        <v/>
      </c>
      <c r="BR24" s="98">
        <f>IF($H24="",0,IF(AND(BR$6&gt;=$H24,BR$6&lt;=$I24),$G24,0))</f>
        <v/>
      </c>
      <c r="BS24" s="98">
        <f>IF($H24="",0,IF(AND(BS$6&gt;=$H24,BS$6&lt;=$I24),$G24,0))</f>
        <v/>
      </c>
      <c r="BT24" s="98">
        <f>IF($H24="",0,IF(AND(BT$6&gt;=$H24,BT$6&lt;=$I24),$G24,0))</f>
        <v/>
      </c>
    </row>
    <row r="25">
      <c r="A25" s="74" t="n"/>
      <c r="B25" s="74" t="n"/>
      <c r="C25" s="74" t="n"/>
      <c r="D25" s="73" t="n"/>
      <c r="E25" s="76" t="n"/>
      <c r="F25" s="90" t="n"/>
      <c r="G25" s="84">
        <f>IF(OR($E25="",N($F25)&lt;=0),0,$E25/$F25)</f>
        <v/>
      </c>
      <c r="H25" s="96">
        <f>IF(OR($A25="",$B25="",$D25="",N($F25)&lt;=0),"",IFERROR(IF(DAY($D25)&gt;INDEX(CARTOES_FECHA,MATCH($B25,LISTA_CARTOES,0)),EDATE(DATE(YEAR($D25),MONTH($D25),1),1),DATE(YEAR($D25),MONTH($D25),1)),""))</f>
        <v/>
      </c>
      <c r="I25" s="96">
        <f>IF($H25="","",EDATE($H25,$F25-1))</f>
        <v/>
      </c>
      <c r="J25" s="97">
        <f>IF($H25="",0,MAX(0,MIN($F25,(YEAR($I25)*12+MONTH($I25))-(ANO_SEL*12+MES_SEL))))</f>
        <v/>
      </c>
      <c r="K25" s="84">
        <f>J25*G25</f>
        <v/>
      </c>
      <c r="M25" s="98">
        <f>IF($H25="",0,IF(AND(M$6&gt;=$H25,M$6&lt;=$I25),$G25,0))</f>
        <v/>
      </c>
      <c r="N25" s="98">
        <f>IF($H25="",0,IF(AND(N$6&gt;=$H25,N$6&lt;=$I25),$G25,0))</f>
        <v/>
      </c>
      <c r="O25" s="98">
        <f>IF($H25="",0,IF(AND(O$6&gt;=$H25,O$6&lt;=$I25),$G25,0))</f>
        <v/>
      </c>
      <c r="P25" s="98">
        <f>IF($H25="",0,IF(AND(P$6&gt;=$H25,P$6&lt;=$I25),$G25,0))</f>
        <v/>
      </c>
      <c r="Q25" s="98">
        <f>IF($H25="",0,IF(AND(Q$6&gt;=$H25,Q$6&lt;=$I25),$G25,0))</f>
        <v/>
      </c>
      <c r="R25" s="98">
        <f>IF($H25="",0,IF(AND(R$6&gt;=$H25,R$6&lt;=$I25),$G25,0))</f>
        <v/>
      </c>
      <c r="S25" s="98">
        <f>IF($H25="",0,IF(AND(S$6&gt;=$H25,S$6&lt;=$I25),$G25,0))</f>
        <v/>
      </c>
      <c r="T25" s="98">
        <f>IF($H25="",0,IF(AND(T$6&gt;=$H25,T$6&lt;=$I25),$G25,0))</f>
        <v/>
      </c>
      <c r="U25" s="98">
        <f>IF($H25="",0,IF(AND(U$6&gt;=$H25,U$6&lt;=$I25),$G25,0))</f>
        <v/>
      </c>
      <c r="V25" s="98">
        <f>IF($H25="",0,IF(AND(V$6&gt;=$H25,V$6&lt;=$I25),$G25,0))</f>
        <v/>
      </c>
      <c r="W25" s="98">
        <f>IF($H25="",0,IF(AND(W$6&gt;=$H25,W$6&lt;=$I25),$G25,0))</f>
        <v/>
      </c>
      <c r="X25" s="98">
        <f>IF($H25="",0,IF(AND(X$6&gt;=$H25,X$6&lt;=$I25),$G25,0))</f>
        <v/>
      </c>
      <c r="Y25" s="98">
        <f>IF($H25="",0,IF(AND(Y$6&gt;=$H25,Y$6&lt;=$I25),$G25,0))</f>
        <v/>
      </c>
      <c r="Z25" s="98">
        <f>IF($H25="",0,IF(AND(Z$6&gt;=$H25,Z$6&lt;=$I25),$G25,0))</f>
        <v/>
      </c>
      <c r="AA25" s="98">
        <f>IF($H25="",0,IF(AND(AA$6&gt;=$H25,AA$6&lt;=$I25),$G25,0))</f>
        <v/>
      </c>
      <c r="AB25" s="98">
        <f>IF($H25="",0,IF(AND(AB$6&gt;=$H25,AB$6&lt;=$I25),$G25,0))</f>
        <v/>
      </c>
      <c r="AC25" s="98">
        <f>IF($H25="",0,IF(AND(AC$6&gt;=$H25,AC$6&lt;=$I25),$G25,0))</f>
        <v/>
      </c>
      <c r="AD25" s="98">
        <f>IF($H25="",0,IF(AND(AD$6&gt;=$H25,AD$6&lt;=$I25),$G25,0))</f>
        <v/>
      </c>
      <c r="AE25" s="98">
        <f>IF($H25="",0,IF(AND(AE$6&gt;=$H25,AE$6&lt;=$I25),$G25,0))</f>
        <v/>
      </c>
      <c r="AF25" s="98">
        <f>IF($H25="",0,IF(AND(AF$6&gt;=$H25,AF$6&lt;=$I25),$G25,0))</f>
        <v/>
      </c>
      <c r="AG25" s="98">
        <f>IF($H25="",0,IF(AND(AG$6&gt;=$H25,AG$6&lt;=$I25),$G25,0))</f>
        <v/>
      </c>
      <c r="AH25" s="98">
        <f>IF($H25="",0,IF(AND(AH$6&gt;=$H25,AH$6&lt;=$I25),$G25,0))</f>
        <v/>
      </c>
      <c r="AI25" s="98">
        <f>IF($H25="",0,IF(AND(AI$6&gt;=$H25,AI$6&lt;=$I25),$G25,0))</f>
        <v/>
      </c>
      <c r="AJ25" s="98">
        <f>IF($H25="",0,IF(AND(AJ$6&gt;=$H25,AJ$6&lt;=$I25),$G25,0))</f>
        <v/>
      </c>
      <c r="AK25" s="98">
        <f>IF($H25="",0,IF(AND(AK$6&gt;=$H25,AK$6&lt;=$I25),$G25,0))</f>
        <v/>
      </c>
      <c r="AL25" s="98">
        <f>IF($H25="",0,IF(AND(AL$6&gt;=$H25,AL$6&lt;=$I25),$G25,0))</f>
        <v/>
      </c>
      <c r="AM25" s="98">
        <f>IF($H25="",0,IF(AND(AM$6&gt;=$H25,AM$6&lt;=$I25),$G25,0))</f>
        <v/>
      </c>
      <c r="AN25" s="98">
        <f>IF($H25="",0,IF(AND(AN$6&gt;=$H25,AN$6&lt;=$I25),$G25,0))</f>
        <v/>
      </c>
      <c r="AO25" s="98">
        <f>IF($H25="",0,IF(AND(AO$6&gt;=$H25,AO$6&lt;=$I25),$G25,0))</f>
        <v/>
      </c>
      <c r="AP25" s="98">
        <f>IF($H25="",0,IF(AND(AP$6&gt;=$H25,AP$6&lt;=$I25),$G25,0))</f>
        <v/>
      </c>
      <c r="AQ25" s="98">
        <f>IF($H25="",0,IF(AND(AQ$6&gt;=$H25,AQ$6&lt;=$I25),$G25,0))</f>
        <v/>
      </c>
      <c r="AR25" s="98">
        <f>IF($H25="",0,IF(AND(AR$6&gt;=$H25,AR$6&lt;=$I25),$G25,0))</f>
        <v/>
      </c>
      <c r="AS25" s="98">
        <f>IF($H25="",0,IF(AND(AS$6&gt;=$H25,AS$6&lt;=$I25),$G25,0))</f>
        <v/>
      </c>
      <c r="AT25" s="98">
        <f>IF($H25="",0,IF(AND(AT$6&gt;=$H25,AT$6&lt;=$I25),$G25,0))</f>
        <v/>
      </c>
      <c r="AU25" s="98">
        <f>IF($H25="",0,IF(AND(AU$6&gt;=$H25,AU$6&lt;=$I25),$G25,0))</f>
        <v/>
      </c>
      <c r="AV25" s="98">
        <f>IF($H25="",0,IF(AND(AV$6&gt;=$H25,AV$6&lt;=$I25),$G25,0))</f>
        <v/>
      </c>
      <c r="AW25" s="98">
        <f>IF($H25="",0,IF(AND(AW$6&gt;=$H25,AW$6&lt;=$I25),$G25,0))</f>
        <v/>
      </c>
      <c r="AX25" s="98">
        <f>IF($H25="",0,IF(AND(AX$6&gt;=$H25,AX$6&lt;=$I25),$G25,0))</f>
        <v/>
      </c>
      <c r="AY25" s="98">
        <f>IF($H25="",0,IF(AND(AY$6&gt;=$H25,AY$6&lt;=$I25),$G25,0))</f>
        <v/>
      </c>
      <c r="AZ25" s="98">
        <f>IF($H25="",0,IF(AND(AZ$6&gt;=$H25,AZ$6&lt;=$I25),$G25,0))</f>
        <v/>
      </c>
      <c r="BA25" s="98">
        <f>IF($H25="",0,IF(AND(BA$6&gt;=$H25,BA$6&lt;=$I25),$G25,0))</f>
        <v/>
      </c>
      <c r="BB25" s="98">
        <f>IF($H25="",0,IF(AND(BB$6&gt;=$H25,BB$6&lt;=$I25),$G25,0))</f>
        <v/>
      </c>
      <c r="BC25" s="98">
        <f>IF($H25="",0,IF(AND(BC$6&gt;=$H25,BC$6&lt;=$I25),$G25,0))</f>
        <v/>
      </c>
      <c r="BD25" s="98">
        <f>IF($H25="",0,IF(AND(BD$6&gt;=$H25,BD$6&lt;=$I25),$G25,0))</f>
        <v/>
      </c>
      <c r="BE25" s="98">
        <f>IF($H25="",0,IF(AND(BE$6&gt;=$H25,BE$6&lt;=$I25),$G25,0))</f>
        <v/>
      </c>
      <c r="BF25" s="98">
        <f>IF($H25="",0,IF(AND(BF$6&gt;=$H25,BF$6&lt;=$I25),$G25,0))</f>
        <v/>
      </c>
      <c r="BG25" s="98">
        <f>IF($H25="",0,IF(AND(BG$6&gt;=$H25,BG$6&lt;=$I25),$G25,0))</f>
        <v/>
      </c>
      <c r="BH25" s="98">
        <f>IF($H25="",0,IF(AND(BH$6&gt;=$H25,BH$6&lt;=$I25),$G25,0))</f>
        <v/>
      </c>
      <c r="BI25" s="98">
        <f>IF($H25="",0,IF(AND(BI$6&gt;=$H25,BI$6&lt;=$I25),$G25,0))</f>
        <v/>
      </c>
      <c r="BJ25" s="98">
        <f>IF($H25="",0,IF(AND(BJ$6&gt;=$H25,BJ$6&lt;=$I25),$G25,0))</f>
        <v/>
      </c>
      <c r="BK25" s="98">
        <f>IF($H25="",0,IF(AND(BK$6&gt;=$H25,BK$6&lt;=$I25),$G25,0))</f>
        <v/>
      </c>
      <c r="BL25" s="98">
        <f>IF($H25="",0,IF(AND(BL$6&gt;=$H25,BL$6&lt;=$I25),$G25,0))</f>
        <v/>
      </c>
      <c r="BM25" s="98">
        <f>IF($H25="",0,IF(AND(BM$6&gt;=$H25,BM$6&lt;=$I25),$G25,0))</f>
        <v/>
      </c>
      <c r="BN25" s="98">
        <f>IF($H25="",0,IF(AND(BN$6&gt;=$H25,BN$6&lt;=$I25),$G25,0))</f>
        <v/>
      </c>
      <c r="BO25" s="98">
        <f>IF($H25="",0,IF(AND(BO$6&gt;=$H25,BO$6&lt;=$I25),$G25,0))</f>
        <v/>
      </c>
      <c r="BP25" s="98">
        <f>IF($H25="",0,IF(AND(BP$6&gt;=$H25,BP$6&lt;=$I25),$G25,0))</f>
        <v/>
      </c>
      <c r="BQ25" s="98">
        <f>IF($H25="",0,IF(AND(BQ$6&gt;=$H25,BQ$6&lt;=$I25),$G25,0))</f>
        <v/>
      </c>
      <c r="BR25" s="98">
        <f>IF($H25="",0,IF(AND(BR$6&gt;=$H25,BR$6&lt;=$I25),$G25,0))</f>
        <v/>
      </c>
      <c r="BS25" s="98">
        <f>IF($H25="",0,IF(AND(BS$6&gt;=$H25,BS$6&lt;=$I25),$G25,0))</f>
        <v/>
      </c>
      <c r="BT25" s="98">
        <f>IF($H25="",0,IF(AND(BT$6&gt;=$H25,BT$6&lt;=$I25),$G25,0))</f>
        <v/>
      </c>
    </row>
    <row r="26">
      <c r="A26" s="74" t="n"/>
      <c r="B26" s="74" t="n"/>
      <c r="C26" s="74" t="n"/>
      <c r="D26" s="73" t="n"/>
      <c r="E26" s="76" t="n"/>
      <c r="F26" s="90" t="n"/>
      <c r="G26" s="84">
        <f>IF(OR($E26="",N($F26)&lt;=0),0,$E26/$F26)</f>
        <v/>
      </c>
      <c r="H26" s="96">
        <f>IF(OR($A26="",$B26="",$D26="",N($F26)&lt;=0),"",IFERROR(IF(DAY($D26)&gt;INDEX(CARTOES_FECHA,MATCH($B26,LISTA_CARTOES,0)),EDATE(DATE(YEAR($D26),MONTH($D26),1),1),DATE(YEAR($D26),MONTH($D26),1)),""))</f>
        <v/>
      </c>
      <c r="I26" s="96">
        <f>IF($H26="","",EDATE($H26,$F26-1))</f>
        <v/>
      </c>
      <c r="J26" s="97">
        <f>IF($H26="",0,MAX(0,MIN($F26,(YEAR($I26)*12+MONTH($I26))-(ANO_SEL*12+MES_SEL))))</f>
        <v/>
      </c>
      <c r="K26" s="84">
        <f>J26*G26</f>
        <v/>
      </c>
      <c r="M26" s="98">
        <f>IF($H26="",0,IF(AND(M$6&gt;=$H26,M$6&lt;=$I26),$G26,0))</f>
        <v/>
      </c>
      <c r="N26" s="98">
        <f>IF($H26="",0,IF(AND(N$6&gt;=$H26,N$6&lt;=$I26),$G26,0))</f>
        <v/>
      </c>
      <c r="O26" s="98">
        <f>IF($H26="",0,IF(AND(O$6&gt;=$H26,O$6&lt;=$I26),$G26,0))</f>
        <v/>
      </c>
      <c r="P26" s="98">
        <f>IF($H26="",0,IF(AND(P$6&gt;=$H26,P$6&lt;=$I26),$G26,0))</f>
        <v/>
      </c>
      <c r="Q26" s="98">
        <f>IF($H26="",0,IF(AND(Q$6&gt;=$H26,Q$6&lt;=$I26),$G26,0))</f>
        <v/>
      </c>
      <c r="R26" s="98">
        <f>IF($H26="",0,IF(AND(R$6&gt;=$H26,R$6&lt;=$I26),$G26,0))</f>
        <v/>
      </c>
      <c r="S26" s="98">
        <f>IF($H26="",0,IF(AND(S$6&gt;=$H26,S$6&lt;=$I26),$G26,0))</f>
        <v/>
      </c>
      <c r="T26" s="98">
        <f>IF($H26="",0,IF(AND(T$6&gt;=$H26,T$6&lt;=$I26),$G26,0))</f>
        <v/>
      </c>
      <c r="U26" s="98">
        <f>IF($H26="",0,IF(AND(U$6&gt;=$H26,U$6&lt;=$I26),$G26,0))</f>
        <v/>
      </c>
      <c r="V26" s="98">
        <f>IF($H26="",0,IF(AND(V$6&gt;=$H26,V$6&lt;=$I26),$G26,0))</f>
        <v/>
      </c>
      <c r="W26" s="98">
        <f>IF($H26="",0,IF(AND(W$6&gt;=$H26,W$6&lt;=$I26),$G26,0))</f>
        <v/>
      </c>
      <c r="X26" s="98">
        <f>IF($H26="",0,IF(AND(X$6&gt;=$H26,X$6&lt;=$I26),$G26,0))</f>
        <v/>
      </c>
      <c r="Y26" s="98">
        <f>IF($H26="",0,IF(AND(Y$6&gt;=$H26,Y$6&lt;=$I26),$G26,0))</f>
        <v/>
      </c>
      <c r="Z26" s="98">
        <f>IF($H26="",0,IF(AND(Z$6&gt;=$H26,Z$6&lt;=$I26),$G26,0))</f>
        <v/>
      </c>
      <c r="AA26" s="98">
        <f>IF($H26="",0,IF(AND(AA$6&gt;=$H26,AA$6&lt;=$I26),$G26,0))</f>
        <v/>
      </c>
      <c r="AB26" s="98">
        <f>IF($H26="",0,IF(AND(AB$6&gt;=$H26,AB$6&lt;=$I26),$G26,0))</f>
        <v/>
      </c>
      <c r="AC26" s="98">
        <f>IF($H26="",0,IF(AND(AC$6&gt;=$H26,AC$6&lt;=$I26),$G26,0))</f>
        <v/>
      </c>
      <c r="AD26" s="98">
        <f>IF($H26="",0,IF(AND(AD$6&gt;=$H26,AD$6&lt;=$I26),$G26,0))</f>
        <v/>
      </c>
      <c r="AE26" s="98">
        <f>IF($H26="",0,IF(AND(AE$6&gt;=$H26,AE$6&lt;=$I26),$G26,0))</f>
        <v/>
      </c>
      <c r="AF26" s="98">
        <f>IF($H26="",0,IF(AND(AF$6&gt;=$H26,AF$6&lt;=$I26),$G26,0))</f>
        <v/>
      </c>
      <c r="AG26" s="98">
        <f>IF($H26="",0,IF(AND(AG$6&gt;=$H26,AG$6&lt;=$I26),$G26,0))</f>
        <v/>
      </c>
      <c r="AH26" s="98">
        <f>IF($H26="",0,IF(AND(AH$6&gt;=$H26,AH$6&lt;=$I26),$G26,0))</f>
        <v/>
      </c>
      <c r="AI26" s="98">
        <f>IF($H26="",0,IF(AND(AI$6&gt;=$H26,AI$6&lt;=$I26),$G26,0))</f>
        <v/>
      </c>
      <c r="AJ26" s="98">
        <f>IF($H26="",0,IF(AND(AJ$6&gt;=$H26,AJ$6&lt;=$I26),$G26,0))</f>
        <v/>
      </c>
      <c r="AK26" s="98">
        <f>IF($H26="",0,IF(AND(AK$6&gt;=$H26,AK$6&lt;=$I26),$G26,0))</f>
        <v/>
      </c>
      <c r="AL26" s="98">
        <f>IF($H26="",0,IF(AND(AL$6&gt;=$H26,AL$6&lt;=$I26),$G26,0))</f>
        <v/>
      </c>
      <c r="AM26" s="98">
        <f>IF($H26="",0,IF(AND(AM$6&gt;=$H26,AM$6&lt;=$I26),$G26,0))</f>
        <v/>
      </c>
      <c r="AN26" s="98">
        <f>IF($H26="",0,IF(AND(AN$6&gt;=$H26,AN$6&lt;=$I26),$G26,0))</f>
        <v/>
      </c>
      <c r="AO26" s="98">
        <f>IF($H26="",0,IF(AND(AO$6&gt;=$H26,AO$6&lt;=$I26),$G26,0))</f>
        <v/>
      </c>
      <c r="AP26" s="98">
        <f>IF($H26="",0,IF(AND(AP$6&gt;=$H26,AP$6&lt;=$I26),$G26,0))</f>
        <v/>
      </c>
      <c r="AQ26" s="98">
        <f>IF($H26="",0,IF(AND(AQ$6&gt;=$H26,AQ$6&lt;=$I26),$G26,0))</f>
        <v/>
      </c>
      <c r="AR26" s="98">
        <f>IF($H26="",0,IF(AND(AR$6&gt;=$H26,AR$6&lt;=$I26),$G26,0))</f>
        <v/>
      </c>
      <c r="AS26" s="98">
        <f>IF($H26="",0,IF(AND(AS$6&gt;=$H26,AS$6&lt;=$I26),$G26,0))</f>
        <v/>
      </c>
      <c r="AT26" s="98">
        <f>IF($H26="",0,IF(AND(AT$6&gt;=$H26,AT$6&lt;=$I26),$G26,0))</f>
        <v/>
      </c>
      <c r="AU26" s="98">
        <f>IF($H26="",0,IF(AND(AU$6&gt;=$H26,AU$6&lt;=$I26),$G26,0))</f>
        <v/>
      </c>
      <c r="AV26" s="98">
        <f>IF($H26="",0,IF(AND(AV$6&gt;=$H26,AV$6&lt;=$I26),$G26,0))</f>
        <v/>
      </c>
      <c r="AW26" s="98">
        <f>IF($H26="",0,IF(AND(AW$6&gt;=$H26,AW$6&lt;=$I26),$G26,0))</f>
        <v/>
      </c>
      <c r="AX26" s="98">
        <f>IF($H26="",0,IF(AND(AX$6&gt;=$H26,AX$6&lt;=$I26),$G26,0))</f>
        <v/>
      </c>
      <c r="AY26" s="98">
        <f>IF($H26="",0,IF(AND(AY$6&gt;=$H26,AY$6&lt;=$I26),$G26,0))</f>
        <v/>
      </c>
      <c r="AZ26" s="98">
        <f>IF($H26="",0,IF(AND(AZ$6&gt;=$H26,AZ$6&lt;=$I26),$G26,0))</f>
        <v/>
      </c>
      <c r="BA26" s="98">
        <f>IF($H26="",0,IF(AND(BA$6&gt;=$H26,BA$6&lt;=$I26),$G26,0))</f>
        <v/>
      </c>
      <c r="BB26" s="98">
        <f>IF($H26="",0,IF(AND(BB$6&gt;=$H26,BB$6&lt;=$I26),$G26,0))</f>
        <v/>
      </c>
      <c r="BC26" s="98">
        <f>IF($H26="",0,IF(AND(BC$6&gt;=$H26,BC$6&lt;=$I26),$G26,0))</f>
        <v/>
      </c>
      <c r="BD26" s="98">
        <f>IF($H26="",0,IF(AND(BD$6&gt;=$H26,BD$6&lt;=$I26),$G26,0))</f>
        <v/>
      </c>
      <c r="BE26" s="98">
        <f>IF($H26="",0,IF(AND(BE$6&gt;=$H26,BE$6&lt;=$I26),$G26,0))</f>
        <v/>
      </c>
      <c r="BF26" s="98">
        <f>IF($H26="",0,IF(AND(BF$6&gt;=$H26,BF$6&lt;=$I26),$G26,0))</f>
        <v/>
      </c>
      <c r="BG26" s="98">
        <f>IF($H26="",0,IF(AND(BG$6&gt;=$H26,BG$6&lt;=$I26),$G26,0))</f>
        <v/>
      </c>
      <c r="BH26" s="98">
        <f>IF($H26="",0,IF(AND(BH$6&gt;=$H26,BH$6&lt;=$I26),$G26,0))</f>
        <v/>
      </c>
      <c r="BI26" s="98">
        <f>IF($H26="",0,IF(AND(BI$6&gt;=$H26,BI$6&lt;=$I26),$G26,0))</f>
        <v/>
      </c>
      <c r="BJ26" s="98">
        <f>IF($H26="",0,IF(AND(BJ$6&gt;=$H26,BJ$6&lt;=$I26),$G26,0))</f>
        <v/>
      </c>
      <c r="BK26" s="98">
        <f>IF($H26="",0,IF(AND(BK$6&gt;=$H26,BK$6&lt;=$I26),$G26,0))</f>
        <v/>
      </c>
      <c r="BL26" s="98">
        <f>IF($H26="",0,IF(AND(BL$6&gt;=$H26,BL$6&lt;=$I26),$G26,0))</f>
        <v/>
      </c>
      <c r="BM26" s="98">
        <f>IF($H26="",0,IF(AND(BM$6&gt;=$H26,BM$6&lt;=$I26),$G26,0))</f>
        <v/>
      </c>
      <c r="BN26" s="98">
        <f>IF($H26="",0,IF(AND(BN$6&gt;=$H26,BN$6&lt;=$I26),$G26,0))</f>
        <v/>
      </c>
      <c r="BO26" s="98">
        <f>IF($H26="",0,IF(AND(BO$6&gt;=$H26,BO$6&lt;=$I26),$G26,0))</f>
        <v/>
      </c>
      <c r="BP26" s="98">
        <f>IF($H26="",0,IF(AND(BP$6&gt;=$H26,BP$6&lt;=$I26),$G26,0))</f>
        <v/>
      </c>
      <c r="BQ26" s="98">
        <f>IF($H26="",0,IF(AND(BQ$6&gt;=$H26,BQ$6&lt;=$I26),$G26,0))</f>
        <v/>
      </c>
      <c r="BR26" s="98">
        <f>IF($H26="",0,IF(AND(BR$6&gt;=$H26,BR$6&lt;=$I26),$G26,0))</f>
        <v/>
      </c>
      <c r="BS26" s="98">
        <f>IF($H26="",0,IF(AND(BS$6&gt;=$H26,BS$6&lt;=$I26),$G26,0))</f>
        <v/>
      </c>
      <c r="BT26" s="98">
        <f>IF($H26="",0,IF(AND(BT$6&gt;=$H26,BT$6&lt;=$I26),$G26,0))</f>
        <v/>
      </c>
    </row>
    <row r="27">
      <c r="A27" s="74" t="n"/>
      <c r="B27" s="74" t="n"/>
      <c r="C27" s="74" t="n"/>
      <c r="D27" s="73" t="n"/>
      <c r="E27" s="76" t="n"/>
      <c r="F27" s="90" t="n"/>
      <c r="G27" s="84">
        <f>IF(OR($E27="",N($F27)&lt;=0),0,$E27/$F27)</f>
        <v/>
      </c>
      <c r="H27" s="96">
        <f>IF(OR($A27="",$B27="",$D27="",N($F27)&lt;=0),"",IFERROR(IF(DAY($D27)&gt;INDEX(CARTOES_FECHA,MATCH($B27,LISTA_CARTOES,0)),EDATE(DATE(YEAR($D27),MONTH($D27),1),1),DATE(YEAR($D27),MONTH($D27),1)),""))</f>
        <v/>
      </c>
      <c r="I27" s="96">
        <f>IF($H27="","",EDATE($H27,$F27-1))</f>
        <v/>
      </c>
      <c r="J27" s="97">
        <f>IF($H27="",0,MAX(0,MIN($F27,(YEAR($I27)*12+MONTH($I27))-(ANO_SEL*12+MES_SEL))))</f>
        <v/>
      </c>
      <c r="K27" s="84">
        <f>J27*G27</f>
        <v/>
      </c>
      <c r="M27" s="98">
        <f>IF($H27="",0,IF(AND(M$6&gt;=$H27,M$6&lt;=$I27),$G27,0))</f>
        <v/>
      </c>
      <c r="N27" s="98">
        <f>IF($H27="",0,IF(AND(N$6&gt;=$H27,N$6&lt;=$I27),$G27,0))</f>
        <v/>
      </c>
      <c r="O27" s="98">
        <f>IF($H27="",0,IF(AND(O$6&gt;=$H27,O$6&lt;=$I27),$G27,0))</f>
        <v/>
      </c>
      <c r="P27" s="98">
        <f>IF($H27="",0,IF(AND(P$6&gt;=$H27,P$6&lt;=$I27),$G27,0))</f>
        <v/>
      </c>
      <c r="Q27" s="98">
        <f>IF($H27="",0,IF(AND(Q$6&gt;=$H27,Q$6&lt;=$I27),$G27,0))</f>
        <v/>
      </c>
      <c r="R27" s="98">
        <f>IF($H27="",0,IF(AND(R$6&gt;=$H27,R$6&lt;=$I27),$G27,0))</f>
        <v/>
      </c>
      <c r="S27" s="98">
        <f>IF($H27="",0,IF(AND(S$6&gt;=$H27,S$6&lt;=$I27),$G27,0))</f>
        <v/>
      </c>
      <c r="T27" s="98">
        <f>IF($H27="",0,IF(AND(T$6&gt;=$H27,T$6&lt;=$I27),$G27,0))</f>
        <v/>
      </c>
      <c r="U27" s="98">
        <f>IF($H27="",0,IF(AND(U$6&gt;=$H27,U$6&lt;=$I27),$G27,0))</f>
        <v/>
      </c>
      <c r="V27" s="98">
        <f>IF($H27="",0,IF(AND(V$6&gt;=$H27,V$6&lt;=$I27),$G27,0))</f>
        <v/>
      </c>
      <c r="W27" s="98">
        <f>IF($H27="",0,IF(AND(W$6&gt;=$H27,W$6&lt;=$I27),$G27,0))</f>
        <v/>
      </c>
      <c r="X27" s="98">
        <f>IF($H27="",0,IF(AND(X$6&gt;=$H27,X$6&lt;=$I27),$G27,0))</f>
        <v/>
      </c>
      <c r="Y27" s="98">
        <f>IF($H27="",0,IF(AND(Y$6&gt;=$H27,Y$6&lt;=$I27),$G27,0))</f>
        <v/>
      </c>
      <c r="Z27" s="98">
        <f>IF($H27="",0,IF(AND(Z$6&gt;=$H27,Z$6&lt;=$I27),$G27,0))</f>
        <v/>
      </c>
      <c r="AA27" s="98">
        <f>IF($H27="",0,IF(AND(AA$6&gt;=$H27,AA$6&lt;=$I27),$G27,0))</f>
        <v/>
      </c>
      <c r="AB27" s="98">
        <f>IF($H27="",0,IF(AND(AB$6&gt;=$H27,AB$6&lt;=$I27),$G27,0))</f>
        <v/>
      </c>
      <c r="AC27" s="98">
        <f>IF($H27="",0,IF(AND(AC$6&gt;=$H27,AC$6&lt;=$I27),$G27,0))</f>
        <v/>
      </c>
      <c r="AD27" s="98">
        <f>IF($H27="",0,IF(AND(AD$6&gt;=$H27,AD$6&lt;=$I27),$G27,0))</f>
        <v/>
      </c>
      <c r="AE27" s="98">
        <f>IF($H27="",0,IF(AND(AE$6&gt;=$H27,AE$6&lt;=$I27),$G27,0))</f>
        <v/>
      </c>
      <c r="AF27" s="98">
        <f>IF($H27="",0,IF(AND(AF$6&gt;=$H27,AF$6&lt;=$I27),$G27,0))</f>
        <v/>
      </c>
      <c r="AG27" s="98">
        <f>IF($H27="",0,IF(AND(AG$6&gt;=$H27,AG$6&lt;=$I27),$G27,0))</f>
        <v/>
      </c>
      <c r="AH27" s="98">
        <f>IF($H27="",0,IF(AND(AH$6&gt;=$H27,AH$6&lt;=$I27),$G27,0))</f>
        <v/>
      </c>
      <c r="AI27" s="98">
        <f>IF($H27="",0,IF(AND(AI$6&gt;=$H27,AI$6&lt;=$I27),$G27,0))</f>
        <v/>
      </c>
      <c r="AJ27" s="98">
        <f>IF($H27="",0,IF(AND(AJ$6&gt;=$H27,AJ$6&lt;=$I27),$G27,0))</f>
        <v/>
      </c>
      <c r="AK27" s="98">
        <f>IF($H27="",0,IF(AND(AK$6&gt;=$H27,AK$6&lt;=$I27),$G27,0))</f>
        <v/>
      </c>
      <c r="AL27" s="98">
        <f>IF($H27="",0,IF(AND(AL$6&gt;=$H27,AL$6&lt;=$I27),$G27,0))</f>
        <v/>
      </c>
      <c r="AM27" s="98">
        <f>IF($H27="",0,IF(AND(AM$6&gt;=$H27,AM$6&lt;=$I27),$G27,0))</f>
        <v/>
      </c>
      <c r="AN27" s="98">
        <f>IF($H27="",0,IF(AND(AN$6&gt;=$H27,AN$6&lt;=$I27),$G27,0))</f>
        <v/>
      </c>
      <c r="AO27" s="98">
        <f>IF($H27="",0,IF(AND(AO$6&gt;=$H27,AO$6&lt;=$I27),$G27,0))</f>
        <v/>
      </c>
      <c r="AP27" s="98">
        <f>IF($H27="",0,IF(AND(AP$6&gt;=$H27,AP$6&lt;=$I27),$G27,0))</f>
        <v/>
      </c>
      <c r="AQ27" s="98">
        <f>IF($H27="",0,IF(AND(AQ$6&gt;=$H27,AQ$6&lt;=$I27),$G27,0))</f>
        <v/>
      </c>
      <c r="AR27" s="98">
        <f>IF($H27="",0,IF(AND(AR$6&gt;=$H27,AR$6&lt;=$I27),$G27,0))</f>
        <v/>
      </c>
      <c r="AS27" s="98">
        <f>IF($H27="",0,IF(AND(AS$6&gt;=$H27,AS$6&lt;=$I27),$G27,0))</f>
        <v/>
      </c>
      <c r="AT27" s="98">
        <f>IF($H27="",0,IF(AND(AT$6&gt;=$H27,AT$6&lt;=$I27),$G27,0))</f>
        <v/>
      </c>
      <c r="AU27" s="98">
        <f>IF($H27="",0,IF(AND(AU$6&gt;=$H27,AU$6&lt;=$I27),$G27,0))</f>
        <v/>
      </c>
      <c r="AV27" s="98">
        <f>IF($H27="",0,IF(AND(AV$6&gt;=$H27,AV$6&lt;=$I27),$G27,0))</f>
        <v/>
      </c>
      <c r="AW27" s="98">
        <f>IF($H27="",0,IF(AND(AW$6&gt;=$H27,AW$6&lt;=$I27),$G27,0))</f>
        <v/>
      </c>
      <c r="AX27" s="98">
        <f>IF($H27="",0,IF(AND(AX$6&gt;=$H27,AX$6&lt;=$I27),$G27,0))</f>
        <v/>
      </c>
      <c r="AY27" s="98">
        <f>IF($H27="",0,IF(AND(AY$6&gt;=$H27,AY$6&lt;=$I27),$G27,0))</f>
        <v/>
      </c>
      <c r="AZ27" s="98">
        <f>IF($H27="",0,IF(AND(AZ$6&gt;=$H27,AZ$6&lt;=$I27),$G27,0))</f>
        <v/>
      </c>
      <c r="BA27" s="98">
        <f>IF($H27="",0,IF(AND(BA$6&gt;=$H27,BA$6&lt;=$I27),$G27,0))</f>
        <v/>
      </c>
      <c r="BB27" s="98">
        <f>IF($H27="",0,IF(AND(BB$6&gt;=$H27,BB$6&lt;=$I27),$G27,0))</f>
        <v/>
      </c>
      <c r="BC27" s="98">
        <f>IF($H27="",0,IF(AND(BC$6&gt;=$H27,BC$6&lt;=$I27),$G27,0))</f>
        <v/>
      </c>
      <c r="BD27" s="98">
        <f>IF($H27="",0,IF(AND(BD$6&gt;=$H27,BD$6&lt;=$I27),$G27,0))</f>
        <v/>
      </c>
      <c r="BE27" s="98">
        <f>IF($H27="",0,IF(AND(BE$6&gt;=$H27,BE$6&lt;=$I27),$G27,0))</f>
        <v/>
      </c>
      <c r="BF27" s="98">
        <f>IF($H27="",0,IF(AND(BF$6&gt;=$H27,BF$6&lt;=$I27),$G27,0))</f>
        <v/>
      </c>
      <c r="BG27" s="98">
        <f>IF($H27="",0,IF(AND(BG$6&gt;=$H27,BG$6&lt;=$I27),$G27,0))</f>
        <v/>
      </c>
      <c r="BH27" s="98">
        <f>IF($H27="",0,IF(AND(BH$6&gt;=$H27,BH$6&lt;=$I27),$G27,0))</f>
        <v/>
      </c>
      <c r="BI27" s="98">
        <f>IF($H27="",0,IF(AND(BI$6&gt;=$H27,BI$6&lt;=$I27),$G27,0))</f>
        <v/>
      </c>
      <c r="BJ27" s="98">
        <f>IF($H27="",0,IF(AND(BJ$6&gt;=$H27,BJ$6&lt;=$I27),$G27,0))</f>
        <v/>
      </c>
      <c r="BK27" s="98">
        <f>IF($H27="",0,IF(AND(BK$6&gt;=$H27,BK$6&lt;=$I27),$G27,0))</f>
        <v/>
      </c>
      <c r="BL27" s="98">
        <f>IF($H27="",0,IF(AND(BL$6&gt;=$H27,BL$6&lt;=$I27),$G27,0))</f>
        <v/>
      </c>
      <c r="BM27" s="98">
        <f>IF($H27="",0,IF(AND(BM$6&gt;=$H27,BM$6&lt;=$I27),$G27,0))</f>
        <v/>
      </c>
      <c r="BN27" s="98">
        <f>IF($H27="",0,IF(AND(BN$6&gt;=$H27,BN$6&lt;=$I27),$G27,0))</f>
        <v/>
      </c>
      <c r="BO27" s="98">
        <f>IF($H27="",0,IF(AND(BO$6&gt;=$H27,BO$6&lt;=$I27),$G27,0))</f>
        <v/>
      </c>
      <c r="BP27" s="98">
        <f>IF($H27="",0,IF(AND(BP$6&gt;=$H27,BP$6&lt;=$I27),$G27,0))</f>
        <v/>
      </c>
      <c r="BQ27" s="98">
        <f>IF($H27="",0,IF(AND(BQ$6&gt;=$H27,BQ$6&lt;=$I27),$G27,0))</f>
        <v/>
      </c>
      <c r="BR27" s="98">
        <f>IF($H27="",0,IF(AND(BR$6&gt;=$H27,BR$6&lt;=$I27),$G27,0))</f>
        <v/>
      </c>
      <c r="BS27" s="98">
        <f>IF($H27="",0,IF(AND(BS$6&gt;=$H27,BS$6&lt;=$I27),$G27,0))</f>
        <v/>
      </c>
      <c r="BT27" s="98">
        <f>IF($H27="",0,IF(AND(BT$6&gt;=$H27,BT$6&lt;=$I27),$G27,0))</f>
        <v/>
      </c>
    </row>
    <row r="28">
      <c r="A28" s="74" t="n"/>
      <c r="B28" s="74" t="n"/>
      <c r="C28" s="74" t="n"/>
      <c r="D28" s="73" t="n"/>
      <c r="E28" s="76" t="n"/>
      <c r="F28" s="90" t="n"/>
      <c r="G28" s="84">
        <f>IF(OR($E28="",N($F28)&lt;=0),0,$E28/$F28)</f>
        <v/>
      </c>
      <c r="H28" s="96">
        <f>IF(OR($A28="",$B28="",$D28="",N($F28)&lt;=0),"",IFERROR(IF(DAY($D28)&gt;INDEX(CARTOES_FECHA,MATCH($B28,LISTA_CARTOES,0)),EDATE(DATE(YEAR($D28),MONTH($D28),1),1),DATE(YEAR($D28),MONTH($D28),1)),""))</f>
        <v/>
      </c>
      <c r="I28" s="96">
        <f>IF($H28="","",EDATE($H28,$F28-1))</f>
        <v/>
      </c>
      <c r="J28" s="97">
        <f>IF($H28="",0,MAX(0,MIN($F28,(YEAR($I28)*12+MONTH($I28))-(ANO_SEL*12+MES_SEL))))</f>
        <v/>
      </c>
      <c r="K28" s="84">
        <f>J28*G28</f>
        <v/>
      </c>
      <c r="M28" s="98">
        <f>IF($H28="",0,IF(AND(M$6&gt;=$H28,M$6&lt;=$I28),$G28,0))</f>
        <v/>
      </c>
      <c r="N28" s="98">
        <f>IF($H28="",0,IF(AND(N$6&gt;=$H28,N$6&lt;=$I28),$G28,0))</f>
        <v/>
      </c>
      <c r="O28" s="98">
        <f>IF($H28="",0,IF(AND(O$6&gt;=$H28,O$6&lt;=$I28),$G28,0))</f>
        <v/>
      </c>
      <c r="P28" s="98">
        <f>IF($H28="",0,IF(AND(P$6&gt;=$H28,P$6&lt;=$I28),$G28,0))</f>
        <v/>
      </c>
      <c r="Q28" s="98">
        <f>IF($H28="",0,IF(AND(Q$6&gt;=$H28,Q$6&lt;=$I28),$G28,0))</f>
        <v/>
      </c>
      <c r="R28" s="98">
        <f>IF($H28="",0,IF(AND(R$6&gt;=$H28,R$6&lt;=$I28),$G28,0))</f>
        <v/>
      </c>
      <c r="S28" s="98">
        <f>IF($H28="",0,IF(AND(S$6&gt;=$H28,S$6&lt;=$I28),$G28,0))</f>
        <v/>
      </c>
      <c r="T28" s="98">
        <f>IF($H28="",0,IF(AND(T$6&gt;=$H28,T$6&lt;=$I28),$G28,0))</f>
        <v/>
      </c>
      <c r="U28" s="98">
        <f>IF($H28="",0,IF(AND(U$6&gt;=$H28,U$6&lt;=$I28),$G28,0))</f>
        <v/>
      </c>
      <c r="V28" s="98">
        <f>IF($H28="",0,IF(AND(V$6&gt;=$H28,V$6&lt;=$I28),$G28,0))</f>
        <v/>
      </c>
      <c r="W28" s="98">
        <f>IF($H28="",0,IF(AND(W$6&gt;=$H28,W$6&lt;=$I28),$G28,0))</f>
        <v/>
      </c>
      <c r="X28" s="98">
        <f>IF($H28="",0,IF(AND(X$6&gt;=$H28,X$6&lt;=$I28),$G28,0))</f>
        <v/>
      </c>
      <c r="Y28" s="98">
        <f>IF($H28="",0,IF(AND(Y$6&gt;=$H28,Y$6&lt;=$I28),$G28,0))</f>
        <v/>
      </c>
      <c r="Z28" s="98">
        <f>IF($H28="",0,IF(AND(Z$6&gt;=$H28,Z$6&lt;=$I28),$G28,0))</f>
        <v/>
      </c>
      <c r="AA28" s="98">
        <f>IF($H28="",0,IF(AND(AA$6&gt;=$H28,AA$6&lt;=$I28),$G28,0))</f>
        <v/>
      </c>
      <c r="AB28" s="98">
        <f>IF($H28="",0,IF(AND(AB$6&gt;=$H28,AB$6&lt;=$I28),$G28,0))</f>
        <v/>
      </c>
      <c r="AC28" s="98">
        <f>IF($H28="",0,IF(AND(AC$6&gt;=$H28,AC$6&lt;=$I28),$G28,0))</f>
        <v/>
      </c>
      <c r="AD28" s="98">
        <f>IF($H28="",0,IF(AND(AD$6&gt;=$H28,AD$6&lt;=$I28),$G28,0))</f>
        <v/>
      </c>
      <c r="AE28" s="98">
        <f>IF($H28="",0,IF(AND(AE$6&gt;=$H28,AE$6&lt;=$I28),$G28,0))</f>
        <v/>
      </c>
      <c r="AF28" s="98">
        <f>IF($H28="",0,IF(AND(AF$6&gt;=$H28,AF$6&lt;=$I28),$G28,0))</f>
        <v/>
      </c>
      <c r="AG28" s="98">
        <f>IF($H28="",0,IF(AND(AG$6&gt;=$H28,AG$6&lt;=$I28),$G28,0))</f>
        <v/>
      </c>
      <c r="AH28" s="98">
        <f>IF($H28="",0,IF(AND(AH$6&gt;=$H28,AH$6&lt;=$I28),$G28,0))</f>
        <v/>
      </c>
      <c r="AI28" s="98">
        <f>IF($H28="",0,IF(AND(AI$6&gt;=$H28,AI$6&lt;=$I28),$G28,0))</f>
        <v/>
      </c>
      <c r="AJ28" s="98">
        <f>IF($H28="",0,IF(AND(AJ$6&gt;=$H28,AJ$6&lt;=$I28),$G28,0))</f>
        <v/>
      </c>
      <c r="AK28" s="98">
        <f>IF($H28="",0,IF(AND(AK$6&gt;=$H28,AK$6&lt;=$I28),$G28,0))</f>
        <v/>
      </c>
      <c r="AL28" s="98">
        <f>IF($H28="",0,IF(AND(AL$6&gt;=$H28,AL$6&lt;=$I28),$G28,0))</f>
        <v/>
      </c>
      <c r="AM28" s="98">
        <f>IF($H28="",0,IF(AND(AM$6&gt;=$H28,AM$6&lt;=$I28),$G28,0))</f>
        <v/>
      </c>
      <c r="AN28" s="98">
        <f>IF($H28="",0,IF(AND(AN$6&gt;=$H28,AN$6&lt;=$I28),$G28,0))</f>
        <v/>
      </c>
      <c r="AO28" s="98">
        <f>IF($H28="",0,IF(AND(AO$6&gt;=$H28,AO$6&lt;=$I28),$G28,0))</f>
        <v/>
      </c>
      <c r="AP28" s="98">
        <f>IF($H28="",0,IF(AND(AP$6&gt;=$H28,AP$6&lt;=$I28),$G28,0))</f>
        <v/>
      </c>
      <c r="AQ28" s="98">
        <f>IF($H28="",0,IF(AND(AQ$6&gt;=$H28,AQ$6&lt;=$I28),$G28,0))</f>
        <v/>
      </c>
      <c r="AR28" s="98">
        <f>IF($H28="",0,IF(AND(AR$6&gt;=$H28,AR$6&lt;=$I28),$G28,0))</f>
        <v/>
      </c>
      <c r="AS28" s="98">
        <f>IF($H28="",0,IF(AND(AS$6&gt;=$H28,AS$6&lt;=$I28),$G28,0))</f>
        <v/>
      </c>
      <c r="AT28" s="98">
        <f>IF($H28="",0,IF(AND(AT$6&gt;=$H28,AT$6&lt;=$I28),$G28,0))</f>
        <v/>
      </c>
      <c r="AU28" s="98">
        <f>IF($H28="",0,IF(AND(AU$6&gt;=$H28,AU$6&lt;=$I28),$G28,0))</f>
        <v/>
      </c>
      <c r="AV28" s="98">
        <f>IF($H28="",0,IF(AND(AV$6&gt;=$H28,AV$6&lt;=$I28),$G28,0))</f>
        <v/>
      </c>
      <c r="AW28" s="98">
        <f>IF($H28="",0,IF(AND(AW$6&gt;=$H28,AW$6&lt;=$I28),$G28,0))</f>
        <v/>
      </c>
      <c r="AX28" s="98">
        <f>IF($H28="",0,IF(AND(AX$6&gt;=$H28,AX$6&lt;=$I28),$G28,0))</f>
        <v/>
      </c>
      <c r="AY28" s="98">
        <f>IF($H28="",0,IF(AND(AY$6&gt;=$H28,AY$6&lt;=$I28),$G28,0))</f>
        <v/>
      </c>
      <c r="AZ28" s="98">
        <f>IF($H28="",0,IF(AND(AZ$6&gt;=$H28,AZ$6&lt;=$I28),$G28,0))</f>
        <v/>
      </c>
      <c r="BA28" s="98">
        <f>IF($H28="",0,IF(AND(BA$6&gt;=$H28,BA$6&lt;=$I28),$G28,0))</f>
        <v/>
      </c>
      <c r="BB28" s="98">
        <f>IF($H28="",0,IF(AND(BB$6&gt;=$H28,BB$6&lt;=$I28),$G28,0))</f>
        <v/>
      </c>
      <c r="BC28" s="98">
        <f>IF($H28="",0,IF(AND(BC$6&gt;=$H28,BC$6&lt;=$I28),$G28,0))</f>
        <v/>
      </c>
      <c r="BD28" s="98">
        <f>IF($H28="",0,IF(AND(BD$6&gt;=$H28,BD$6&lt;=$I28),$G28,0))</f>
        <v/>
      </c>
      <c r="BE28" s="98">
        <f>IF($H28="",0,IF(AND(BE$6&gt;=$H28,BE$6&lt;=$I28),$G28,0))</f>
        <v/>
      </c>
      <c r="BF28" s="98">
        <f>IF($H28="",0,IF(AND(BF$6&gt;=$H28,BF$6&lt;=$I28),$G28,0))</f>
        <v/>
      </c>
      <c r="BG28" s="98">
        <f>IF($H28="",0,IF(AND(BG$6&gt;=$H28,BG$6&lt;=$I28),$G28,0))</f>
        <v/>
      </c>
      <c r="BH28" s="98">
        <f>IF($H28="",0,IF(AND(BH$6&gt;=$H28,BH$6&lt;=$I28),$G28,0))</f>
        <v/>
      </c>
      <c r="BI28" s="98">
        <f>IF($H28="",0,IF(AND(BI$6&gt;=$H28,BI$6&lt;=$I28),$G28,0))</f>
        <v/>
      </c>
      <c r="BJ28" s="98">
        <f>IF($H28="",0,IF(AND(BJ$6&gt;=$H28,BJ$6&lt;=$I28),$G28,0))</f>
        <v/>
      </c>
      <c r="BK28" s="98">
        <f>IF($H28="",0,IF(AND(BK$6&gt;=$H28,BK$6&lt;=$I28),$G28,0))</f>
        <v/>
      </c>
      <c r="BL28" s="98">
        <f>IF($H28="",0,IF(AND(BL$6&gt;=$H28,BL$6&lt;=$I28),$G28,0))</f>
        <v/>
      </c>
      <c r="BM28" s="98">
        <f>IF($H28="",0,IF(AND(BM$6&gt;=$H28,BM$6&lt;=$I28),$G28,0))</f>
        <v/>
      </c>
      <c r="BN28" s="98">
        <f>IF($H28="",0,IF(AND(BN$6&gt;=$H28,BN$6&lt;=$I28),$G28,0))</f>
        <v/>
      </c>
      <c r="BO28" s="98">
        <f>IF($H28="",0,IF(AND(BO$6&gt;=$H28,BO$6&lt;=$I28),$G28,0))</f>
        <v/>
      </c>
      <c r="BP28" s="98">
        <f>IF($H28="",0,IF(AND(BP$6&gt;=$H28,BP$6&lt;=$I28),$G28,0))</f>
        <v/>
      </c>
      <c r="BQ28" s="98">
        <f>IF($H28="",0,IF(AND(BQ$6&gt;=$H28,BQ$6&lt;=$I28),$G28,0))</f>
        <v/>
      </c>
      <c r="BR28" s="98">
        <f>IF($H28="",0,IF(AND(BR$6&gt;=$H28,BR$6&lt;=$I28),$G28,0))</f>
        <v/>
      </c>
      <c r="BS28" s="98">
        <f>IF($H28="",0,IF(AND(BS$6&gt;=$H28,BS$6&lt;=$I28),$G28,0))</f>
        <v/>
      </c>
      <c r="BT28" s="98">
        <f>IF($H28="",0,IF(AND(BT$6&gt;=$H28,BT$6&lt;=$I28),$G28,0))</f>
        <v/>
      </c>
    </row>
    <row r="29">
      <c r="A29" s="74" t="n"/>
      <c r="B29" s="74" t="n"/>
      <c r="C29" s="74" t="n"/>
      <c r="D29" s="73" t="n"/>
      <c r="E29" s="76" t="n"/>
      <c r="F29" s="90" t="n"/>
      <c r="G29" s="84">
        <f>IF(OR($E29="",N($F29)&lt;=0),0,$E29/$F29)</f>
        <v/>
      </c>
      <c r="H29" s="96">
        <f>IF(OR($A29="",$B29="",$D29="",N($F29)&lt;=0),"",IFERROR(IF(DAY($D29)&gt;INDEX(CARTOES_FECHA,MATCH($B29,LISTA_CARTOES,0)),EDATE(DATE(YEAR($D29),MONTH($D29),1),1),DATE(YEAR($D29),MONTH($D29),1)),""))</f>
        <v/>
      </c>
      <c r="I29" s="96">
        <f>IF($H29="","",EDATE($H29,$F29-1))</f>
        <v/>
      </c>
      <c r="J29" s="97">
        <f>IF($H29="",0,MAX(0,MIN($F29,(YEAR($I29)*12+MONTH($I29))-(ANO_SEL*12+MES_SEL))))</f>
        <v/>
      </c>
      <c r="K29" s="84">
        <f>J29*G29</f>
        <v/>
      </c>
      <c r="M29" s="98">
        <f>IF($H29="",0,IF(AND(M$6&gt;=$H29,M$6&lt;=$I29),$G29,0))</f>
        <v/>
      </c>
      <c r="N29" s="98">
        <f>IF($H29="",0,IF(AND(N$6&gt;=$H29,N$6&lt;=$I29),$G29,0))</f>
        <v/>
      </c>
      <c r="O29" s="98">
        <f>IF($H29="",0,IF(AND(O$6&gt;=$H29,O$6&lt;=$I29),$G29,0))</f>
        <v/>
      </c>
      <c r="P29" s="98">
        <f>IF($H29="",0,IF(AND(P$6&gt;=$H29,P$6&lt;=$I29),$G29,0))</f>
        <v/>
      </c>
      <c r="Q29" s="98">
        <f>IF($H29="",0,IF(AND(Q$6&gt;=$H29,Q$6&lt;=$I29),$G29,0))</f>
        <v/>
      </c>
      <c r="R29" s="98">
        <f>IF($H29="",0,IF(AND(R$6&gt;=$H29,R$6&lt;=$I29),$G29,0))</f>
        <v/>
      </c>
      <c r="S29" s="98">
        <f>IF($H29="",0,IF(AND(S$6&gt;=$H29,S$6&lt;=$I29),$G29,0))</f>
        <v/>
      </c>
      <c r="T29" s="98">
        <f>IF($H29="",0,IF(AND(T$6&gt;=$H29,T$6&lt;=$I29),$G29,0))</f>
        <v/>
      </c>
      <c r="U29" s="98">
        <f>IF($H29="",0,IF(AND(U$6&gt;=$H29,U$6&lt;=$I29),$G29,0))</f>
        <v/>
      </c>
      <c r="V29" s="98">
        <f>IF($H29="",0,IF(AND(V$6&gt;=$H29,V$6&lt;=$I29),$G29,0))</f>
        <v/>
      </c>
      <c r="W29" s="98">
        <f>IF($H29="",0,IF(AND(W$6&gt;=$H29,W$6&lt;=$I29),$G29,0))</f>
        <v/>
      </c>
      <c r="X29" s="98">
        <f>IF($H29="",0,IF(AND(X$6&gt;=$H29,X$6&lt;=$I29),$G29,0))</f>
        <v/>
      </c>
      <c r="Y29" s="98">
        <f>IF($H29="",0,IF(AND(Y$6&gt;=$H29,Y$6&lt;=$I29),$G29,0))</f>
        <v/>
      </c>
      <c r="Z29" s="98">
        <f>IF($H29="",0,IF(AND(Z$6&gt;=$H29,Z$6&lt;=$I29),$G29,0))</f>
        <v/>
      </c>
      <c r="AA29" s="98">
        <f>IF($H29="",0,IF(AND(AA$6&gt;=$H29,AA$6&lt;=$I29),$G29,0))</f>
        <v/>
      </c>
      <c r="AB29" s="98">
        <f>IF($H29="",0,IF(AND(AB$6&gt;=$H29,AB$6&lt;=$I29),$G29,0))</f>
        <v/>
      </c>
      <c r="AC29" s="98">
        <f>IF($H29="",0,IF(AND(AC$6&gt;=$H29,AC$6&lt;=$I29),$G29,0))</f>
        <v/>
      </c>
      <c r="AD29" s="98">
        <f>IF($H29="",0,IF(AND(AD$6&gt;=$H29,AD$6&lt;=$I29),$G29,0))</f>
        <v/>
      </c>
      <c r="AE29" s="98">
        <f>IF($H29="",0,IF(AND(AE$6&gt;=$H29,AE$6&lt;=$I29),$G29,0))</f>
        <v/>
      </c>
      <c r="AF29" s="98">
        <f>IF($H29="",0,IF(AND(AF$6&gt;=$H29,AF$6&lt;=$I29),$G29,0))</f>
        <v/>
      </c>
      <c r="AG29" s="98">
        <f>IF($H29="",0,IF(AND(AG$6&gt;=$H29,AG$6&lt;=$I29),$G29,0))</f>
        <v/>
      </c>
      <c r="AH29" s="98">
        <f>IF($H29="",0,IF(AND(AH$6&gt;=$H29,AH$6&lt;=$I29),$G29,0))</f>
        <v/>
      </c>
      <c r="AI29" s="98">
        <f>IF($H29="",0,IF(AND(AI$6&gt;=$H29,AI$6&lt;=$I29),$G29,0))</f>
        <v/>
      </c>
      <c r="AJ29" s="98">
        <f>IF($H29="",0,IF(AND(AJ$6&gt;=$H29,AJ$6&lt;=$I29),$G29,0))</f>
        <v/>
      </c>
      <c r="AK29" s="98">
        <f>IF($H29="",0,IF(AND(AK$6&gt;=$H29,AK$6&lt;=$I29),$G29,0))</f>
        <v/>
      </c>
      <c r="AL29" s="98">
        <f>IF($H29="",0,IF(AND(AL$6&gt;=$H29,AL$6&lt;=$I29),$G29,0))</f>
        <v/>
      </c>
      <c r="AM29" s="98">
        <f>IF($H29="",0,IF(AND(AM$6&gt;=$H29,AM$6&lt;=$I29),$G29,0))</f>
        <v/>
      </c>
      <c r="AN29" s="98">
        <f>IF($H29="",0,IF(AND(AN$6&gt;=$H29,AN$6&lt;=$I29),$G29,0))</f>
        <v/>
      </c>
      <c r="AO29" s="98">
        <f>IF($H29="",0,IF(AND(AO$6&gt;=$H29,AO$6&lt;=$I29),$G29,0))</f>
        <v/>
      </c>
      <c r="AP29" s="98">
        <f>IF($H29="",0,IF(AND(AP$6&gt;=$H29,AP$6&lt;=$I29),$G29,0))</f>
        <v/>
      </c>
      <c r="AQ29" s="98">
        <f>IF($H29="",0,IF(AND(AQ$6&gt;=$H29,AQ$6&lt;=$I29),$G29,0))</f>
        <v/>
      </c>
      <c r="AR29" s="98">
        <f>IF($H29="",0,IF(AND(AR$6&gt;=$H29,AR$6&lt;=$I29),$G29,0))</f>
        <v/>
      </c>
      <c r="AS29" s="98">
        <f>IF($H29="",0,IF(AND(AS$6&gt;=$H29,AS$6&lt;=$I29),$G29,0))</f>
        <v/>
      </c>
      <c r="AT29" s="98">
        <f>IF($H29="",0,IF(AND(AT$6&gt;=$H29,AT$6&lt;=$I29),$G29,0))</f>
        <v/>
      </c>
      <c r="AU29" s="98">
        <f>IF($H29="",0,IF(AND(AU$6&gt;=$H29,AU$6&lt;=$I29),$G29,0))</f>
        <v/>
      </c>
      <c r="AV29" s="98">
        <f>IF($H29="",0,IF(AND(AV$6&gt;=$H29,AV$6&lt;=$I29),$G29,0))</f>
        <v/>
      </c>
      <c r="AW29" s="98">
        <f>IF($H29="",0,IF(AND(AW$6&gt;=$H29,AW$6&lt;=$I29),$G29,0))</f>
        <v/>
      </c>
      <c r="AX29" s="98">
        <f>IF($H29="",0,IF(AND(AX$6&gt;=$H29,AX$6&lt;=$I29),$G29,0))</f>
        <v/>
      </c>
      <c r="AY29" s="98">
        <f>IF($H29="",0,IF(AND(AY$6&gt;=$H29,AY$6&lt;=$I29),$G29,0))</f>
        <v/>
      </c>
      <c r="AZ29" s="98">
        <f>IF($H29="",0,IF(AND(AZ$6&gt;=$H29,AZ$6&lt;=$I29),$G29,0))</f>
        <v/>
      </c>
      <c r="BA29" s="98">
        <f>IF($H29="",0,IF(AND(BA$6&gt;=$H29,BA$6&lt;=$I29),$G29,0))</f>
        <v/>
      </c>
      <c r="BB29" s="98">
        <f>IF($H29="",0,IF(AND(BB$6&gt;=$H29,BB$6&lt;=$I29),$G29,0))</f>
        <v/>
      </c>
      <c r="BC29" s="98">
        <f>IF($H29="",0,IF(AND(BC$6&gt;=$H29,BC$6&lt;=$I29),$G29,0))</f>
        <v/>
      </c>
      <c r="BD29" s="98">
        <f>IF($H29="",0,IF(AND(BD$6&gt;=$H29,BD$6&lt;=$I29),$G29,0))</f>
        <v/>
      </c>
      <c r="BE29" s="98">
        <f>IF($H29="",0,IF(AND(BE$6&gt;=$H29,BE$6&lt;=$I29),$G29,0))</f>
        <v/>
      </c>
      <c r="BF29" s="98">
        <f>IF($H29="",0,IF(AND(BF$6&gt;=$H29,BF$6&lt;=$I29),$G29,0))</f>
        <v/>
      </c>
      <c r="BG29" s="98">
        <f>IF($H29="",0,IF(AND(BG$6&gt;=$H29,BG$6&lt;=$I29),$G29,0))</f>
        <v/>
      </c>
      <c r="BH29" s="98">
        <f>IF($H29="",0,IF(AND(BH$6&gt;=$H29,BH$6&lt;=$I29),$G29,0))</f>
        <v/>
      </c>
      <c r="BI29" s="98">
        <f>IF($H29="",0,IF(AND(BI$6&gt;=$H29,BI$6&lt;=$I29),$G29,0))</f>
        <v/>
      </c>
      <c r="BJ29" s="98">
        <f>IF($H29="",0,IF(AND(BJ$6&gt;=$H29,BJ$6&lt;=$I29),$G29,0))</f>
        <v/>
      </c>
      <c r="BK29" s="98">
        <f>IF($H29="",0,IF(AND(BK$6&gt;=$H29,BK$6&lt;=$I29),$G29,0))</f>
        <v/>
      </c>
      <c r="BL29" s="98">
        <f>IF($H29="",0,IF(AND(BL$6&gt;=$H29,BL$6&lt;=$I29),$G29,0))</f>
        <v/>
      </c>
      <c r="BM29" s="98">
        <f>IF($H29="",0,IF(AND(BM$6&gt;=$H29,BM$6&lt;=$I29),$G29,0))</f>
        <v/>
      </c>
      <c r="BN29" s="98">
        <f>IF($H29="",0,IF(AND(BN$6&gt;=$H29,BN$6&lt;=$I29),$G29,0))</f>
        <v/>
      </c>
      <c r="BO29" s="98">
        <f>IF($H29="",0,IF(AND(BO$6&gt;=$H29,BO$6&lt;=$I29),$G29,0))</f>
        <v/>
      </c>
      <c r="BP29" s="98">
        <f>IF($H29="",0,IF(AND(BP$6&gt;=$H29,BP$6&lt;=$I29),$G29,0))</f>
        <v/>
      </c>
      <c r="BQ29" s="98">
        <f>IF($H29="",0,IF(AND(BQ$6&gt;=$H29,BQ$6&lt;=$I29),$G29,0))</f>
        <v/>
      </c>
      <c r="BR29" s="98">
        <f>IF($H29="",0,IF(AND(BR$6&gt;=$H29,BR$6&lt;=$I29),$G29,0))</f>
        <v/>
      </c>
      <c r="BS29" s="98">
        <f>IF($H29="",0,IF(AND(BS$6&gt;=$H29,BS$6&lt;=$I29),$G29,0))</f>
        <v/>
      </c>
      <c r="BT29" s="98">
        <f>IF($H29="",0,IF(AND(BT$6&gt;=$H29,BT$6&lt;=$I29),$G29,0))</f>
        <v/>
      </c>
    </row>
    <row r="30">
      <c r="A30" s="74" t="n"/>
      <c r="B30" s="74" t="n"/>
      <c r="C30" s="74" t="n"/>
      <c r="D30" s="73" t="n"/>
      <c r="E30" s="76" t="n"/>
      <c r="F30" s="90" t="n"/>
      <c r="G30" s="84">
        <f>IF(OR($E30="",N($F30)&lt;=0),0,$E30/$F30)</f>
        <v/>
      </c>
      <c r="H30" s="96">
        <f>IF(OR($A30="",$B30="",$D30="",N($F30)&lt;=0),"",IFERROR(IF(DAY($D30)&gt;INDEX(CARTOES_FECHA,MATCH($B30,LISTA_CARTOES,0)),EDATE(DATE(YEAR($D30),MONTH($D30),1),1),DATE(YEAR($D30),MONTH($D30),1)),""))</f>
        <v/>
      </c>
      <c r="I30" s="96">
        <f>IF($H30="","",EDATE($H30,$F30-1))</f>
        <v/>
      </c>
      <c r="J30" s="97">
        <f>IF($H30="",0,MAX(0,MIN($F30,(YEAR($I30)*12+MONTH($I30))-(ANO_SEL*12+MES_SEL))))</f>
        <v/>
      </c>
      <c r="K30" s="84">
        <f>J30*G30</f>
        <v/>
      </c>
      <c r="M30" s="98">
        <f>IF($H30="",0,IF(AND(M$6&gt;=$H30,M$6&lt;=$I30),$G30,0))</f>
        <v/>
      </c>
      <c r="N30" s="98">
        <f>IF($H30="",0,IF(AND(N$6&gt;=$H30,N$6&lt;=$I30),$G30,0))</f>
        <v/>
      </c>
      <c r="O30" s="98">
        <f>IF($H30="",0,IF(AND(O$6&gt;=$H30,O$6&lt;=$I30),$G30,0))</f>
        <v/>
      </c>
      <c r="P30" s="98">
        <f>IF($H30="",0,IF(AND(P$6&gt;=$H30,P$6&lt;=$I30),$G30,0))</f>
        <v/>
      </c>
      <c r="Q30" s="98">
        <f>IF($H30="",0,IF(AND(Q$6&gt;=$H30,Q$6&lt;=$I30),$G30,0))</f>
        <v/>
      </c>
      <c r="R30" s="98">
        <f>IF($H30="",0,IF(AND(R$6&gt;=$H30,R$6&lt;=$I30),$G30,0))</f>
        <v/>
      </c>
      <c r="S30" s="98">
        <f>IF($H30="",0,IF(AND(S$6&gt;=$H30,S$6&lt;=$I30),$G30,0))</f>
        <v/>
      </c>
      <c r="T30" s="98">
        <f>IF($H30="",0,IF(AND(T$6&gt;=$H30,T$6&lt;=$I30),$G30,0))</f>
        <v/>
      </c>
      <c r="U30" s="98">
        <f>IF($H30="",0,IF(AND(U$6&gt;=$H30,U$6&lt;=$I30),$G30,0))</f>
        <v/>
      </c>
      <c r="V30" s="98">
        <f>IF($H30="",0,IF(AND(V$6&gt;=$H30,V$6&lt;=$I30),$G30,0))</f>
        <v/>
      </c>
      <c r="W30" s="98">
        <f>IF($H30="",0,IF(AND(W$6&gt;=$H30,W$6&lt;=$I30),$G30,0))</f>
        <v/>
      </c>
      <c r="X30" s="98">
        <f>IF($H30="",0,IF(AND(X$6&gt;=$H30,X$6&lt;=$I30),$G30,0))</f>
        <v/>
      </c>
      <c r="Y30" s="98">
        <f>IF($H30="",0,IF(AND(Y$6&gt;=$H30,Y$6&lt;=$I30),$G30,0))</f>
        <v/>
      </c>
      <c r="Z30" s="98">
        <f>IF($H30="",0,IF(AND(Z$6&gt;=$H30,Z$6&lt;=$I30),$G30,0))</f>
        <v/>
      </c>
      <c r="AA30" s="98">
        <f>IF($H30="",0,IF(AND(AA$6&gt;=$H30,AA$6&lt;=$I30),$G30,0))</f>
        <v/>
      </c>
      <c r="AB30" s="98">
        <f>IF($H30="",0,IF(AND(AB$6&gt;=$H30,AB$6&lt;=$I30),$G30,0))</f>
        <v/>
      </c>
      <c r="AC30" s="98">
        <f>IF($H30="",0,IF(AND(AC$6&gt;=$H30,AC$6&lt;=$I30),$G30,0))</f>
        <v/>
      </c>
      <c r="AD30" s="98">
        <f>IF($H30="",0,IF(AND(AD$6&gt;=$H30,AD$6&lt;=$I30),$G30,0))</f>
        <v/>
      </c>
      <c r="AE30" s="98">
        <f>IF($H30="",0,IF(AND(AE$6&gt;=$H30,AE$6&lt;=$I30),$G30,0))</f>
        <v/>
      </c>
      <c r="AF30" s="98">
        <f>IF($H30="",0,IF(AND(AF$6&gt;=$H30,AF$6&lt;=$I30),$G30,0))</f>
        <v/>
      </c>
      <c r="AG30" s="98">
        <f>IF($H30="",0,IF(AND(AG$6&gt;=$H30,AG$6&lt;=$I30),$G30,0))</f>
        <v/>
      </c>
      <c r="AH30" s="98">
        <f>IF($H30="",0,IF(AND(AH$6&gt;=$H30,AH$6&lt;=$I30),$G30,0))</f>
        <v/>
      </c>
      <c r="AI30" s="98">
        <f>IF($H30="",0,IF(AND(AI$6&gt;=$H30,AI$6&lt;=$I30),$G30,0))</f>
        <v/>
      </c>
      <c r="AJ30" s="98">
        <f>IF($H30="",0,IF(AND(AJ$6&gt;=$H30,AJ$6&lt;=$I30),$G30,0))</f>
        <v/>
      </c>
      <c r="AK30" s="98">
        <f>IF($H30="",0,IF(AND(AK$6&gt;=$H30,AK$6&lt;=$I30),$G30,0))</f>
        <v/>
      </c>
      <c r="AL30" s="98">
        <f>IF($H30="",0,IF(AND(AL$6&gt;=$H30,AL$6&lt;=$I30),$G30,0))</f>
        <v/>
      </c>
      <c r="AM30" s="98">
        <f>IF($H30="",0,IF(AND(AM$6&gt;=$H30,AM$6&lt;=$I30),$G30,0))</f>
        <v/>
      </c>
      <c r="AN30" s="98">
        <f>IF($H30="",0,IF(AND(AN$6&gt;=$H30,AN$6&lt;=$I30),$G30,0))</f>
        <v/>
      </c>
      <c r="AO30" s="98">
        <f>IF($H30="",0,IF(AND(AO$6&gt;=$H30,AO$6&lt;=$I30),$G30,0))</f>
        <v/>
      </c>
      <c r="AP30" s="98">
        <f>IF($H30="",0,IF(AND(AP$6&gt;=$H30,AP$6&lt;=$I30),$G30,0))</f>
        <v/>
      </c>
      <c r="AQ30" s="98">
        <f>IF($H30="",0,IF(AND(AQ$6&gt;=$H30,AQ$6&lt;=$I30),$G30,0))</f>
        <v/>
      </c>
      <c r="AR30" s="98">
        <f>IF($H30="",0,IF(AND(AR$6&gt;=$H30,AR$6&lt;=$I30),$G30,0))</f>
        <v/>
      </c>
      <c r="AS30" s="98">
        <f>IF($H30="",0,IF(AND(AS$6&gt;=$H30,AS$6&lt;=$I30),$G30,0))</f>
        <v/>
      </c>
      <c r="AT30" s="98">
        <f>IF($H30="",0,IF(AND(AT$6&gt;=$H30,AT$6&lt;=$I30),$G30,0))</f>
        <v/>
      </c>
      <c r="AU30" s="98">
        <f>IF($H30="",0,IF(AND(AU$6&gt;=$H30,AU$6&lt;=$I30),$G30,0))</f>
        <v/>
      </c>
      <c r="AV30" s="98">
        <f>IF($H30="",0,IF(AND(AV$6&gt;=$H30,AV$6&lt;=$I30),$G30,0))</f>
        <v/>
      </c>
      <c r="AW30" s="98">
        <f>IF($H30="",0,IF(AND(AW$6&gt;=$H30,AW$6&lt;=$I30),$G30,0))</f>
        <v/>
      </c>
      <c r="AX30" s="98">
        <f>IF($H30="",0,IF(AND(AX$6&gt;=$H30,AX$6&lt;=$I30),$G30,0))</f>
        <v/>
      </c>
      <c r="AY30" s="98">
        <f>IF($H30="",0,IF(AND(AY$6&gt;=$H30,AY$6&lt;=$I30),$G30,0))</f>
        <v/>
      </c>
      <c r="AZ30" s="98">
        <f>IF($H30="",0,IF(AND(AZ$6&gt;=$H30,AZ$6&lt;=$I30),$G30,0))</f>
        <v/>
      </c>
      <c r="BA30" s="98">
        <f>IF($H30="",0,IF(AND(BA$6&gt;=$H30,BA$6&lt;=$I30),$G30,0))</f>
        <v/>
      </c>
      <c r="BB30" s="98">
        <f>IF($H30="",0,IF(AND(BB$6&gt;=$H30,BB$6&lt;=$I30),$G30,0))</f>
        <v/>
      </c>
      <c r="BC30" s="98">
        <f>IF($H30="",0,IF(AND(BC$6&gt;=$H30,BC$6&lt;=$I30),$G30,0))</f>
        <v/>
      </c>
      <c r="BD30" s="98">
        <f>IF($H30="",0,IF(AND(BD$6&gt;=$H30,BD$6&lt;=$I30),$G30,0))</f>
        <v/>
      </c>
      <c r="BE30" s="98">
        <f>IF($H30="",0,IF(AND(BE$6&gt;=$H30,BE$6&lt;=$I30),$G30,0))</f>
        <v/>
      </c>
      <c r="BF30" s="98">
        <f>IF($H30="",0,IF(AND(BF$6&gt;=$H30,BF$6&lt;=$I30),$G30,0))</f>
        <v/>
      </c>
      <c r="BG30" s="98">
        <f>IF($H30="",0,IF(AND(BG$6&gt;=$H30,BG$6&lt;=$I30),$G30,0))</f>
        <v/>
      </c>
      <c r="BH30" s="98">
        <f>IF($H30="",0,IF(AND(BH$6&gt;=$H30,BH$6&lt;=$I30),$G30,0))</f>
        <v/>
      </c>
      <c r="BI30" s="98">
        <f>IF($H30="",0,IF(AND(BI$6&gt;=$H30,BI$6&lt;=$I30),$G30,0))</f>
        <v/>
      </c>
      <c r="BJ30" s="98">
        <f>IF($H30="",0,IF(AND(BJ$6&gt;=$H30,BJ$6&lt;=$I30),$G30,0))</f>
        <v/>
      </c>
      <c r="BK30" s="98">
        <f>IF($H30="",0,IF(AND(BK$6&gt;=$H30,BK$6&lt;=$I30),$G30,0))</f>
        <v/>
      </c>
      <c r="BL30" s="98">
        <f>IF($H30="",0,IF(AND(BL$6&gt;=$H30,BL$6&lt;=$I30),$G30,0))</f>
        <v/>
      </c>
      <c r="BM30" s="98">
        <f>IF($H30="",0,IF(AND(BM$6&gt;=$H30,BM$6&lt;=$I30),$G30,0))</f>
        <v/>
      </c>
      <c r="BN30" s="98">
        <f>IF($H30="",0,IF(AND(BN$6&gt;=$H30,BN$6&lt;=$I30),$G30,0))</f>
        <v/>
      </c>
      <c r="BO30" s="98">
        <f>IF($H30="",0,IF(AND(BO$6&gt;=$H30,BO$6&lt;=$I30),$G30,0))</f>
        <v/>
      </c>
      <c r="BP30" s="98">
        <f>IF($H30="",0,IF(AND(BP$6&gt;=$H30,BP$6&lt;=$I30),$G30,0))</f>
        <v/>
      </c>
      <c r="BQ30" s="98">
        <f>IF($H30="",0,IF(AND(BQ$6&gt;=$H30,BQ$6&lt;=$I30),$G30,0))</f>
        <v/>
      </c>
      <c r="BR30" s="98">
        <f>IF($H30="",0,IF(AND(BR$6&gt;=$H30,BR$6&lt;=$I30),$G30,0))</f>
        <v/>
      </c>
      <c r="BS30" s="98">
        <f>IF($H30="",0,IF(AND(BS$6&gt;=$H30,BS$6&lt;=$I30),$G30,0))</f>
        <v/>
      </c>
      <c r="BT30" s="98">
        <f>IF($H30="",0,IF(AND(BT$6&gt;=$H30,BT$6&lt;=$I30),$G30,0))</f>
        <v/>
      </c>
    </row>
    <row r="31">
      <c r="A31" s="74" t="n"/>
      <c r="B31" s="74" t="n"/>
      <c r="C31" s="74" t="n"/>
      <c r="D31" s="73" t="n"/>
      <c r="E31" s="76" t="n"/>
      <c r="F31" s="90" t="n"/>
      <c r="G31" s="84">
        <f>IF(OR($E31="",N($F31)&lt;=0),0,$E31/$F31)</f>
        <v/>
      </c>
      <c r="H31" s="96">
        <f>IF(OR($A31="",$B31="",$D31="",N($F31)&lt;=0),"",IFERROR(IF(DAY($D31)&gt;INDEX(CARTOES_FECHA,MATCH($B31,LISTA_CARTOES,0)),EDATE(DATE(YEAR($D31),MONTH($D31),1),1),DATE(YEAR($D31),MONTH($D31),1)),""))</f>
        <v/>
      </c>
      <c r="I31" s="96">
        <f>IF($H31="","",EDATE($H31,$F31-1))</f>
        <v/>
      </c>
      <c r="J31" s="97">
        <f>IF($H31="",0,MAX(0,MIN($F31,(YEAR($I31)*12+MONTH($I31))-(ANO_SEL*12+MES_SEL))))</f>
        <v/>
      </c>
      <c r="K31" s="84">
        <f>J31*G31</f>
        <v/>
      </c>
      <c r="M31" s="98">
        <f>IF($H31="",0,IF(AND(M$6&gt;=$H31,M$6&lt;=$I31),$G31,0))</f>
        <v/>
      </c>
      <c r="N31" s="98">
        <f>IF($H31="",0,IF(AND(N$6&gt;=$H31,N$6&lt;=$I31),$G31,0))</f>
        <v/>
      </c>
      <c r="O31" s="98">
        <f>IF($H31="",0,IF(AND(O$6&gt;=$H31,O$6&lt;=$I31),$G31,0))</f>
        <v/>
      </c>
      <c r="P31" s="98">
        <f>IF($H31="",0,IF(AND(P$6&gt;=$H31,P$6&lt;=$I31),$G31,0))</f>
        <v/>
      </c>
      <c r="Q31" s="98">
        <f>IF($H31="",0,IF(AND(Q$6&gt;=$H31,Q$6&lt;=$I31),$G31,0))</f>
        <v/>
      </c>
      <c r="R31" s="98">
        <f>IF($H31="",0,IF(AND(R$6&gt;=$H31,R$6&lt;=$I31),$G31,0))</f>
        <v/>
      </c>
      <c r="S31" s="98">
        <f>IF($H31="",0,IF(AND(S$6&gt;=$H31,S$6&lt;=$I31),$G31,0))</f>
        <v/>
      </c>
      <c r="T31" s="98">
        <f>IF($H31="",0,IF(AND(T$6&gt;=$H31,T$6&lt;=$I31),$G31,0))</f>
        <v/>
      </c>
      <c r="U31" s="98">
        <f>IF($H31="",0,IF(AND(U$6&gt;=$H31,U$6&lt;=$I31),$G31,0))</f>
        <v/>
      </c>
      <c r="V31" s="98">
        <f>IF($H31="",0,IF(AND(V$6&gt;=$H31,V$6&lt;=$I31),$G31,0))</f>
        <v/>
      </c>
      <c r="W31" s="98">
        <f>IF($H31="",0,IF(AND(W$6&gt;=$H31,W$6&lt;=$I31),$G31,0))</f>
        <v/>
      </c>
      <c r="X31" s="98">
        <f>IF($H31="",0,IF(AND(X$6&gt;=$H31,X$6&lt;=$I31),$G31,0))</f>
        <v/>
      </c>
      <c r="Y31" s="98">
        <f>IF($H31="",0,IF(AND(Y$6&gt;=$H31,Y$6&lt;=$I31),$G31,0))</f>
        <v/>
      </c>
      <c r="Z31" s="98">
        <f>IF($H31="",0,IF(AND(Z$6&gt;=$H31,Z$6&lt;=$I31),$G31,0))</f>
        <v/>
      </c>
      <c r="AA31" s="98">
        <f>IF($H31="",0,IF(AND(AA$6&gt;=$H31,AA$6&lt;=$I31),$G31,0))</f>
        <v/>
      </c>
      <c r="AB31" s="98">
        <f>IF($H31="",0,IF(AND(AB$6&gt;=$H31,AB$6&lt;=$I31),$G31,0))</f>
        <v/>
      </c>
      <c r="AC31" s="98">
        <f>IF($H31="",0,IF(AND(AC$6&gt;=$H31,AC$6&lt;=$I31),$G31,0))</f>
        <v/>
      </c>
      <c r="AD31" s="98">
        <f>IF($H31="",0,IF(AND(AD$6&gt;=$H31,AD$6&lt;=$I31),$G31,0))</f>
        <v/>
      </c>
      <c r="AE31" s="98">
        <f>IF($H31="",0,IF(AND(AE$6&gt;=$H31,AE$6&lt;=$I31),$G31,0))</f>
        <v/>
      </c>
      <c r="AF31" s="98">
        <f>IF($H31="",0,IF(AND(AF$6&gt;=$H31,AF$6&lt;=$I31),$G31,0))</f>
        <v/>
      </c>
      <c r="AG31" s="98">
        <f>IF($H31="",0,IF(AND(AG$6&gt;=$H31,AG$6&lt;=$I31),$G31,0))</f>
        <v/>
      </c>
      <c r="AH31" s="98">
        <f>IF($H31="",0,IF(AND(AH$6&gt;=$H31,AH$6&lt;=$I31),$G31,0))</f>
        <v/>
      </c>
      <c r="AI31" s="98">
        <f>IF($H31="",0,IF(AND(AI$6&gt;=$H31,AI$6&lt;=$I31),$G31,0))</f>
        <v/>
      </c>
      <c r="AJ31" s="98">
        <f>IF($H31="",0,IF(AND(AJ$6&gt;=$H31,AJ$6&lt;=$I31),$G31,0))</f>
        <v/>
      </c>
      <c r="AK31" s="98">
        <f>IF($H31="",0,IF(AND(AK$6&gt;=$H31,AK$6&lt;=$I31),$G31,0))</f>
        <v/>
      </c>
      <c r="AL31" s="98">
        <f>IF($H31="",0,IF(AND(AL$6&gt;=$H31,AL$6&lt;=$I31),$G31,0))</f>
        <v/>
      </c>
      <c r="AM31" s="98">
        <f>IF($H31="",0,IF(AND(AM$6&gt;=$H31,AM$6&lt;=$I31),$G31,0))</f>
        <v/>
      </c>
      <c r="AN31" s="98">
        <f>IF($H31="",0,IF(AND(AN$6&gt;=$H31,AN$6&lt;=$I31),$G31,0))</f>
        <v/>
      </c>
      <c r="AO31" s="98">
        <f>IF($H31="",0,IF(AND(AO$6&gt;=$H31,AO$6&lt;=$I31),$G31,0))</f>
        <v/>
      </c>
      <c r="AP31" s="98">
        <f>IF($H31="",0,IF(AND(AP$6&gt;=$H31,AP$6&lt;=$I31),$G31,0))</f>
        <v/>
      </c>
      <c r="AQ31" s="98">
        <f>IF($H31="",0,IF(AND(AQ$6&gt;=$H31,AQ$6&lt;=$I31),$G31,0))</f>
        <v/>
      </c>
      <c r="AR31" s="98">
        <f>IF($H31="",0,IF(AND(AR$6&gt;=$H31,AR$6&lt;=$I31),$G31,0))</f>
        <v/>
      </c>
      <c r="AS31" s="98">
        <f>IF($H31="",0,IF(AND(AS$6&gt;=$H31,AS$6&lt;=$I31),$G31,0))</f>
        <v/>
      </c>
      <c r="AT31" s="98">
        <f>IF($H31="",0,IF(AND(AT$6&gt;=$H31,AT$6&lt;=$I31),$G31,0))</f>
        <v/>
      </c>
      <c r="AU31" s="98">
        <f>IF($H31="",0,IF(AND(AU$6&gt;=$H31,AU$6&lt;=$I31),$G31,0))</f>
        <v/>
      </c>
      <c r="AV31" s="98">
        <f>IF($H31="",0,IF(AND(AV$6&gt;=$H31,AV$6&lt;=$I31),$G31,0))</f>
        <v/>
      </c>
      <c r="AW31" s="98">
        <f>IF($H31="",0,IF(AND(AW$6&gt;=$H31,AW$6&lt;=$I31),$G31,0))</f>
        <v/>
      </c>
      <c r="AX31" s="98">
        <f>IF($H31="",0,IF(AND(AX$6&gt;=$H31,AX$6&lt;=$I31),$G31,0))</f>
        <v/>
      </c>
      <c r="AY31" s="98">
        <f>IF($H31="",0,IF(AND(AY$6&gt;=$H31,AY$6&lt;=$I31),$G31,0))</f>
        <v/>
      </c>
      <c r="AZ31" s="98">
        <f>IF($H31="",0,IF(AND(AZ$6&gt;=$H31,AZ$6&lt;=$I31),$G31,0))</f>
        <v/>
      </c>
      <c r="BA31" s="98">
        <f>IF($H31="",0,IF(AND(BA$6&gt;=$H31,BA$6&lt;=$I31),$G31,0))</f>
        <v/>
      </c>
      <c r="BB31" s="98">
        <f>IF($H31="",0,IF(AND(BB$6&gt;=$H31,BB$6&lt;=$I31),$G31,0))</f>
        <v/>
      </c>
      <c r="BC31" s="98">
        <f>IF($H31="",0,IF(AND(BC$6&gt;=$H31,BC$6&lt;=$I31),$G31,0))</f>
        <v/>
      </c>
      <c r="BD31" s="98">
        <f>IF($H31="",0,IF(AND(BD$6&gt;=$H31,BD$6&lt;=$I31),$G31,0))</f>
        <v/>
      </c>
      <c r="BE31" s="98">
        <f>IF($H31="",0,IF(AND(BE$6&gt;=$H31,BE$6&lt;=$I31),$G31,0))</f>
        <v/>
      </c>
      <c r="BF31" s="98">
        <f>IF($H31="",0,IF(AND(BF$6&gt;=$H31,BF$6&lt;=$I31),$G31,0))</f>
        <v/>
      </c>
      <c r="BG31" s="98">
        <f>IF($H31="",0,IF(AND(BG$6&gt;=$H31,BG$6&lt;=$I31),$G31,0))</f>
        <v/>
      </c>
      <c r="BH31" s="98">
        <f>IF($H31="",0,IF(AND(BH$6&gt;=$H31,BH$6&lt;=$I31),$G31,0))</f>
        <v/>
      </c>
      <c r="BI31" s="98">
        <f>IF($H31="",0,IF(AND(BI$6&gt;=$H31,BI$6&lt;=$I31),$G31,0))</f>
        <v/>
      </c>
      <c r="BJ31" s="98">
        <f>IF($H31="",0,IF(AND(BJ$6&gt;=$H31,BJ$6&lt;=$I31),$G31,0))</f>
        <v/>
      </c>
      <c r="BK31" s="98">
        <f>IF($H31="",0,IF(AND(BK$6&gt;=$H31,BK$6&lt;=$I31),$G31,0))</f>
        <v/>
      </c>
      <c r="BL31" s="98">
        <f>IF($H31="",0,IF(AND(BL$6&gt;=$H31,BL$6&lt;=$I31),$G31,0))</f>
        <v/>
      </c>
      <c r="BM31" s="98">
        <f>IF($H31="",0,IF(AND(BM$6&gt;=$H31,BM$6&lt;=$I31),$G31,0))</f>
        <v/>
      </c>
      <c r="BN31" s="98">
        <f>IF($H31="",0,IF(AND(BN$6&gt;=$H31,BN$6&lt;=$I31),$G31,0))</f>
        <v/>
      </c>
      <c r="BO31" s="98">
        <f>IF($H31="",0,IF(AND(BO$6&gt;=$H31,BO$6&lt;=$I31),$G31,0))</f>
        <v/>
      </c>
      <c r="BP31" s="98">
        <f>IF($H31="",0,IF(AND(BP$6&gt;=$H31,BP$6&lt;=$I31),$G31,0))</f>
        <v/>
      </c>
      <c r="BQ31" s="98">
        <f>IF($H31="",0,IF(AND(BQ$6&gt;=$H31,BQ$6&lt;=$I31),$G31,0))</f>
        <v/>
      </c>
      <c r="BR31" s="98">
        <f>IF($H31="",0,IF(AND(BR$6&gt;=$H31,BR$6&lt;=$I31),$G31,0))</f>
        <v/>
      </c>
      <c r="BS31" s="98">
        <f>IF($H31="",0,IF(AND(BS$6&gt;=$H31,BS$6&lt;=$I31),$G31,0))</f>
        <v/>
      </c>
      <c r="BT31" s="98">
        <f>IF($H31="",0,IF(AND(BT$6&gt;=$H31,BT$6&lt;=$I31),$G31,0))</f>
        <v/>
      </c>
    </row>
    <row r="32">
      <c r="A32" s="74" t="n"/>
      <c r="B32" s="74" t="n"/>
      <c r="C32" s="74" t="n"/>
      <c r="D32" s="73" t="n"/>
      <c r="E32" s="76" t="n"/>
      <c r="F32" s="90" t="n"/>
      <c r="G32" s="84">
        <f>IF(OR($E32="",N($F32)&lt;=0),0,$E32/$F32)</f>
        <v/>
      </c>
      <c r="H32" s="96">
        <f>IF(OR($A32="",$B32="",$D32="",N($F32)&lt;=0),"",IFERROR(IF(DAY($D32)&gt;INDEX(CARTOES_FECHA,MATCH($B32,LISTA_CARTOES,0)),EDATE(DATE(YEAR($D32),MONTH($D32),1),1),DATE(YEAR($D32),MONTH($D32),1)),""))</f>
        <v/>
      </c>
      <c r="I32" s="96">
        <f>IF($H32="","",EDATE($H32,$F32-1))</f>
        <v/>
      </c>
      <c r="J32" s="97">
        <f>IF($H32="",0,MAX(0,MIN($F32,(YEAR($I32)*12+MONTH($I32))-(ANO_SEL*12+MES_SEL))))</f>
        <v/>
      </c>
      <c r="K32" s="84">
        <f>J32*G32</f>
        <v/>
      </c>
      <c r="M32" s="98">
        <f>IF($H32="",0,IF(AND(M$6&gt;=$H32,M$6&lt;=$I32),$G32,0))</f>
        <v/>
      </c>
      <c r="N32" s="98">
        <f>IF($H32="",0,IF(AND(N$6&gt;=$H32,N$6&lt;=$I32),$G32,0))</f>
        <v/>
      </c>
      <c r="O32" s="98">
        <f>IF($H32="",0,IF(AND(O$6&gt;=$H32,O$6&lt;=$I32),$G32,0))</f>
        <v/>
      </c>
      <c r="P32" s="98">
        <f>IF($H32="",0,IF(AND(P$6&gt;=$H32,P$6&lt;=$I32),$G32,0))</f>
        <v/>
      </c>
      <c r="Q32" s="98">
        <f>IF($H32="",0,IF(AND(Q$6&gt;=$H32,Q$6&lt;=$I32),$G32,0))</f>
        <v/>
      </c>
      <c r="R32" s="98">
        <f>IF($H32="",0,IF(AND(R$6&gt;=$H32,R$6&lt;=$I32),$G32,0))</f>
        <v/>
      </c>
      <c r="S32" s="98">
        <f>IF($H32="",0,IF(AND(S$6&gt;=$H32,S$6&lt;=$I32),$G32,0))</f>
        <v/>
      </c>
      <c r="T32" s="98">
        <f>IF($H32="",0,IF(AND(T$6&gt;=$H32,T$6&lt;=$I32),$G32,0))</f>
        <v/>
      </c>
      <c r="U32" s="98">
        <f>IF($H32="",0,IF(AND(U$6&gt;=$H32,U$6&lt;=$I32),$G32,0))</f>
        <v/>
      </c>
      <c r="V32" s="98">
        <f>IF($H32="",0,IF(AND(V$6&gt;=$H32,V$6&lt;=$I32),$G32,0))</f>
        <v/>
      </c>
      <c r="W32" s="98">
        <f>IF($H32="",0,IF(AND(W$6&gt;=$H32,W$6&lt;=$I32),$G32,0))</f>
        <v/>
      </c>
      <c r="X32" s="98">
        <f>IF($H32="",0,IF(AND(X$6&gt;=$H32,X$6&lt;=$I32),$G32,0))</f>
        <v/>
      </c>
      <c r="Y32" s="98">
        <f>IF($H32="",0,IF(AND(Y$6&gt;=$H32,Y$6&lt;=$I32),$G32,0))</f>
        <v/>
      </c>
      <c r="Z32" s="98">
        <f>IF($H32="",0,IF(AND(Z$6&gt;=$H32,Z$6&lt;=$I32),$G32,0))</f>
        <v/>
      </c>
      <c r="AA32" s="98">
        <f>IF($H32="",0,IF(AND(AA$6&gt;=$H32,AA$6&lt;=$I32),$G32,0))</f>
        <v/>
      </c>
      <c r="AB32" s="98">
        <f>IF($H32="",0,IF(AND(AB$6&gt;=$H32,AB$6&lt;=$I32),$G32,0))</f>
        <v/>
      </c>
      <c r="AC32" s="98">
        <f>IF($H32="",0,IF(AND(AC$6&gt;=$H32,AC$6&lt;=$I32),$G32,0))</f>
        <v/>
      </c>
      <c r="AD32" s="98">
        <f>IF($H32="",0,IF(AND(AD$6&gt;=$H32,AD$6&lt;=$I32),$G32,0))</f>
        <v/>
      </c>
      <c r="AE32" s="98">
        <f>IF($H32="",0,IF(AND(AE$6&gt;=$H32,AE$6&lt;=$I32),$G32,0))</f>
        <v/>
      </c>
      <c r="AF32" s="98">
        <f>IF($H32="",0,IF(AND(AF$6&gt;=$H32,AF$6&lt;=$I32),$G32,0))</f>
        <v/>
      </c>
      <c r="AG32" s="98">
        <f>IF($H32="",0,IF(AND(AG$6&gt;=$H32,AG$6&lt;=$I32),$G32,0))</f>
        <v/>
      </c>
      <c r="AH32" s="98">
        <f>IF($H32="",0,IF(AND(AH$6&gt;=$H32,AH$6&lt;=$I32),$G32,0))</f>
        <v/>
      </c>
      <c r="AI32" s="98">
        <f>IF($H32="",0,IF(AND(AI$6&gt;=$H32,AI$6&lt;=$I32),$G32,0))</f>
        <v/>
      </c>
      <c r="AJ32" s="98">
        <f>IF($H32="",0,IF(AND(AJ$6&gt;=$H32,AJ$6&lt;=$I32),$G32,0))</f>
        <v/>
      </c>
      <c r="AK32" s="98">
        <f>IF($H32="",0,IF(AND(AK$6&gt;=$H32,AK$6&lt;=$I32),$G32,0))</f>
        <v/>
      </c>
      <c r="AL32" s="98">
        <f>IF($H32="",0,IF(AND(AL$6&gt;=$H32,AL$6&lt;=$I32),$G32,0))</f>
        <v/>
      </c>
      <c r="AM32" s="98">
        <f>IF($H32="",0,IF(AND(AM$6&gt;=$H32,AM$6&lt;=$I32),$G32,0))</f>
        <v/>
      </c>
      <c r="AN32" s="98">
        <f>IF($H32="",0,IF(AND(AN$6&gt;=$H32,AN$6&lt;=$I32),$G32,0))</f>
        <v/>
      </c>
      <c r="AO32" s="98">
        <f>IF($H32="",0,IF(AND(AO$6&gt;=$H32,AO$6&lt;=$I32),$G32,0))</f>
        <v/>
      </c>
      <c r="AP32" s="98">
        <f>IF($H32="",0,IF(AND(AP$6&gt;=$H32,AP$6&lt;=$I32),$G32,0))</f>
        <v/>
      </c>
      <c r="AQ32" s="98">
        <f>IF($H32="",0,IF(AND(AQ$6&gt;=$H32,AQ$6&lt;=$I32),$G32,0))</f>
        <v/>
      </c>
      <c r="AR32" s="98">
        <f>IF($H32="",0,IF(AND(AR$6&gt;=$H32,AR$6&lt;=$I32),$G32,0))</f>
        <v/>
      </c>
      <c r="AS32" s="98">
        <f>IF($H32="",0,IF(AND(AS$6&gt;=$H32,AS$6&lt;=$I32),$G32,0))</f>
        <v/>
      </c>
      <c r="AT32" s="98">
        <f>IF($H32="",0,IF(AND(AT$6&gt;=$H32,AT$6&lt;=$I32),$G32,0))</f>
        <v/>
      </c>
      <c r="AU32" s="98">
        <f>IF($H32="",0,IF(AND(AU$6&gt;=$H32,AU$6&lt;=$I32),$G32,0))</f>
        <v/>
      </c>
      <c r="AV32" s="98">
        <f>IF($H32="",0,IF(AND(AV$6&gt;=$H32,AV$6&lt;=$I32),$G32,0))</f>
        <v/>
      </c>
      <c r="AW32" s="98">
        <f>IF($H32="",0,IF(AND(AW$6&gt;=$H32,AW$6&lt;=$I32),$G32,0))</f>
        <v/>
      </c>
      <c r="AX32" s="98">
        <f>IF($H32="",0,IF(AND(AX$6&gt;=$H32,AX$6&lt;=$I32),$G32,0))</f>
        <v/>
      </c>
      <c r="AY32" s="98">
        <f>IF($H32="",0,IF(AND(AY$6&gt;=$H32,AY$6&lt;=$I32),$G32,0))</f>
        <v/>
      </c>
      <c r="AZ32" s="98">
        <f>IF($H32="",0,IF(AND(AZ$6&gt;=$H32,AZ$6&lt;=$I32),$G32,0))</f>
        <v/>
      </c>
      <c r="BA32" s="98">
        <f>IF($H32="",0,IF(AND(BA$6&gt;=$H32,BA$6&lt;=$I32),$G32,0))</f>
        <v/>
      </c>
      <c r="BB32" s="98">
        <f>IF($H32="",0,IF(AND(BB$6&gt;=$H32,BB$6&lt;=$I32),$G32,0))</f>
        <v/>
      </c>
      <c r="BC32" s="98">
        <f>IF($H32="",0,IF(AND(BC$6&gt;=$H32,BC$6&lt;=$I32),$G32,0))</f>
        <v/>
      </c>
      <c r="BD32" s="98">
        <f>IF($H32="",0,IF(AND(BD$6&gt;=$H32,BD$6&lt;=$I32),$G32,0))</f>
        <v/>
      </c>
      <c r="BE32" s="98">
        <f>IF($H32="",0,IF(AND(BE$6&gt;=$H32,BE$6&lt;=$I32),$G32,0))</f>
        <v/>
      </c>
      <c r="BF32" s="98">
        <f>IF($H32="",0,IF(AND(BF$6&gt;=$H32,BF$6&lt;=$I32),$G32,0))</f>
        <v/>
      </c>
      <c r="BG32" s="98">
        <f>IF($H32="",0,IF(AND(BG$6&gt;=$H32,BG$6&lt;=$I32),$G32,0))</f>
        <v/>
      </c>
      <c r="BH32" s="98">
        <f>IF($H32="",0,IF(AND(BH$6&gt;=$H32,BH$6&lt;=$I32),$G32,0))</f>
        <v/>
      </c>
      <c r="BI32" s="98">
        <f>IF($H32="",0,IF(AND(BI$6&gt;=$H32,BI$6&lt;=$I32),$G32,0))</f>
        <v/>
      </c>
      <c r="BJ32" s="98">
        <f>IF($H32="",0,IF(AND(BJ$6&gt;=$H32,BJ$6&lt;=$I32),$G32,0))</f>
        <v/>
      </c>
      <c r="BK32" s="98">
        <f>IF($H32="",0,IF(AND(BK$6&gt;=$H32,BK$6&lt;=$I32),$G32,0))</f>
        <v/>
      </c>
      <c r="BL32" s="98">
        <f>IF($H32="",0,IF(AND(BL$6&gt;=$H32,BL$6&lt;=$I32),$G32,0))</f>
        <v/>
      </c>
      <c r="BM32" s="98">
        <f>IF($H32="",0,IF(AND(BM$6&gt;=$H32,BM$6&lt;=$I32),$G32,0))</f>
        <v/>
      </c>
      <c r="BN32" s="98">
        <f>IF($H32="",0,IF(AND(BN$6&gt;=$H32,BN$6&lt;=$I32),$G32,0))</f>
        <v/>
      </c>
      <c r="BO32" s="98">
        <f>IF($H32="",0,IF(AND(BO$6&gt;=$H32,BO$6&lt;=$I32),$G32,0))</f>
        <v/>
      </c>
      <c r="BP32" s="98">
        <f>IF($H32="",0,IF(AND(BP$6&gt;=$H32,BP$6&lt;=$I32),$G32,0))</f>
        <v/>
      </c>
      <c r="BQ32" s="98">
        <f>IF($H32="",0,IF(AND(BQ$6&gt;=$H32,BQ$6&lt;=$I32),$G32,0))</f>
        <v/>
      </c>
      <c r="BR32" s="98">
        <f>IF($H32="",0,IF(AND(BR$6&gt;=$H32,BR$6&lt;=$I32),$G32,0))</f>
        <v/>
      </c>
      <c r="BS32" s="98">
        <f>IF($H32="",0,IF(AND(BS$6&gt;=$H32,BS$6&lt;=$I32),$G32,0))</f>
        <v/>
      </c>
      <c r="BT32" s="98">
        <f>IF($H32="",0,IF(AND(BT$6&gt;=$H32,BT$6&lt;=$I32),$G32,0))</f>
        <v/>
      </c>
    </row>
    <row r="33">
      <c r="A33" s="74" t="n"/>
      <c r="B33" s="74" t="n"/>
      <c r="C33" s="74" t="n"/>
      <c r="D33" s="73" t="n"/>
      <c r="E33" s="76" t="n"/>
      <c r="F33" s="90" t="n"/>
      <c r="G33" s="84">
        <f>IF(OR($E33="",N($F33)&lt;=0),0,$E33/$F33)</f>
        <v/>
      </c>
      <c r="H33" s="96">
        <f>IF(OR($A33="",$B33="",$D33="",N($F33)&lt;=0),"",IFERROR(IF(DAY($D33)&gt;INDEX(CARTOES_FECHA,MATCH($B33,LISTA_CARTOES,0)),EDATE(DATE(YEAR($D33),MONTH($D33),1),1),DATE(YEAR($D33),MONTH($D33),1)),""))</f>
        <v/>
      </c>
      <c r="I33" s="96">
        <f>IF($H33="","",EDATE($H33,$F33-1))</f>
        <v/>
      </c>
      <c r="J33" s="97">
        <f>IF($H33="",0,MAX(0,MIN($F33,(YEAR($I33)*12+MONTH($I33))-(ANO_SEL*12+MES_SEL))))</f>
        <v/>
      </c>
      <c r="K33" s="84">
        <f>J33*G33</f>
        <v/>
      </c>
      <c r="M33" s="98">
        <f>IF($H33="",0,IF(AND(M$6&gt;=$H33,M$6&lt;=$I33),$G33,0))</f>
        <v/>
      </c>
      <c r="N33" s="98">
        <f>IF($H33="",0,IF(AND(N$6&gt;=$H33,N$6&lt;=$I33),$G33,0))</f>
        <v/>
      </c>
      <c r="O33" s="98">
        <f>IF($H33="",0,IF(AND(O$6&gt;=$H33,O$6&lt;=$I33),$G33,0))</f>
        <v/>
      </c>
      <c r="P33" s="98">
        <f>IF($H33="",0,IF(AND(P$6&gt;=$H33,P$6&lt;=$I33),$G33,0))</f>
        <v/>
      </c>
      <c r="Q33" s="98">
        <f>IF($H33="",0,IF(AND(Q$6&gt;=$H33,Q$6&lt;=$I33),$G33,0))</f>
        <v/>
      </c>
      <c r="R33" s="98">
        <f>IF($H33="",0,IF(AND(R$6&gt;=$H33,R$6&lt;=$I33),$G33,0))</f>
        <v/>
      </c>
      <c r="S33" s="98">
        <f>IF($H33="",0,IF(AND(S$6&gt;=$H33,S$6&lt;=$I33),$G33,0))</f>
        <v/>
      </c>
      <c r="T33" s="98">
        <f>IF($H33="",0,IF(AND(T$6&gt;=$H33,T$6&lt;=$I33),$G33,0))</f>
        <v/>
      </c>
      <c r="U33" s="98">
        <f>IF($H33="",0,IF(AND(U$6&gt;=$H33,U$6&lt;=$I33),$G33,0))</f>
        <v/>
      </c>
      <c r="V33" s="98">
        <f>IF($H33="",0,IF(AND(V$6&gt;=$H33,V$6&lt;=$I33),$G33,0))</f>
        <v/>
      </c>
      <c r="W33" s="98">
        <f>IF($H33="",0,IF(AND(W$6&gt;=$H33,W$6&lt;=$I33),$G33,0))</f>
        <v/>
      </c>
      <c r="X33" s="98">
        <f>IF($H33="",0,IF(AND(X$6&gt;=$H33,X$6&lt;=$I33),$G33,0))</f>
        <v/>
      </c>
      <c r="Y33" s="98">
        <f>IF($H33="",0,IF(AND(Y$6&gt;=$H33,Y$6&lt;=$I33),$G33,0))</f>
        <v/>
      </c>
      <c r="Z33" s="98">
        <f>IF($H33="",0,IF(AND(Z$6&gt;=$H33,Z$6&lt;=$I33),$G33,0))</f>
        <v/>
      </c>
      <c r="AA33" s="98">
        <f>IF($H33="",0,IF(AND(AA$6&gt;=$H33,AA$6&lt;=$I33),$G33,0))</f>
        <v/>
      </c>
      <c r="AB33" s="98">
        <f>IF($H33="",0,IF(AND(AB$6&gt;=$H33,AB$6&lt;=$I33),$G33,0))</f>
        <v/>
      </c>
      <c r="AC33" s="98">
        <f>IF($H33="",0,IF(AND(AC$6&gt;=$H33,AC$6&lt;=$I33),$G33,0))</f>
        <v/>
      </c>
      <c r="AD33" s="98">
        <f>IF($H33="",0,IF(AND(AD$6&gt;=$H33,AD$6&lt;=$I33),$G33,0))</f>
        <v/>
      </c>
      <c r="AE33" s="98">
        <f>IF($H33="",0,IF(AND(AE$6&gt;=$H33,AE$6&lt;=$I33),$G33,0))</f>
        <v/>
      </c>
      <c r="AF33" s="98">
        <f>IF($H33="",0,IF(AND(AF$6&gt;=$H33,AF$6&lt;=$I33),$G33,0))</f>
        <v/>
      </c>
      <c r="AG33" s="98">
        <f>IF($H33="",0,IF(AND(AG$6&gt;=$H33,AG$6&lt;=$I33),$G33,0))</f>
        <v/>
      </c>
      <c r="AH33" s="98">
        <f>IF($H33="",0,IF(AND(AH$6&gt;=$H33,AH$6&lt;=$I33),$G33,0))</f>
        <v/>
      </c>
      <c r="AI33" s="98">
        <f>IF($H33="",0,IF(AND(AI$6&gt;=$H33,AI$6&lt;=$I33),$G33,0))</f>
        <v/>
      </c>
      <c r="AJ33" s="98">
        <f>IF($H33="",0,IF(AND(AJ$6&gt;=$H33,AJ$6&lt;=$I33),$G33,0))</f>
        <v/>
      </c>
      <c r="AK33" s="98">
        <f>IF($H33="",0,IF(AND(AK$6&gt;=$H33,AK$6&lt;=$I33),$G33,0))</f>
        <v/>
      </c>
      <c r="AL33" s="98">
        <f>IF($H33="",0,IF(AND(AL$6&gt;=$H33,AL$6&lt;=$I33),$G33,0))</f>
        <v/>
      </c>
      <c r="AM33" s="98">
        <f>IF($H33="",0,IF(AND(AM$6&gt;=$H33,AM$6&lt;=$I33),$G33,0))</f>
        <v/>
      </c>
      <c r="AN33" s="98">
        <f>IF($H33="",0,IF(AND(AN$6&gt;=$H33,AN$6&lt;=$I33),$G33,0))</f>
        <v/>
      </c>
      <c r="AO33" s="98">
        <f>IF($H33="",0,IF(AND(AO$6&gt;=$H33,AO$6&lt;=$I33),$G33,0))</f>
        <v/>
      </c>
      <c r="AP33" s="98">
        <f>IF($H33="",0,IF(AND(AP$6&gt;=$H33,AP$6&lt;=$I33),$G33,0))</f>
        <v/>
      </c>
      <c r="AQ33" s="98">
        <f>IF($H33="",0,IF(AND(AQ$6&gt;=$H33,AQ$6&lt;=$I33),$G33,0))</f>
        <v/>
      </c>
      <c r="AR33" s="98">
        <f>IF($H33="",0,IF(AND(AR$6&gt;=$H33,AR$6&lt;=$I33),$G33,0))</f>
        <v/>
      </c>
      <c r="AS33" s="98">
        <f>IF($H33="",0,IF(AND(AS$6&gt;=$H33,AS$6&lt;=$I33),$G33,0))</f>
        <v/>
      </c>
      <c r="AT33" s="98">
        <f>IF($H33="",0,IF(AND(AT$6&gt;=$H33,AT$6&lt;=$I33),$G33,0))</f>
        <v/>
      </c>
      <c r="AU33" s="98">
        <f>IF($H33="",0,IF(AND(AU$6&gt;=$H33,AU$6&lt;=$I33),$G33,0))</f>
        <v/>
      </c>
      <c r="AV33" s="98">
        <f>IF($H33="",0,IF(AND(AV$6&gt;=$H33,AV$6&lt;=$I33),$G33,0))</f>
        <v/>
      </c>
      <c r="AW33" s="98">
        <f>IF($H33="",0,IF(AND(AW$6&gt;=$H33,AW$6&lt;=$I33),$G33,0))</f>
        <v/>
      </c>
      <c r="AX33" s="98">
        <f>IF($H33="",0,IF(AND(AX$6&gt;=$H33,AX$6&lt;=$I33),$G33,0))</f>
        <v/>
      </c>
      <c r="AY33" s="98">
        <f>IF($H33="",0,IF(AND(AY$6&gt;=$H33,AY$6&lt;=$I33),$G33,0))</f>
        <v/>
      </c>
      <c r="AZ33" s="98">
        <f>IF($H33="",0,IF(AND(AZ$6&gt;=$H33,AZ$6&lt;=$I33),$G33,0))</f>
        <v/>
      </c>
      <c r="BA33" s="98">
        <f>IF($H33="",0,IF(AND(BA$6&gt;=$H33,BA$6&lt;=$I33),$G33,0))</f>
        <v/>
      </c>
      <c r="BB33" s="98">
        <f>IF($H33="",0,IF(AND(BB$6&gt;=$H33,BB$6&lt;=$I33),$G33,0))</f>
        <v/>
      </c>
      <c r="BC33" s="98">
        <f>IF($H33="",0,IF(AND(BC$6&gt;=$H33,BC$6&lt;=$I33),$G33,0))</f>
        <v/>
      </c>
      <c r="BD33" s="98">
        <f>IF($H33="",0,IF(AND(BD$6&gt;=$H33,BD$6&lt;=$I33),$G33,0))</f>
        <v/>
      </c>
      <c r="BE33" s="98">
        <f>IF($H33="",0,IF(AND(BE$6&gt;=$H33,BE$6&lt;=$I33),$G33,0))</f>
        <v/>
      </c>
      <c r="BF33" s="98">
        <f>IF($H33="",0,IF(AND(BF$6&gt;=$H33,BF$6&lt;=$I33),$G33,0))</f>
        <v/>
      </c>
      <c r="BG33" s="98">
        <f>IF($H33="",0,IF(AND(BG$6&gt;=$H33,BG$6&lt;=$I33),$G33,0))</f>
        <v/>
      </c>
      <c r="BH33" s="98">
        <f>IF($H33="",0,IF(AND(BH$6&gt;=$H33,BH$6&lt;=$I33),$G33,0))</f>
        <v/>
      </c>
      <c r="BI33" s="98">
        <f>IF($H33="",0,IF(AND(BI$6&gt;=$H33,BI$6&lt;=$I33),$G33,0))</f>
        <v/>
      </c>
      <c r="BJ33" s="98">
        <f>IF($H33="",0,IF(AND(BJ$6&gt;=$H33,BJ$6&lt;=$I33),$G33,0))</f>
        <v/>
      </c>
      <c r="BK33" s="98">
        <f>IF($H33="",0,IF(AND(BK$6&gt;=$H33,BK$6&lt;=$I33),$G33,0))</f>
        <v/>
      </c>
      <c r="BL33" s="98">
        <f>IF($H33="",0,IF(AND(BL$6&gt;=$H33,BL$6&lt;=$I33),$G33,0))</f>
        <v/>
      </c>
      <c r="BM33" s="98">
        <f>IF($H33="",0,IF(AND(BM$6&gt;=$H33,BM$6&lt;=$I33),$G33,0))</f>
        <v/>
      </c>
      <c r="BN33" s="98">
        <f>IF($H33="",0,IF(AND(BN$6&gt;=$H33,BN$6&lt;=$I33),$G33,0))</f>
        <v/>
      </c>
      <c r="BO33" s="98">
        <f>IF($H33="",0,IF(AND(BO$6&gt;=$H33,BO$6&lt;=$I33),$G33,0))</f>
        <v/>
      </c>
      <c r="BP33" s="98">
        <f>IF($H33="",0,IF(AND(BP$6&gt;=$H33,BP$6&lt;=$I33),$G33,0))</f>
        <v/>
      </c>
      <c r="BQ33" s="98">
        <f>IF($H33="",0,IF(AND(BQ$6&gt;=$H33,BQ$6&lt;=$I33),$G33,0))</f>
        <v/>
      </c>
      <c r="BR33" s="98">
        <f>IF($H33="",0,IF(AND(BR$6&gt;=$H33,BR$6&lt;=$I33),$G33,0))</f>
        <v/>
      </c>
      <c r="BS33" s="98">
        <f>IF($H33="",0,IF(AND(BS$6&gt;=$H33,BS$6&lt;=$I33),$G33,0))</f>
        <v/>
      </c>
      <c r="BT33" s="98">
        <f>IF($H33="",0,IF(AND(BT$6&gt;=$H33,BT$6&lt;=$I33),$G33,0))</f>
        <v/>
      </c>
    </row>
    <row r="34">
      <c r="A34" s="74" t="n"/>
      <c r="B34" s="74" t="n"/>
      <c r="C34" s="74" t="n"/>
      <c r="D34" s="73" t="n"/>
      <c r="E34" s="76" t="n"/>
      <c r="F34" s="90" t="n"/>
      <c r="G34" s="84">
        <f>IF(OR($E34="",N($F34)&lt;=0),0,$E34/$F34)</f>
        <v/>
      </c>
      <c r="H34" s="96">
        <f>IF(OR($A34="",$B34="",$D34="",N($F34)&lt;=0),"",IFERROR(IF(DAY($D34)&gt;INDEX(CARTOES_FECHA,MATCH($B34,LISTA_CARTOES,0)),EDATE(DATE(YEAR($D34),MONTH($D34),1),1),DATE(YEAR($D34),MONTH($D34),1)),""))</f>
        <v/>
      </c>
      <c r="I34" s="96">
        <f>IF($H34="","",EDATE($H34,$F34-1))</f>
        <v/>
      </c>
      <c r="J34" s="97">
        <f>IF($H34="",0,MAX(0,MIN($F34,(YEAR($I34)*12+MONTH($I34))-(ANO_SEL*12+MES_SEL))))</f>
        <v/>
      </c>
      <c r="K34" s="84">
        <f>J34*G34</f>
        <v/>
      </c>
      <c r="M34" s="98">
        <f>IF($H34="",0,IF(AND(M$6&gt;=$H34,M$6&lt;=$I34),$G34,0))</f>
        <v/>
      </c>
      <c r="N34" s="98">
        <f>IF($H34="",0,IF(AND(N$6&gt;=$H34,N$6&lt;=$I34),$G34,0))</f>
        <v/>
      </c>
      <c r="O34" s="98">
        <f>IF($H34="",0,IF(AND(O$6&gt;=$H34,O$6&lt;=$I34),$G34,0))</f>
        <v/>
      </c>
      <c r="P34" s="98">
        <f>IF($H34="",0,IF(AND(P$6&gt;=$H34,P$6&lt;=$I34),$G34,0))</f>
        <v/>
      </c>
      <c r="Q34" s="98">
        <f>IF($H34="",0,IF(AND(Q$6&gt;=$H34,Q$6&lt;=$I34),$G34,0))</f>
        <v/>
      </c>
      <c r="R34" s="98">
        <f>IF($H34="",0,IF(AND(R$6&gt;=$H34,R$6&lt;=$I34),$G34,0))</f>
        <v/>
      </c>
      <c r="S34" s="98">
        <f>IF($H34="",0,IF(AND(S$6&gt;=$H34,S$6&lt;=$I34),$G34,0))</f>
        <v/>
      </c>
      <c r="T34" s="98">
        <f>IF($H34="",0,IF(AND(T$6&gt;=$H34,T$6&lt;=$I34),$G34,0))</f>
        <v/>
      </c>
      <c r="U34" s="98">
        <f>IF($H34="",0,IF(AND(U$6&gt;=$H34,U$6&lt;=$I34),$G34,0))</f>
        <v/>
      </c>
      <c r="V34" s="98">
        <f>IF($H34="",0,IF(AND(V$6&gt;=$H34,V$6&lt;=$I34),$G34,0))</f>
        <v/>
      </c>
      <c r="W34" s="98">
        <f>IF($H34="",0,IF(AND(W$6&gt;=$H34,W$6&lt;=$I34),$G34,0))</f>
        <v/>
      </c>
      <c r="X34" s="98">
        <f>IF($H34="",0,IF(AND(X$6&gt;=$H34,X$6&lt;=$I34),$G34,0))</f>
        <v/>
      </c>
      <c r="Y34" s="98">
        <f>IF($H34="",0,IF(AND(Y$6&gt;=$H34,Y$6&lt;=$I34),$G34,0))</f>
        <v/>
      </c>
      <c r="Z34" s="98">
        <f>IF($H34="",0,IF(AND(Z$6&gt;=$H34,Z$6&lt;=$I34),$G34,0))</f>
        <v/>
      </c>
      <c r="AA34" s="98">
        <f>IF($H34="",0,IF(AND(AA$6&gt;=$H34,AA$6&lt;=$I34),$G34,0))</f>
        <v/>
      </c>
      <c r="AB34" s="98">
        <f>IF($H34="",0,IF(AND(AB$6&gt;=$H34,AB$6&lt;=$I34),$G34,0))</f>
        <v/>
      </c>
      <c r="AC34" s="98">
        <f>IF($H34="",0,IF(AND(AC$6&gt;=$H34,AC$6&lt;=$I34),$G34,0))</f>
        <v/>
      </c>
      <c r="AD34" s="98">
        <f>IF($H34="",0,IF(AND(AD$6&gt;=$H34,AD$6&lt;=$I34),$G34,0))</f>
        <v/>
      </c>
      <c r="AE34" s="98">
        <f>IF($H34="",0,IF(AND(AE$6&gt;=$H34,AE$6&lt;=$I34),$G34,0))</f>
        <v/>
      </c>
      <c r="AF34" s="98">
        <f>IF($H34="",0,IF(AND(AF$6&gt;=$H34,AF$6&lt;=$I34),$G34,0))</f>
        <v/>
      </c>
      <c r="AG34" s="98">
        <f>IF($H34="",0,IF(AND(AG$6&gt;=$H34,AG$6&lt;=$I34),$G34,0))</f>
        <v/>
      </c>
      <c r="AH34" s="98">
        <f>IF($H34="",0,IF(AND(AH$6&gt;=$H34,AH$6&lt;=$I34),$G34,0))</f>
        <v/>
      </c>
      <c r="AI34" s="98">
        <f>IF($H34="",0,IF(AND(AI$6&gt;=$H34,AI$6&lt;=$I34),$G34,0))</f>
        <v/>
      </c>
      <c r="AJ34" s="98">
        <f>IF($H34="",0,IF(AND(AJ$6&gt;=$H34,AJ$6&lt;=$I34),$G34,0))</f>
        <v/>
      </c>
      <c r="AK34" s="98">
        <f>IF($H34="",0,IF(AND(AK$6&gt;=$H34,AK$6&lt;=$I34),$G34,0))</f>
        <v/>
      </c>
      <c r="AL34" s="98">
        <f>IF($H34="",0,IF(AND(AL$6&gt;=$H34,AL$6&lt;=$I34),$G34,0))</f>
        <v/>
      </c>
      <c r="AM34" s="98">
        <f>IF($H34="",0,IF(AND(AM$6&gt;=$H34,AM$6&lt;=$I34),$G34,0))</f>
        <v/>
      </c>
      <c r="AN34" s="98">
        <f>IF($H34="",0,IF(AND(AN$6&gt;=$H34,AN$6&lt;=$I34),$G34,0))</f>
        <v/>
      </c>
      <c r="AO34" s="98">
        <f>IF($H34="",0,IF(AND(AO$6&gt;=$H34,AO$6&lt;=$I34),$G34,0))</f>
        <v/>
      </c>
      <c r="AP34" s="98">
        <f>IF($H34="",0,IF(AND(AP$6&gt;=$H34,AP$6&lt;=$I34),$G34,0))</f>
        <v/>
      </c>
      <c r="AQ34" s="98">
        <f>IF($H34="",0,IF(AND(AQ$6&gt;=$H34,AQ$6&lt;=$I34),$G34,0))</f>
        <v/>
      </c>
      <c r="AR34" s="98">
        <f>IF($H34="",0,IF(AND(AR$6&gt;=$H34,AR$6&lt;=$I34),$G34,0))</f>
        <v/>
      </c>
      <c r="AS34" s="98">
        <f>IF($H34="",0,IF(AND(AS$6&gt;=$H34,AS$6&lt;=$I34),$G34,0))</f>
        <v/>
      </c>
      <c r="AT34" s="98">
        <f>IF($H34="",0,IF(AND(AT$6&gt;=$H34,AT$6&lt;=$I34),$G34,0))</f>
        <v/>
      </c>
      <c r="AU34" s="98">
        <f>IF($H34="",0,IF(AND(AU$6&gt;=$H34,AU$6&lt;=$I34),$G34,0))</f>
        <v/>
      </c>
      <c r="AV34" s="98">
        <f>IF($H34="",0,IF(AND(AV$6&gt;=$H34,AV$6&lt;=$I34),$G34,0))</f>
        <v/>
      </c>
      <c r="AW34" s="98">
        <f>IF($H34="",0,IF(AND(AW$6&gt;=$H34,AW$6&lt;=$I34),$G34,0))</f>
        <v/>
      </c>
      <c r="AX34" s="98">
        <f>IF($H34="",0,IF(AND(AX$6&gt;=$H34,AX$6&lt;=$I34),$G34,0))</f>
        <v/>
      </c>
      <c r="AY34" s="98">
        <f>IF($H34="",0,IF(AND(AY$6&gt;=$H34,AY$6&lt;=$I34),$G34,0))</f>
        <v/>
      </c>
      <c r="AZ34" s="98">
        <f>IF($H34="",0,IF(AND(AZ$6&gt;=$H34,AZ$6&lt;=$I34),$G34,0))</f>
        <v/>
      </c>
      <c r="BA34" s="98">
        <f>IF($H34="",0,IF(AND(BA$6&gt;=$H34,BA$6&lt;=$I34),$G34,0))</f>
        <v/>
      </c>
      <c r="BB34" s="98">
        <f>IF($H34="",0,IF(AND(BB$6&gt;=$H34,BB$6&lt;=$I34),$G34,0))</f>
        <v/>
      </c>
      <c r="BC34" s="98">
        <f>IF($H34="",0,IF(AND(BC$6&gt;=$H34,BC$6&lt;=$I34),$G34,0))</f>
        <v/>
      </c>
      <c r="BD34" s="98">
        <f>IF($H34="",0,IF(AND(BD$6&gt;=$H34,BD$6&lt;=$I34),$G34,0))</f>
        <v/>
      </c>
      <c r="BE34" s="98">
        <f>IF($H34="",0,IF(AND(BE$6&gt;=$H34,BE$6&lt;=$I34),$G34,0))</f>
        <v/>
      </c>
      <c r="BF34" s="98">
        <f>IF($H34="",0,IF(AND(BF$6&gt;=$H34,BF$6&lt;=$I34),$G34,0))</f>
        <v/>
      </c>
      <c r="BG34" s="98">
        <f>IF($H34="",0,IF(AND(BG$6&gt;=$H34,BG$6&lt;=$I34),$G34,0))</f>
        <v/>
      </c>
      <c r="BH34" s="98">
        <f>IF($H34="",0,IF(AND(BH$6&gt;=$H34,BH$6&lt;=$I34),$G34,0))</f>
        <v/>
      </c>
      <c r="BI34" s="98">
        <f>IF($H34="",0,IF(AND(BI$6&gt;=$H34,BI$6&lt;=$I34),$G34,0))</f>
        <v/>
      </c>
      <c r="BJ34" s="98">
        <f>IF($H34="",0,IF(AND(BJ$6&gt;=$H34,BJ$6&lt;=$I34),$G34,0))</f>
        <v/>
      </c>
      <c r="BK34" s="98">
        <f>IF($H34="",0,IF(AND(BK$6&gt;=$H34,BK$6&lt;=$I34),$G34,0))</f>
        <v/>
      </c>
      <c r="BL34" s="98">
        <f>IF($H34="",0,IF(AND(BL$6&gt;=$H34,BL$6&lt;=$I34),$G34,0))</f>
        <v/>
      </c>
      <c r="BM34" s="98">
        <f>IF($H34="",0,IF(AND(BM$6&gt;=$H34,BM$6&lt;=$I34),$G34,0))</f>
        <v/>
      </c>
      <c r="BN34" s="98">
        <f>IF($H34="",0,IF(AND(BN$6&gt;=$H34,BN$6&lt;=$I34),$G34,0))</f>
        <v/>
      </c>
      <c r="BO34" s="98">
        <f>IF($H34="",0,IF(AND(BO$6&gt;=$H34,BO$6&lt;=$I34),$G34,0))</f>
        <v/>
      </c>
      <c r="BP34" s="98">
        <f>IF($H34="",0,IF(AND(BP$6&gt;=$H34,BP$6&lt;=$I34),$G34,0))</f>
        <v/>
      </c>
      <c r="BQ34" s="98">
        <f>IF($H34="",0,IF(AND(BQ$6&gt;=$H34,BQ$6&lt;=$I34),$G34,0))</f>
        <v/>
      </c>
      <c r="BR34" s="98">
        <f>IF($H34="",0,IF(AND(BR$6&gt;=$H34,BR$6&lt;=$I34),$G34,0))</f>
        <v/>
      </c>
      <c r="BS34" s="98">
        <f>IF($H34="",0,IF(AND(BS$6&gt;=$H34,BS$6&lt;=$I34),$G34,0))</f>
        <v/>
      </c>
      <c r="BT34" s="98">
        <f>IF($H34="",0,IF(AND(BT$6&gt;=$H34,BT$6&lt;=$I34),$G34,0))</f>
        <v/>
      </c>
    </row>
    <row r="35">
      <c r="A35" s="74" t="n"/>
      <c r="B35" s="74" t="n"/>
      <c r="C35" s="74" t="n"/>
      <c r="D35" s="73" t="n"/>
      <c r="E35" s="76" t="n"/>
      <c r="F35" s="90" t="n"/>
      <c r="G35" s="84">
        <f>IF(OR($E35="",N($F35)&lt;=0),0,$E35/$F35)</f>
        <v/>
      </c>
      <c r="H35" s="96">
        <f>IF(OR($A35="",$B35="",$D35="",N($F35)&lt;=0),"",IFERROR(IF(DAY($D35)&gt;INDEX(CARTOES_FECHA,MATCH($B35,LISTA_CARTOES,0)),EDATE(DATE(YEAR($D35),MONTH($D35),1),1),DATE(YEAR($D35),MONTH($D35),1)),""))</f>
        <v/>
      </c>
      <c r="I35" s="96">
        <f>IF($H35="","",EDATE($H35,$F35-1))</f>
        <v/>
      </c>
      <c r="J35" s="97">
        <f>IF($H35="",0,MAX(0,MIN($F35,(YEAR($I35)*12+MONTH($I35))-(ANO_SEL*12+MES_SEL))))</f>
        <v/>
      </c>
      <c r="K35" s="84">
        <f>J35*G35</f>
        <v/>
      </c>
      <c r="M35" s="98">
        <f>IF($H35="",0,IF(AND(M$6&gt;=$H35,M$6&lt;=$I35),$G35,0))</f>
        <v/>
      </c>
      <c r="N35" s="98">
        <f>IF($H35="",0,IF(AND(N$6&gt;=$H35,N$6&lt;=$I35),$G35,0))</f>
        <v/>
      </c>
      <c r="O35" s="98">
        <f>IF($H35="",0,IF(AND(O$6&gt;=$H35,O$6&lt;=$I35),$G35,0))</f>
        <v/>
      </c>
      <c r="P35" s="98">
        <f>IF($H35="",0,IF(AND(P$6&gt;=$H35,P$6&lt;=$I35),$G35,0))</f>
        <v/>
      </c>
      <c r="Q35" s="98">
        <f>IF($H35="",0,IF(AND(Q$6&gt;=$H35,Q$6&lt;=$I35),$G35,0))</f>
        <v/>
      </c>
      <c r="R35" s="98">
        <f>IF($H35="",0,IF(AND(R$6&gt;=$H35,R$6&lt;=$I35),$G35,0))</f>
        <v/>
      </c>
      <c r="S35" s="98">
        <f>IF($H35="",0,IF(AND(S$6&gt;=$H35,S$6&lt;=$I35),$G35,0))</f>
        <v/>
      </c>
      <c r="T35" s="98">
        <f>IF($H35="",0,IF(AND(T$6&gt;=$H35,T$6&lt;=$I35),$G35,0))</f>
        <v/>
      </c>
      <c r="U35" s="98">
        <f>IF($H35="",0,IF(AND(U$6&gt;=$H35,U$6&lt;=$I35),$G35,0))</f>
        <v/>
      </c>
      <c r="V35" s="98">
        <f>IF($H35="",0,IF(AND(V$6&gt;=$H35,V$6&lt;=$I35),$G35,0))</f>
        <v/>
      </c>
      <c r="W35" s="98">
        <f>IF($H35="",0,IF(AND(W$6&gt;=$H35,W$6&lt;=$I35),$G35,0))</f>
        <v/>
      </c>
      <c r="X35" s="98">
        <f>IF($H35="",0,IF(AND(X$6&gt;=$H35,X$6&lt;=$I35),$G35,0))</f>
        <v/>
      </c>
      <c r="Y35" s="98">
        <f>IF($H35="",0,IF(AND(Y$6&gt;=$H35,Y$6&lt;=$I35),$G35,0))</f>
        <v/>
      </c>
      <c r="Z35" s="98">
        <f>IF($H35="",0,IF(AND(Z$6&gt;=$H35,Z$6&lt;=$I35),$G35,0))</f>
        <v/>
      </c>
      <c r="AA35" s="98">
        <f>IF($H35="",0,IF(AND(AA$6&gt;=$H35,AA$6&lt;=$I35),$G35,0))</f>
        <v/>
      </c>
      <c r="AB35" s="98">
        <f>IF($H35="",0,IF(AND(AB$6&gt;=$H35,AB$6&lt;=$I35),$G35,0))</f>
        <v/>
      </c>
      <c r="AC35" s="98">
        <f>IF($H35="",0,IF(AND(AC$6&gt;=$H35,AC$6&lt;=$I35),$G35,0))</f>
        <v/>
      </c>
      <c r="AD35" s="98">
        <f>IF($H35="",0,IF(AND(AD$6&gt;=$H35,AD$6&lt;=$I35),$G35,0))</f>
        <v/>
      </c>
      <c r="AE35" s="98">
        <f>IF($H35="",0,IF(AND(AE$6&gt;=$H35,AE$6&lt;=$I35),$G35,0))</f>
        <v/>
      </c>
      <c r="AF35" s="98">
        <f>IF($H35="",0,IF(AND(AF$6&gt;=$H35,AF$6&lt;=$I35),$G35,0))</f>
        <v/>
      </c>
      <c r="AG35" s="98">
        <f>IF($H35="",0,IF(AND(AG$6&gt;=$H35,AG$6&lt;=$I35),$G35,0))</f>
        <v/>
      </c>
      <c r="AH35" s="98">
        <f>IF($H35="",0,IF(AND(AH$6&gt;=$H35,AH$6&lt;=$I35),$G35,0))</f>
        <v/>
      </c>
      <c r="AI35" s="98">
        <f>IF($H35="",0,IF(AND(AI$6&gt;=$H35,AI$6&lt;=$I35),$G35,0))</f>
        <v/>
      </c>
      <c r="AJ35" s="98">
        <f>IF($H35="",0,IF(AND(AJ$6&gt;=$H35,AJ$6&lt;=$I35),$G35,0))</f>
        <v/>
      </c>
      <c r="AK35" s="98">
        <f>IF($H35="",0,IF(AND(AK$6&gt;=$H35,AK$6&lt;=$I35),$G35,0))</f>
        <v/>
      </c>
      <c r="AL35" s="98">
        <f>IF($H35="",0,IF(AND(AL$6&gt;=$H35,AL$6&lt;=$I35),$G35,0))</f>
        <v/>
      </c>
      <c r="AM35" s="98">
        <f>IF($H35="",0,IF(AND(AM$6&gt;=$H35,AM$6&lt;=$I35),$G35,0))</f>
        <v/>
      </c>
      <c r="AN35" s="98">
        <f>IF($H35="",0,IF(AND(AN$6&gt;=$H35,AN$6&lt;=$I35),$G35,0))</f>
        <v/>
      </c>
      <c r="AO35" s="98">
        <f>IF($H35="",0,IF(AND(AO$6&gt;=$H35,AO$6&lt;=$I35),$G35,0))</f>
        <v/>
      </c>
      <c r="AP35" s="98">
        <f>IF($H35="",0,IF(AND(AP$6&gt;=$H35,AP$6&lt;=$I35),$G35,0))</f>
        <v/>
      </c>
      <c r="AQ35" s="98">
        <f>IF($H35="",0,IF(AND(AQ$6&gt;=$H35,AQ$6&lt;=$I35),$G35,0))</f>
        <v/>
      </c>
      <c r="AR35" s="98">
        <f>IF($H35="",0,IF(AND(AR$6&gt;=$H35,AR$6&lt;=$I35),$G35,0))</f>
        <v/>
      </c>
      <c r="AS35" s="98">
        <f>IF($H35="",0,IF(AND(AS$6&gt;=$H35,AS$6&lt;=$I35),$G35,0))</f>
        <v/>
      </c>
      <c r="AT35" s="98">
        <f>IF($H35="",0,IF(AND(AT$6&gt;=$H35,AT$6&lt;=$I35),$G35,0))</f>
        <v/>
      </c>
      <c r="AU35" s="98">
        <f>IF($H35="",0,IF(AND(AU$6&gt;=$H35,AU$6&lt;=$I35),$G35,0))</f>
        <v/>
      </c>
      <c r="AV35" s="98">
        <f>IF($H35="",0,IF(AND(AV$6&gt;=$H35,AV$6&lt;=$I35),$G35,0))</f>
        <v/>
      </c>
      <c r="AW35" s="98">
        <f>IF($H35="",0,IF(AND(AW$6&gt;=$H35,AW$6&lt;=$I35),$G35,0))</f>
        <v/>
      </c>
      <c r="AX35" s="98">
        <f>IF($H35="",0,IF(AND(AX$6&gt;=$H35,AX$6&lt;=$I35),$G35,0))</f>
        <v/>
      </c>
      <c r="AY35" s="98">
        <f>IF($H35="",0,IF(AND(AY$6&gt;=$H35,AY$6&lt;=$I35),$G35,0))</f>
        <v/>
      </c>
      <c r="AZ35" s="98">
        <f>IF($H35="",0,IF(AND(AZ$6&gt;=$H35,AZ$6&lt;=$I35),$G35,0))</f>
        <v/>
      </c>
      <c r="BA35" s="98">
        <f>IF($H35="",0,IF(AND(BA$6&gt;=$H35,BA$6&lt;=$I35),$G35,0))</f>
        <v/>
      </c>
      <c r="BB35" s="98">
        <f>IF($H35="",0,IF(AND(BB$6&gt;=$H35,BB$6&lt;=$I35),$G35,0))</f>
        <v/>
      </c>
      <c r="BC35" s="98">
        <f>IF($H35="",0,IF(AND(BC$6&gt;=$H35,BC$6&lt;=$I35),$G35,0))</f>
        <v/>
      </c>
      <c r="BD35" s="98">
        <f>IF($H35="",0,IF(AND(BD$6&gt;=$H35,BD$6&lt;=$I35),$G35,0))</f>
        <v/>
      </c>
      <c r="BE35" s="98">
        <f>IF($H35="",0,IF(AND(BE$6&gt;=$H35,BE$6&lt;=$I35),$G35,0))</f>
        <v/>
      </c>
      <c r="BF35" s="98">
        <f>IF($H35="",0,IF(AND(BF$6&gt;=$H35,BF$6&lt;=$I35),$G35,0))</f>
        <v/>
      </c>
      <c r="BG35" s="98">
        <f>IF($H35="",0,IF(AND(BG$6&gt;=$H35,BG$6&lt;=$I35),$G35,0))</f>
        <v/>
      </c>
      <c r="BH35" s="98">
        <f>IF($H35="",0,IF(AND(BH$6&gt;=$H35,BH$6&lt;=$I35),$G35,0))</f>
        <v/>
      </c>
      <c r="BI35" s="98">
        <f>IF($H35="",0,IF(AND(BI$6&gt;=$H35,BI$6&lt;=$I35),$G35,0))</f>
        <v/>
      </c>
      <c r="BJ35" s="98">
        <f>IF($H35="",0,IF(AND(BJ$6&gt;=$H35,BJ$6&lt;=$I35),$G35,0))</f>
        <v/>
      </c>
      <c r="BK35" s="98">
        <f>IF($H35="",0,IF(AND(BK$6&gt;=$H35,BK$6&lt;=$I35),$G35,0))</f>
        <v/>
      </c>
      <c r="BL35" s="98">
        <f>IF($H35="",0,IF(AND(BL$6&gt;=$H35,BL$6&lt;=$I35),$G35,0))</f>
        <v/>
      </c>
      <c r="BM35" s="98">
        <f>IF($H35="",0,IF(AND(BM$6&gt;=$H35,BM$6&lt;=$I35),$G35,0))</f>
        <v/>
      </c>
      <c r="BN35" s="98">
        <f>IF($H35="",0,IF(AND(BN$6&gt;=$H35,BN$6&lt;=$I35),$G35,0))</f>
        <v/>
      </c>
      <c r="BO35" s="98">
        <f>IF($H35="",0,IF(AND(BO$6&gt;=$H35,BO$6&lt;=$I35),$G35,0))</f>
        <v/>
      </c>
      <c r="BP35" s="98">
        <f>IF($H35="",0,IF(AND(BP$6&gt;=$H35,BP$6&lt;=$I35),$G35,0))</f>
        <v/>
      </c>
      <c r="BQ35" s="98">
        <f>IF($H35="",0,IF(AND(BQ$6&gt;=$H35,BQ$6&lt;=$I35),$G35,0))</f>
        <v/>
      </c>
      <c r="BR35" s="98">
        <f>IF($H35="",0,IF(AND(BR$6&gt;=$H35,BR$6&lt;=$I35),$G35,0))</f>
        <v/>
      </c>
      <c r="BS35" s="98">
        <f>IF($H35="",0,IF(AND(BS$6&gt;=$H35,BS$6&lt;=$I35),$G35,0))</f>
        <v/>
      </c>
      <c r="BT35" s="98">
        <f>IF($H35="",0,IF(AND(BT$6&gt;=$H35,BT$6&lt;=$I35),$G35,0))</f>
        <v/>
      </c>
    </row>
    <row r="36">
      <c r="A36" s="74" t="n"/>
      <c r="B36" s="74" t="n"/>
      <c r="C36" s="74" t="n"/>
      <c r="D36" s="73" t="n"/>
      <c r="E36" s="76" t="n"/>
      <c r="F36" s="90" t="n"/>
      <c r="G36" s="84">
        <f>IF(OR($E36="",N($F36)&lt;=0),0,$E36/$F36)</f>
        <v/>
      </c>
      <c r="H36" s="96">
        <f>IF(OR($A36="",$B36="",$D36="",N($F36)&lt;=0),"",IFERROR(IF(DAY($D36)&gt;INDEX(CARTOES_FECHA,MATCH($B36,LISTA_CARTOES,0)),EDATE(DATE(YEAR($D36),MONTH($D36),1),1),DATE(YEAR($D36),MONTH($D36),1)),""))</f>
        <v/>
      </c>
      <c r="I36" s="96">
        <f>IF($H36="","",EDATE($H36,$F36-1))</f>
        <v/>
      </c>
      <c r="J36" s="97">
        <f>IF($H36="",0,MAX(0,MIN($F36,(YEAR($I36)*12+MONTH($I36))-(ANO_SEL*12+MES_SEL))))</f>
        <v/>
      </c>
      <c r="K36" s="84">
        <f>J36*G36</f>
        <v/>
      </c>
      <c r="M36" s="98">
        <f>IF($H36="",0,IF(AND(M$6&gt;=$H36,M$6&lt;=$I36),$G36,0))</f>
        <v/>
      </c>
      <c r="N36" s="98">
        <f>IF($H36="",0,IF(AND(N$6&gt;=$H36,N$6&lt;=$I36),$G36,0))</f>
        <v/>
      </c>
      <c r="O36" s="98">
        <f>IF($H36="",0,IF(AND(O$6&gt;=$H36,O$6&lt;=$I36),$G36,0))</f>
        <v/>
      </c>
      <c r="P36" s="98">
        <f>IF($H36="",0,IF(AND(P$6&gt;=$H36,P$6&lt;=$I36),$G36,0))</f>
        <v/>
      </c>
      <c r="Q36" s="98">
        <f>IF($H36="",0,IF(AND(Q$6&gt;=$H36,Q$6&lt;=$I36),$G36,0))</f>
        <v/>
      </c>
      <c r="R36" s="98">
        <f>IF($H36="",0,IF(AND(R$6&gt;=$H36,R$6&lt;=$I36),$G36,0))</f>
        <v/>
      </c>
      <c r="S36" s="98">
        <f>IF($H36="",0,IF(AND(S$6&gt;=$H36,S$6&lt;=$I36),$G36,0))</f>
        <v/>
      </c>
      <c r="T36" s="98">
        <f>IF($H36="",0,IF(AND(T$6&gt;=$H36,T$6&lt;=$I36),$G36,0))</f>
        <v/>
      </c>
      <c r="U36" s="98">
        <f>IF($H36="",0,IF(AND(U$6&gt;=$H36,U$6&lt;=$I36),$G36,0))</f>
        <v/>
      </c>
      <c r="V36" s="98">
        <f>IF($H36="",0,IF(AND(V$6&gt;=$H36,V$6&lt;=$I36),$G36,0))</f>
        <v/>
      </c>
      <c r="W36" s="98">
        <f>IF($H36="",0,IF(AND(W$6&gt;=$H36,W$6&lt;=$I36),$G36,0))</f>
        <v/>
      </c>
      <c r="X36" s="98">
        <f>IF($H36="",0,IF(AND(X$6&gt;=$H36,X$6&lt;=$I36),$G36,0))</f>
        <v/>
      </c>
      <c r="Y36" s="98">
        <f>IF($H36="",0,IF(AND(Y$6&gt;=$H36,Y$6&lt;=$I36),$G36,0))</f>
        <v/>
      </c>
      <c r="Z36" s="98">
        <f>IF($H36="",0,IF(AND(Z$6&gt;=$H36,Z$6&lt;=$I36),$G36,0))</f>
        <v/>
      </c>
      <c r="AA36" s="98">
        <f>IF($H36="",0,IF(AND(AA$6&gt;=$H36,AA$6&lt;=$I36),$G36,0))</f>
        <v/>
      </c>
      <c r="AB36" s="98">
        <f>IF($H36="",0,IF(AND(AB$6&gt;=$H36,AB$6&lt;=$I36),$G36,0))</f>
        <v/>
      </c>
      <c r="AC36" s="98">
        <f>IF($H36="",0,IF(AND(AC$6&gt;=$H36,AC$6&lt;=$I36),$G36,0))</f>
        <v/>
      </c>
      <c r="AD36" s="98">
        <f>IF($H36="",0,IF(AND(AD$6&gt;=$H36,AD$6&lt;=$I36),$G36,0))</f>
        <v/>
      </c>
      <c r="AE36" s="98">
        <f>IF($H36="",0,IF(AND(AE$6&gt;=$H36,AE$6&lt;=$I36),$G36,0))</f>
        <v/>
      </c>
      <c r="AF36" s="98">
        <f>IF($H36="",0,IF(AND(AF$6&gt;=$H36,AF$6&lt;=$I36),$G36,0))</f>
        <v/>
      </c>
      <c r="AG36" s="98">
        <f>IF($H36="",0,IF(AND(AG$6&gt;=$H36,AG$6&lt;=$I36),$G36,0))</f>
        <v/>
      </c>
      <c r="AH36" s="98">
        <f>IF($H36="",0,IF(AND(AH$6&gt;=$H36,AH$6&lt;=$I36),$G36,0))</f>
        <v/>
      </c>
      <c r="AI36" s="98">
        <f>IF($H36="",0,IF(AND(AI$6&gt;=$H36,AI$6&lt;=$I36),$G36,0))</f>
        <v/>
      </c>
      <c r="AJ36" s="98">
        <f>IF($H36="",0,IF(AND(AJ$6&gt;=$H36,AJ$6&lt;=$I36),$G36,0))</f>
        <v/>
      </c>
      <c r="AK36" s="98">
        <f>IF($H36="",0,IF(AND(AK$6&gt;=$H36,AK$6&lt;=$I36),$G36,0))</f>
        <v/>
      </c>
      <c r="AL36" s="98">
        <f>IF($H36="",0,IF(AND(AL$6&gt;=$H36,AL$6&lt;=$I36),$G36,0))</f>
        <v/>
      </c>
      <c r="AM36" s="98">
        <f>IF($H36="",0,IF(AND(AM$6&gt;=$H36,AM$6&lt;=$I36),$G36,0))</f>
        <v/>
      </c>
      <c r="AN36" s="98">
        <f>IF($H36="",0,IF(AND(AN$6&gt;=$H36,AN$6&lt;=$I36),$G36,0))</f>
        <v/>
      </c>
      <c r="AO36" s="98">
        <f>IF($H36="",0,IF(AND(AO$6&gt;=$H36,AO$6&lt;=$I36),$G36,0))</f>
        <v/>
      </c>
      <c r="AP36" s="98">
        <f>IF($H36="",0,IF(AND(AP$6&gt;=$H36,AP$6&lt;=$I36),$G36,0))</f>
        <v/>
      </c>
      <c r="AQ36" s="98">
        <f>IF($H36="",0,IF(AND(AQ$6&gt;=$H36,AQ$6&lt;=$I36),$G36,0))</f>
        <v/>
      </c>
      <c r="AR36" s="98">
        <f>IF($H36="",0,IF(AND(AR$6&gt;=$H36,AR$6&lt;=$I36),$G36,0))</f>
        <v/>
      </c>
      <c r="AS36" s="98">
        <f>IF($H36="",0,IF(AND(AS$6&gt;=$H36,AS$6&lt;=$I36),$G36,0))</f>
        <v/>
      </c>
      <c r="AT36" s="98">
        <f>IF($H36="",0,IF(AND(AT$6&gt;=$H36,AT$6&lt;=$I36),$G36,0))</f>
        <v/>
      </c>
      <c r="AU36" s="98">
        <f>IF($H36="",0,IF(AND(AU$6&gt;=$H36,AU$6&lt;=$I36),$G36,0))</f>
        <v/>
      </c>
      <c r="AV36" s="98">
        <f>IF($H36="",0,IF(AND(AV$6&gt;=$H36,AV$6&lt;=$I36),$G36,0))</f>
        <v/>
      </c>
      <c r="AW36" s="98">
        <f>IF($H36="",0,IF(AND(AW$6&gt;=$H36,AW$6&lt;=$I36),$G36,0))</f>
        <v/>
      </c>
      <c r="AX36" s="98">
        <f>IF($H36="",0,IF(AND(AX$6&gt;=$H36,AX$6&lt;=$I36),$G36,0))</f>
        <v/>
      </c>
      <c r="AY36" s="98">
        <f>IF($H36="",0,IF(AND(AY$6&gt;=$H36,AY$6&lt;=$I36),$G36,0))</f>
        <v/>
      </c>
      <c r="AZ36" s="98">
        <f>IF($H36="",0,IF(AND(AZ$6&gt;=$H36,AZ$6&lt;=$I36),$G36,0))</f>
        <v/>
      </c>
      <c r="BA36" s="98">
        <f>IF($H36="",0,IF(AND(BA$6&gt;=$H36,BA$6&lt;=$I36),$G36,0))</f>
        <v/>
      </c>
      <c r="BB36" s="98">
        <f>IF($H36="",0,IF(AND(BB$6&gt;=$H36,BB$6&lt;=$I36),$G36,0))</f>
        <v/>
      </c>
      <c r="BC36" s="98">
        <f>IF($H36="",0,IF(AND(BC$6&gt;=$H36,BC$6&lt;=$I36),$G36,0))</f>
        <v/>
      </c>
      <c r="BD36" s="98">
        <f>IF($H36="",0,IF(AND(BD$6&gt;=$H36,BD$6&lt;=$I36),$G36,0))</f>
        <v/>
      </c>
      <c r="BE36" s="98">
        <f>IF($H36="",0,IF(AND(BE$6&gt;=$H36,BE$6&lt;=$I36),$G36,0))</f>
        <v/>
      </c>
      <c r="BF36" s="98">
        <f>IF($H36="",0,IF(AND(BF$6&gt;=$H36,BF$6&lt;=$I36),$G36,0))</f>
        <v/>
      </c>
      <c r="BG36" s="98">
        <f>IF($H36="",0,IF(AND(BG$6&gt;=$H36,BG$6&lt;=$I36),$G36,0))</f>
        <v/>
      </c>
      <c r="BH36" s="98">
        <f>IF($H36="",0,IF(AND(BH$6&gt;=$H36,BH$6&lt;=$I36),$G36,0))</f>
        <v/>
      </c>
      <c r="BI36" s="98">
        <f>IF($H36="",0,IF(AND(BI$6&gt;=$H36,BI$6&lt;=$I36),$G36,0))</f>
        <v/>
      </c>
      <c r="BJ36" s="98">
        <f>IF($H36="",0,IF(AND(BJ$6&gt;=$H36,BJ$6&lt;=$I36),$G36,0))</f>
        <v/>
      </c>
      <c r="BK36" s="98">
        <f>IF($H36="",0,IF(AND(BK$6&gt;=$H36,BK$6&lt;=$I36),$G36,0))</f>
        <v/>
      </c>
      <c r="BL36" s="98">
        <f>IF($H36="",0,IF(AND(BL$6&gt;=$H36,BL$6&lt;=$I36),$G36,0))</f>
        <v/>
      </c>
      <c r="BM36" s="98">
        <f>IF($H36="",0,IF(AND(BM$6&gt;=$H36,BM$6&lt;=$I36),$G36,0))</f>
        <v/>
      </c>
      <c r="BN36" s="98">
        <f>IF($H36="",0,IF(AND(BN$6&gt;=$H36,BN$6&lt;=$I36),$G36,0))</f>
        <v/>
      </c>
      <c r="BO36" s="98">
        <f>IF($H36="",0,IF(AND(BO$6&gt;=$H36,BO$6&lt;=$I36),$G36,0))</f>
        <v/>
      </c>
      <c r="BP36" s="98">
        <f>IF($H36="",0,IF(AND(BP$6&gt;=$H36,BP$6&lt;=$I36),$G36,0))</f>
        <v/>
      </c>
      <c r="BQ36" s="98">
        <f>IF($H36="",0,IF(AND(BQ$6&gt;=$H36,BQ$6&lt;=$I36),$G36,0))</f>
        <v/>
      </c>
      <c r="BR36" s="98">
        <f>IF($H36="",0,IF(AND(BR$6&gt;=$H36,BR$6&lt;=$I36),$G36,0))</f>
        <v/>
      </c>
      <c r="BS36" s="98">
        <f>IF($H36="",0,IF(AND(BS$6&gt;=$H36,BS$6&lt;=$I36),$G36,0))</f>
        <v/>
      </c>
      <c r="BT36" s="98">
        <f>IF($H36="",0,IF(AND(BT$6&gt;=$H36,BT$6&lt;=$I36),$G36,0))</f>
        <v/>
      </c>
    </row>
    <row r="37">
      <c r="A37" s="74" t="n"/>
      <c r="B37" s="74" t="n"/>
      <c r="C37" s="74" t="n"/>
      <c r="D37" s="73" t="n"/>
      <c r="E37" s="76" t="n"/>
      <c r="F37" s="90" t="n"/>
      <c r="G37" s="84">
        <f>IF(OR($E37="",N($F37)&lt;=0),0,$E37/$F37)</f>
        <v/>
      </c>
      <c r="H37" s="96">
        <f>IF(OR($A37="",$B37="",$D37="",N($F37)&lt;=0),"",IFERROR(IF(DAY($D37)&gt;INDEX(CARTOES_FECHA,MATCH($B37,LISTA_CARTOES,0)),EDATE(DATE(YEAR($D37),MONTH($D37),1),1),DATE(YEAR($D37),MONTH($D37),1)),""))</f>
        <v/>
      </c>
      <c r="I37" s="96">
        <f>IF($H37="","",EDATE($H37,$F37-1))</f>
        <v/>
      </c>
      <c r="J37" s="97">
        <f>IF($H37="",0,MAX(0,MIN($F37,(YEAR($I37)*12+MONTH($I37))-(ANO_SEL*12+MES_SEL))))</f>
        <v/>
      </c>
      <c r="K37" s="84">
        <f>J37*G37</f>
        <v/>
      </c>
      <c r="M37" s="98">
        <f>IF($H37="",0,IF(AND(M$6&gt;=$H37,M$6&lt;=$I37),$G37,0))</f>
        <v/>
      </c>
      <c r="N37" s="98">
        <f>IF($H37="",0,IF(AND(N$6&gt;=$H37,N$6&lt;=$I37),$G37,0))</f>
        <v/>
      </c>
      <c r="O37" s="98">
        <f>IF($H37="",0,IF(AND(O$6&gt;=$H37,O$6&lt;=$I37),$G37,0))</f>
        <v/>
      </c>
      <c r="P37" s="98">
        <f>IF($H37="",0,IF(AND(P$6&gt;=$H37,P$6&lt;=$I37),$G37,0))</f>
        <v/>
      </c>
      <c r="Q37" s="98">
        <f>IF($H37="",0,IF(AND(Q$6&gt;=$H37,Q$6&lt;=$I37),$G37,0))</f>
        <v/>
      </c>
      <c r="R37" s="98">
        <f>IF($H37="",0,IF(AND(R$6&gt;=$H37,R$6&lt;=$I37),$G37,0))</f>
        <v/>
      </c>
      <c r="S37" s="98">
        <f>IF($H37="",0,IF(AND(S$6&gt;=$H37,S$6&lt;=$I37),$G37,0))</f>
        <v/>
      </c>
      <c r="T37" s="98">
        <f>IF($H37="",0,IF(AND(T$6&gt;=$H37,T$6&lt;=$I37),$G37,0))</f>
        <v/>
      </c>
      <c r="U37" s="98">
        <f>IF($H37="",0,IF(AND(U$6&gt;=$H37,U$6&lt;=$I37),$G37,0))</f>
        <v/>
      </c>
      <c r="V37" s="98">
        <f>IF($H37="",0,IF(AND(V$6&gt;=$H37,V$6&lt;=$I37),$G37,0))</f>
        <v/>
      </c>
      <c r="W37" s="98">
        <f>IF($H37="",0,IF(AND(W$6&gt;=$H37,W$6&lt;=$I37),$G37,0))</f>
        <v/>
      </c>
      <c r="X37" s="98">
        <f>IF($H37="",0,IF(AND(X$6&gt;=$H37,X$6&lt;=$I37),$G37,0))</f>
        <v/>
      </c>
      <c r="Y37" s="98">
        <f>IF($H37="",0,IF(AND(Y$6&gt;=$H37,Y$6&lt;=$I37),$G37,0))</f>
        <v/>
      </c>
      <c r="Z37" s="98">
        <f>IF($H37="",0,IF(AND(Z$6&gt;=$H37,Z$6&lt;=$I37),$G37,0))</f>
        <v/>
      </c>
      <c r="AA37" s="98">
        <f>IF($H37="",0,IF(AND(AA$6&gt;=$H37,AA$6&lt;=$I37),$G37,0))</f>
        <v/>
      </c>
      <c r="AB37" s="98">
        <f>IF($H37="",0,IF(AND(AB$6&gt;=$H37,AB$6&lt;=$I37),$G37,0))</f>
        <v/>
      </c>
      <c r="AC37" s="98">
        <f>IF($H37="",0,IF(AND(AC$6&gt;=$H37,AC$6&lt;=$I37),$G37,0))</f>
        <v/>
      </c>
      <c r="AD37" s="98">
        <f>IF($H37="",0,IF(AND(AD$6&gt;=$H37,AD$6&lt;=$I37),$G37,0))</f>
        <v/>
      </c>
      <c r="AE37" s="98">
        <f>IF($H37="",0,IF(AND(AE$6&gt;=$H37,AE$6&lt;=$I37),$G37,0))</f>
        <v/>
      </c>
      <c r="AF37" s="98">
        <f>IF($H37="",0,IF(AND(AF$6&gt;=$H37,AF$6&lt;=$I37),$G37,0))</f>
        <v/>
      </c>
      <c r="AG37" s="98">
        <f>IF($H37="",0,IF(AND(AG$6&gt;=$H37,AG$6&lt;=$I37),$G37,0))</f>
        <v/>
      </c>
      <c r="AH37" s="98">
        <f>IF($H37="",0,IF(AND(AH$6&gt;=$H37,AH$6&lt;=$I37),$G37,0))</f>
        <v/>
      </c>
      <c r="AI37" s="98">
        <f>IF($H37="",0,IF(AND(AI$6&gt;=$H37,AI$6&lt;=$I37),$G37,0))</f>
        <v/>
      </c>
      <c r="AJ37" s="98">
        <f>IF($H37="",0,IF(AND(AJ$6&gt;=$H37,AJ$6&lt;=$I37),$G37,0))</f>
        <v/>
      </c>
      <c r="AK37" s="98">
        <f>IF($H37="",0,IF(AND(AK$6&gt;=$H37,AK$6&lt;=$I37),$G37,0))</f>
        <v/>
      </c>
      <c r="AL37" s="98">
        <f>IF($H37="",0,IF(AND(AL$6&gt;=$H37,AL$6&lt;=$I37),$G37,0))</f>
        <v/>
      </c>
      <c r="AM37" s="98">
        <f>IF($H37="",0,IF(AND(AM$6&gt;=$H37,AM$6&lt;=$I37),$G37,0))</f>
        <v/>
      </c>
      <c r="AN37" s="98">
        <f>IF($H37="",0,IF(AND(AN$6&gt;=$H37,AN$6&lt;=$I37),$G37,0))</f>
        <v/>
      </c>
      <c r="AO37" s="98">
        <f>IF($H37="",0,IF(AND(AO$6&gt;=$H37,AO$6&lt;=$I37),$G37,0))</f>
        <v/>
      </c>
      <c r="AP37" s="98">
        <f>IF($H37="",0,IF(AND(AP$6&gt;=$H37,AP$6&lt;=$I37),$G37,0))</f>
        <v/>
      </c>
      <c r="AQ37" s="98">
        <f>IF($H37="",0,IF(AND(AQ$6&gt;=$H37,AQ$6&lt;=$I37),$G37,0))</f>
        <v/>
      </c>
      <c r="AR37" s="98">
        <f>IF($H37="",0,IF(AND(AR$6&gt;=$H37,AR$6&lt;=$I37),$G37,0))</f>
        <v/>
      </c>
      <c r="AS37" s="98">
        <f>IF($H37="",0,IF(AND(AS$6&gt;=$H37,AS$6&lt;=$I37),$G37,0))</f>
        <v/>
      </c>
      <c r="AT37" s="98">
        <f>IF($H37="",0,IF(AND(AT$6&gt;=$H37,AT$6&lt;=$I37),$G37,0))</f>
        <v/>
      </c>
      <c r="AU37" s="98">
        <f>IF($H37="",0,IF(AND(AU$6&gt;=$H37,AU$6&lt;=$I37),$G37,0))</f>
        <v/>
      </c>
      <c r="AV37" s="98">
        <f>IF($H37="",0,IF(AND(AV$6&gt;=$H37,AV$6&lt;=$I37),$G37,0))</f>
        <v/>
      </c>
      <c r="AW37" s="98">
        <f>IF($H37="",0,IF(AND(AW$6&gt;=$H37,AW$6&lt;=$I37),$G37,0))</f>
        <v/>
      </c>
      <c r="AX37" s="98">
        <f>IF($H37="",0,IF(AND(AX$6&gt;=$H37,AX$6&lt;=$I37),$G37,0))</f>
        <v/>
      </c>
      <c r="AY37" s="98">
        <f>IF($H37="",0,IF(AND(AY$6&gt;=$H37,AY$6&lt;=$I37),$G37,0))</f>
        <v/>
      </c>
      <c r="AZ37" s="98">
        <f>IF($H37="",0,IF(AND(AZ$6&gt;=$H37,AZ$6&lt;=$I37),$G37,0))</f>
        <v/>
      </c>
      <c r="BA37" s="98">
        <f>IF($H37="",0,IF(AND(BA$6&gt;=$H37,BA$6&lt;=$I37),$G37,0))</f>
        <v/>
      </c>
      <c r="BB37" s="98">
        <f>IF($H37="",0,IF(AND(BB$6&gt;=$H37,BB$6&lt;=$I37),$G37,0))</f>
        <v/>
      </c>
      <c r="BC37" s="98">
        <f>IF($H37="",0,IF(AND(BC$6&gt;=$H37,BC$6&lt;=$I37),$G37,0))</f>
        <v/>
      </c>
      <c r="BD37" s="98">
        <f>IF($H37="",0,IF(AND(BD$6&gt;=$H37,BD$6&lt;=$I37),$G37,0))</f>
        <v/>
      </c>
      <c r="BE37" s="98">
        <f>IF($H37="",0,IF(AND(BE$6&gt;=$H37,BE$6&lt;=$I37),$G37,0))</f>
        <v/>
      </c>
      <c r="BF37" s="98">
        <f>IF($H37="",0,IF(AND(BF$6&gt;=$H37,BF$6&lt;=$I37),$G37,0))</f>
        <v/>
      </c>
      <c r="BG37" s="98">
        <f>IF($H37="",0,IF(AND(BG$6&gt;=$H37,BG$6&lt;=$I37),$G37,0))</f>
        <v/>
      </c>
      <c r="BH37" s="98">
        <f>IF($H37="",0,IF(AND(BH$6&gt;=$H37,BH$6&lt;=$I37),$G37,0))</f>
        <v/>
      </c>
      <c r="BI37" s="98">
        <f>IF($H37="",0,IF(AND(BI$6&gt;=$H37,BI$6&lt;=$I37),$G37,0))</f>
        <v/>
      </c>
      <c r="BJ37" s="98">
        <f>IF($H37="",0,IF(AND(BJ$6&gt;=$H37,BJ$6&lt;=$I37),$G37,0))</f>
        <v/>
      </c>
      <c r="BK37" s="98">
        <f>IF($H37="",0,IF(AND(BK$6&gt;=$H37,BK$6&lt;=$I37),$G37,0))</f>
        <v/>
      </c>
      <c r="BL37" s="98">
        <f>IF($H37="",0,IF(AND(BL$6&gt;=$H37,BL$6&lt;=$I37),$G37,0))</f>
        <v/>
      </c>
      <c r="BM37" s="98">
        <f>IF($H37="",0,IF(AND(BM$6&gt;=$H37,BM$6&lt;=$I37),$G37,0))</f>
        <v/>
      </c>
      <c r="BN37" s="98">
        <f>IF($H37="",0,IF(AND(BN$6&gt;=$H37,BN$6&lt;=$I37),$G37,0))</f>
        <v/>
      </c>
      <c r="BO37" s="98">
        <f>IF($H37="",0,IF(AND(BO$6&gt;=$H37,BO$6&lt;=$I37),$G37,0))</f>
        <v/>
      </c>
      <c r="BP37" s="98">
        <f>IF($H37="",0,IF(AND(BP$6&gt;=$H37,BP$6&lt;=$I37),$G37,0))</f>
        <v/>
      </c>
      <c r="BQ37" s="98">
        <f>IF($H37="",0,IF(AND(BQ$6&gt;=$H37,BQ$6&lt;=$I37),$G37,0))</f>
        <v/>
      </c>
      <c r="BR37" s="98">
        <f>IF($H37="",0,IF(AND(BR$6&gt;=$H37,BR$6&lt;=$I37),$G37,0))</f>
        <v/>
      </c>
      <c r="BS37" s="98">
        <f>IF($H37="",0,IF(AND(BS$6&gt;=$H37,BS$6&lt;=$I37),$G37,0))</f>
        <v/>
      </c>
      <c r="BT37" s="98">
        <f>IF($H37="",0,IF(AND(BT$6&gt;=$H37,BT$6&lt;=$I37),$G37,0))</f>
        <v/>
      </c>
    </row>
    <row r="38">
      <c r="A38" s="74" t="n"/>
      <c r="B38" s="74" t="n"/>
      <c r="C38" s="74" t="n"/>
      <c r="D38" s="73" t="n"/>
      <c r="E38" s="76" t="n"/>
      <c r="F38" s="90" t="n"/>
      <c r="G38" s="84">
        <f>IF(OR($E38="",N($F38)&lt;=0),0,$E38/$F38)</f>
        <v/>
      </c>
      <c r="H38" s="96">
        <f>IF(OR($A38="",$B38="",$D38="",N($F38)&lt;=0),"",IFERROR(IF(DAY($D38)&gt;INDEX(CARTOES_FECHA,MATCH($B38,LISTA_CARTOES,0)),EDATE(DATE(YEAR($D38),MONTH($D38),1),1),DATE(YEAR($D38),MONTH($D38),1)),""))</f>
        <v/>
      </c>
      <c r="I38" s="96">
        <f>IF($H38="","",EDATE($H38,$F38-1))</f>
        <v/>
      </c>
      <c r="J38" s="97">
        <f>IF($H38="",0,MAX(0,MIN($F38,(YEAR($I38)*12+MONTH($I38))-(ANO_SEL*12+MES_SEL))))</f>
        <v/>
      </c>
      <c r="K38" s="84">
        <f>J38*G38</f>
        <v/>
      </c>
      <c r="M38" s="98">
        <f>IF($H38="",0,IF(AND(M$6&gt;=$H38,M$6&lt;=$I38),$G38,0))</f>
        <v/>
      </c>
      <c r="N38" s="98">
        <f>IF($H38="",0,IF(AND(N$6&gt;=$H38,N$6&lt;=$I38),$G38,0))</f>
        <v/>
      </c>
      <c r="O38" s="98">
        <f>IF($H38="",0,IF(AND(O$6&gt;=$H38,O$6&lt;=$I38),$G38,0))</f>
        <v/>
      </c>
      <c r="P38" s="98">
        <f>IF($H38="",0,IF(AND(P$6&gt;=$H38,P$6&lt;=$I38),$G38,0))</f>
        <v/>
      </c>
      <c r="Q38" s="98">
        <f>IF($H38="",0,IF(AND(Q$6&gt;=$H38,Q$6&lt;=$I38),$G38,0))</f>
        <v/>
      </c>
      <c r="R38" s="98">
        <f>IF($H38="",0,IF(AND(R$6&gt;=$H38,R$6&lt;=$I38),$G38,0))</f>
        <v/>
      </c>
      <c r="S38" s="98">
        <f>IF($H38="",0,IF(AND(S$6&gt;=$H38,S$6&lt;=$I38),$G38,0))</f>
        <v/>
      </c>
      <c r="T38" s="98">
        <f>IF($H38="",0,IF(AND(T$6&gt;=$H38,T$6&lt;=$I38),$G38,0))</f>
        <v/>
      </c>
      <c r="U38" s="98">
        <f>IF($H38="",0,IF(AND(U$6&gt;=$H38,U$6&lt;=$I38),$G38,0))</f>
        <v/>
      </c>
      <c r="V38" s="98">
        <f>IF($H38="",0,IF(AND(V$6&gt;=$H38,V$6&lt;=$I38),$G38,0))</f>
        <v/>
      </c>
      <c r="W38" s="98">
        <f>IF($H38="",0,IF(AND(W$6&gt;=$H38,W$6&lt;=$I38),$G38,0))</f>
        <v/>
      </c>
      <c r="X38" s="98">
        <f>IF($H38="",0,IF(AND(X$6&gt;=$H38,X$6&lt;=$I38),$G38,0))</f>
        <v/>
      </c>
      <c r="Y38" s="98">
        <f>IF($H38="",0,IF(AND(Y$6&gt;=$H38,Y$6&lt;=$I38),$G38,0))</f>
        <v/>
      </c>
      <c r="Z38" s="98">
        <f>IF($H38="",0,IF(AND(Z$6&gt;=$H38,Z$6&lt;=$I38),$G38,0))</f>
        <v/>
      </c>
      <c r="AA38" s="98">
        <f>IF($H38="",0,IF(AND(AA$6&gt;=$H38,AA$6&lt;=$I38),$G38,0))</f>
        <v/>
      </c>
      <c r="AB38" s="98">
        <f>IF($H38="",0,IF(AND(AB$6&gt;=$H38,AB$6&lt;=$I38),$G38,0))</f>
        <v/>
      </c>
      <c r="AC38" s="98">
        <f>IF($H38="",0,IF(AND(AC$6&gt;=$H38,AC$6&lt;=$I38),$G38,0))</f>
        <v/>
      </c>
      <c r="AD38" s="98">
        <f>IF($H38="",0,IF(AND(AD$6&gt;=$H38,AD$6&lt;=$I38),$G38,0))</f>
        <v/>
      </c>
      <c r="AE38" s="98">
        <f>IF($H38="",0,IF(AND(AE$6&gt;=$H38,AE$6&lt;=$I38),$G38,0))</f>
        <v/>
      </c>
      <c r="AF38" s="98">
        <f>IF($H38="",0,IF(AND(AF$6&gt;=$H38,AF$6&lt;=$I38),$G38,0))</f>
        <v/>
      </c>
      <c r="AG38" s="98">
        <f>IF($H38="",0,IF(AND(AG$6&gt;=$H38,AG$6&lt;=$I38),$G38,0))</f>
        <v/>
      </c>
      <c r="AH38" s="98">
        <f>IF($H38="",0,IF(AND(AH$6&gt;=$H38,AH$6&lt;=$I38),$G38,0))</f>
        <v/>
      </c>
      <c r="AI38" s="98">
        <f>IF($H38="",0,IF(AND(AI$6&gt;=$H38,AI$6&lt;=$I38),$G38,0))</f>
        <v/>
      </c>
      <c r="AJ38" s="98">
        <f>IF($H38="",0,IF(AND(AJ$6&gt;=$H38,AJ$6&lt;=$I38),$G38,0))</f>
        <v/>
      </c>
      <c r="AK38" s="98">
        <f>IF($H38="",0,IF(AND(AK$6&gt;=$H38,AK$6&lt;=$I38),$G38,0))</f>
        <v/>
      </c>
      <c r="AL38" s="98">
        <f>IF($H38="",0,IF(AND(AL$6&gt;=$H38,AL$6&lt;=$I38),$G38,0))</f>
        <v/>
      </c>
      <c r="AM38" s="98">
        <f>IF($H38="",0,IF(AND(AM$6&gt;=$H38,AM$6&lt;=$I38),$G38,0))</f>
        <v/>
      </c>
      <c r="AN38" s="98">
        <f>IF($H38="",0,IF(AND(AN$6&gt;=$H38,AN$6&lt;=$I38),$G38,0))</f>
        <v/>
      </c>
      <c r="AO38" s="98">
        <f>IF($H38="",0,IF(AND(AO$6&gt;=$H38,AO$6&lt;=$I38),$G38,0))</f>
        <v/>
      </c>
      <c r="AP38" s="98">
        <f>IF($H38="",0,IF(AND(AP$6&gt;=$H38,AP$6&lt;=$I38),$G38,0))</f>
        <v/>
      </c>
      <c r="AQ38" s="98">
        <f>IF($H38="",0,IF(AND(AQ$6&gt;=$H38,AQ$6&lt;=$I38),$G38,0))</f>
        <v/>
      </c>
      <c r="AR38" s="98">
        <f>IF($H38="",0,IF(AND(AR$6&gt;=$H38,AR$6&lt;=$I38),$G38,0))</f>
        <v/>
      </c>
      <c r="AS38" s="98">
        <f>IF($H38="",0,IF(AND(AS$6&gt;=$H38,AS$6&lt;=$I38),$G38,0))</f>
        <v/>
      </c>
      <c r="AT38" s="98">
        <f>IF($H38="",0,IF(AND(AT$6&gt;=$H38,AT$6&lt;=$I38),$G38,0))</f>
        <v/>
      </c>
      <c r="AU38" s="98">
        <f>IF($H38="",0,IF(AND(AU$6&gt;=$H38,AU$6&lt;=$I38),$G38,0))</f>
        <v/>
      </c>
      <c r="AV38" s="98">
        <f>IF($H38="",0,IF(AND(AV$6&gt;=$H38,AV$6&lt;=$I38),$G38,0))</f>
        <v/>
      </c>
      <c r="AW38" s="98">
        <f>IF($H38="",0,IF(AND(AW$6&gt;=$H38,AW$6&lt;=$I38),$G38,0))</f>
        <v/>
      </c>
      <c r="AX38" s="98">
        <f>IF($H38="",0,IF(AND(AX$6&gt;=$H38,AX$6&lt;=$I38),$G38,0))</f>
        <v/>
      </c>
      <c r="AY38" s="98">
        <f>IF($H38="",0,IF(AND(AY$6&gt;=$H38,AY$6&lt;=$I38),$G38,0))</f>
        <v/>
      </c>
      <c r="AZ38" s="98">
        <f>IF($H38="",0,IF(AND(AZ$6&gt;=$H38,AZ$6&lt;=$I38),$G38,0))</f>
        <v/>
      </c>
      <c r="BA38" s="98">
        <f>IF($H38="",0,IF(AND(BA$6&gt;=$H38,BA$6&lt;=$I38),$G38,0))</f>
        <v/>
      </c>
      <c r="BB38" s="98">
        <f>IF($H38="",0,IF(AND(BB$6&gt;=$H38,BB$6&lt;=$I38),$G38,0))</f>
        <v/>
      </c>
      <c r="BC38" s="98">
        <f>IF($H38="",0,IF(AND(BC$6&gt;=$H38,BC$6&lt;=$I38),$G38,0))</f>
        <v/>
      </c>
      <c r="BD38" s="98">
        <f>IF($H38="",0,IF(AND(BD$6&gt;=$H38,BD$6&lt;=$I38),$G38,0))</f>
        <v/>
      </c>
      <c r="BE38" s="98">
        <f>IF($H38="",0,IF(AND(BE$6&gt;=$H38,BE$6&lt;=$I38),$G38,0))</f>
        <v/>
      </c>
      <c r="BF38" s="98">
        <f>IF($H38="",0,IF(AND(BF$6&gt;=$H38,BF$6&lt;=$I38),$G38,0))</f>
        <v/>
      </c>
      <c r="BG38" s="98">
        <f>IF($H38="",0,IF(AND(BG$6&gt;=$H38,BG$6&lt;=$I38),$G38,0))</f>
        <v/>
      </c>
      <c r="BH38" s="98">
        <f>IF($H38="",0,IF(AND(BH$6&gt;=$H38,BH$6&lt;=$I38),$G38,0))</f>
        <v/>
      </c>
      <c r="BI38" s="98">
        <f>IF($H38="",0,IF(AND(BI$6&gt;=$H38,BI$6&lt;=$I38),$G38,0))</f>
        <v/>
      </c>
      <c r="BJ38" s="98">
        <f>IF($H38="",0,IF(AND(BJ$6&gt;=$H38,BJ$6&lt;=$I38),$G38,0))</f>
        <v/>
      </c>
      <c r="BK38" s="98">
        <f>IF($H38="",0,IF(AND(BK$6&gt;=$H38,BK$6&lt;=$I38),$G38,0))</f>
        <v/>
      </c>
      <c r="BL38" s="98">
        <f>IF($H38="",0,IF(AND(BL$6&gt;=$H38,BL$6&lt;=$I38),$G38,0))</f>
        <v/>
      </c>
      <c r="BM38" s="98">
        <f>IF($H38="",0,IF(AND(BM$6&gt;=$H38,BM$6&lt;=$I38),$G38,0))</f>
        <v/>
      </c>
      <c r="BN38" s="98">
        <f>IF($H38="",0,IF(AND(BN$6&gt;=$H38,BN$6&lt;=$I38),$G38,0))</f>
        <v/>
      </c>
      <c r="BO38" s="98">
        <f>IF($H38="",0,IF(AND(BO$6&gt;=$H38,BO$6&lt;=$I38),$G38,0))</f>
        <v/>
      </c>
      <c r="BP38" s="98">
        <f>IF($H38="",0,IF(AND(BP$6&gt;=$H38,BP$6&lt;=$I38),$G38,0))</f>
        <v/>
      </c>
      <c r="BQ38" s="98">
        <f>IF($H38="",0,IF(AND(BQ$6&gt;=$H38,BQ$6&lt;=$I38),$G38,0))</f>
        <v/>
      </c>
      <c r="BR38" s="98">
        <f>IF($H38="",0,IF(AND(BR$6&gt;=$H38,BR$6&lt;=$I38),$G38,0))</f>
        <v/>
      </c>
      <c r="BS38" s="98">
        <f>IF($H38="",0,IF(AND(BS$6&gt;=$H38,BS$6&lt;=$I38),$G38,0))</f>
        <v/>
      </c>
      <c r="BT38" s="98">
        <f>IF($H38="",0,IF(AND(BT$6&gt;=$H38,BT$6&lt;=$I38),$G38,0))</f>
        <v/>
      </c>
    </row>
    <row r="39">
      <c r="A39" s="74" t="n"/>
      <c r="B39" s="74" t="n"/>
      <c r="C39" s="74" t="n"/>
      <c r="D39" s="73" t="n"/>
      <c r="E39" s="76" t="n"/>
      <c r="F39" s="90" t="n"/>
      <c r="G39" s="84">
        <f>IF(OR($E39="",N($F39)&lt;=0),0,$E39/$F39)</f>
        <v/>
      </c>
      <c r="H39" s="96">
        <f>IF(OR($A39="",$B39="",$D39="",N($F39)&lt;=0),"",IFERROR(IF(DAY($D39)&gt;INDEX(CARTOES_FECHA,MATCH($B39,LISTA_CARTOES,0)),EDATE(DATE(YEAR($D39),MONTH($D39),1),1),DATE(YEAR($D39),MONTH($D39),1)),""))</f>
        <v/>
      </c>
      <c r="I39" s="96">
        <f>IF($H39="","",EDATE($H39,$F39-1))</f>
        <v/>
      </c>
      <c r="J39" s="97">
        <f>IF($H39="",0,MAX(0,MIN($F39,(YEAR($I39)*12+MONTH($I39))-(ANO_SEL*12+MES_SEL))))</f>
        <v/>
      </c>
      <c r="K39" s="84">
        <f>J39*G39</f>
        <v/>
      </c>
      <c r="M39" s="98">
        <f>IF($H39="",0,IF(AND(M$6&gt;=$H39,M$6&lt;=$I39),$G39,0))</f>
        <v/>
      </c>
      <c r="N39" s="98">
        <f>IF($H39="",0,IF(AND(N$6&gt;=$H39,N$6&lt;=$I39),$G39,0))</f>
        <v/>
      </c>
      <c r="O39" s="98">
        <f>IF($H39="",0,IF(AND(O$6&gt;=$H39,O$6&lt;=$I39),$G39,0))</f>
        <v/>
      </c>
      <c r="P39" s="98">
        <f>IF($H39="",0,IF(AND(P$6&gt;=$H39,P$6&lt;=$I39),$G39,0))</f>
        <v/>
      </c>
      <c r="Q39" s="98">
        <f>IF($H39="",0,IF(AND(Q$6&gt;=$H39,Q$6&lt;=$I39),$G39,0))</f>
        <v/>
      </c>
      <c r="R39" s="98">
        <f>IF($H39="",0,IF(AND(R$6&gt;=$H39,R$6&lt;=$I39),$G39,0))</f>
        <v/>
      </c>
      <c r="S39" s="98">
        <f>IF($H39="",0,IF(AND(S$6&gt;=$H39,S$6&lt;=$I39),$G39,0))</f>
        <v/>
      </c>
      <c r="T39" s="98">
        <f>IF($H39="",0,IF(AND(T$6&gt;=$H39,T$6&lt;=$I39),$G39,0))</f>
        <v/>
      </c>
      <c r="U39" s="98">
        <f>IF($H39="",0,IF(AND(U$6&gt;=$H39,U$6&lt;=$I39),$G39,0))</f>
        <v/>
      </c>
      <c r="V39" s="98">
        <f>IF($H39="",0,IF(AND(V$6&gt;=$H39,V$6&lt;=$I39),$G39,0))</f>
        <v/>
      </c>
      <c r="W39" s="98">
        <f>IF($H39="",0,IF(AND(W$6&gt;=$H39,W$6&lt;=$I39),$G39,0))</f>
        <v/>
      </c>
      <c r="X39" s="98">
        <f>IF($H39="",0,IF(AND(X$6&gt;=$H39,X$6&lt;=$I39),$G39,0))</f>
        <v/>
      </c>
      <c r="Y39" s="98">
        <f>IF($H39="",0,IF(AND(Y$6&gt;=$H39,Y$6&lt;=$I39),$G39,0))</f>
        <v/>
      </c>
      <c r="Z39" s="98">
        <f>IF($H39="",0,IF(AND(Z$6&gt;=$H39,Z$6&lt;=$I39),$G39,0))</f>
        <v/>
      </c>
      <c r="AA39" s="98">
        <f>IF($H39="",0,IF(AND(AA$6&gt;=$H39,AA$6&lt;=$I39),$G39,0))</f>
        <v/>
      </c>
      <c r="AB39" s="98">
        <f>IF($H39="",0,IF(AND(AB$6&gt;=$H39,AB$6&lt;=$I39),$G39,0))</f>
        <v/>
      </c>
      <c r="AC39" s="98">
        <f>IF($H39="",0,IF(AND(AC$6&gt;=$H39,AC$6&lt;=$I39),$G39,0))</f>
        <v/>
      </c>
      <c r="AD39" s="98">
        <f>IF($H39="",0,IF(AND(AD$6&gt;=$H39,AD$6&lt;=$I39),$G39,0))</f>
        <v/>
      </c>
      <c r="AE39" s="98">
        <f>IF($H39="",0,IF(AND(AE$6&gt;=$H39,AE$6&lt;=$I39),$G39,0))</f>
        <v/>
      </c>
      <c r="AF39" s="98">
        <f>IF($H39="",0,IF(AND(AF$6&gt;=$H39,AF$6&lt;=$I39),$G39,0))</f>
        <v/>
      </c>
      <c r="AG39" s="98">
        <f>IF($H39="",0,IF(AND(AG$6&gt;=$H39,AG$6&lt;=$I39),$G39,0))</f>
        <v/>
      </c>
      <c r="AH39" s="98">
        <f>IF($H39="",0,IF(AND(AH$6&gt;=$H39,AH$6&lt;=$I39),$G39,0))</f>
        <v/>
      </c>
      <c r="AI39" s="98">
        <f>IF($H39="",0,IF(AND(AI$6&gt;=$H39,AI$6&lt;=$I39),$G39,0))</f>
        <v/>
      </c>
      <c r="AJ39" s="98">
        <f>IF($H39="",0,IF(AND(AJ$6&gt;=$H39,AJ$6&lt;=$I39),$G39,0))</f>
        <v/>
      </c>
      <c r="AK39" s="98">
        <f>IF($H39="",0,IF(AND(AK$6&gt;=$H39,AK$6&lt;=$I39),$G39,0))</f>
        <v/>
      </c>
      <c r="AL39" s="98">
        <f>IF($H39="",0,IF(AND(AL$6&gt;=$H39,AL$6&lt;=$I39),$G39,0))</f>
        <v/>
      </c>
      <c r="AM39" s="98">
        <f>IF($H39="",0,IF(AND(AM$6&gt;=$H39,AM$6&lt;=$I39),$G39,0))</f>
        <v/>
      </c>
      <c r="AN39" s="98">
        <f>IF($H39="",0,IF(AND(AN$6&gt;=$H39,AN$6&lt;=$I39),$G39,0))</f>
        <v/>
      </c>
      <c r="AO39" s="98">
        <f>IF($H39="",0,IF(AND(AO$6&gt;=$H39,AO$6&lt;=$I39),$G39,0))</f>
        <v/>
      </c>
      <c r="AP39" s="98">
        <f>IF($H39="",0,IF(AND(AP$6&gt;=$H39,AP$6&lt;=$I39),$G39,0))</f>
        <v/>
      </c>
      <c r="AQ39" s="98">
        <f>IF($H39="",0,IF(AND(AQ$6&gt;=$H39,AQ$6&lt;=$I39),$G39,0))</f>
        <v/>
      </c>
      <c r="AR39" s="98">
        <f>IF($H39="",0,IF(AND(AR$6&gt;=$H39,AR$6&lt;=$I39),$G39,0))</f>
        <v/>
      </c>
      <c r="AS39" s="98">
        <f>IF($H39="",0,IF(AND(AS$6&gt;=$H39,AS$6&lt;=$I39),$G39,0))</f>
        <v/>
      </c>
      <c r="AT39" s="98">
        <f>IF($H39="",0,IF(AND(AT$6&gt;=$H39,AT$6&lt;=$I39),$G39,0))</f>
        <v/>
      </c>
      <c r="AU39" s="98">
        <f>IF($H39="",0,IF(AND(AU$6&gt;=$H39,AU$6&lt;=$I39),$G39,0))</f>
        <v/>
      </c>
      <c r="AV39" s="98">
        <f>IF($H39="",0,IF(AND(AV$6&gt;=$H39,AV$6&lt;=$I39),$G39,0))</f>
        <v/>
      </c>
      <c r="AW39" s="98">
        <f>IF($H39="",0,IF(AND(AW$6&gt;=$H39,AW$6&lt;=$I39),$G39,0))</f>
        <v/>
      </c>
      <c r="AX39" s="98">
        <f>IF($H39="",0,IF(AND(AX$6&gt;=$H39,AX$6&lt;=$I39),$G39,0))</f>
        <v/>
      </c>
      <c r="AY39" s="98">
        <f>IF($H39="",0,IF(AND(AY$6&gt;=$H39,AY$6&lt;=$I39),$G39,0))</f>
        <v/>
      </c>
      <c r="AZ39" s="98">
        <f>IF($H39="",0,IF(AND(AZ$6&gt;=$H39,AZ$6&lt;=$I39),$G39,0))</f>
        <v/>
      </c>
      <c r="BA39" s="98">
        <f>IF($H39="",0,IF(AND(BA$6&gt;=$H39,BA$6&lt;=$I39),$G39,0))</f>
        <v/>
      </c>
      <c r="BB39" s="98">
        <f>IF($H39="",0,IF(AND(BB$6&gt;=$H39,BB$6&lt;=$I39),$G39,0))</f>
        <v/>
      </c>
      <c r="BC39" s="98">
        <f>IF($H39="",0,IF(AND(BC$6&gt;=$H39,BC$6&lt;=$I39),$G39,0))</f>
        <v/>
      </c>
      <c r="BD39" s="98">
        <f>IF($H39="",0,IF(AND(BD$6&gt;=$H39,BD$6&lt;=$I39),$G39,0))</f>
        <v/>
      </c>
      <c r="BE39" s="98">
        <f>IF($H39="",0,IF(AND(BE$6&gt;=$H39,BE$6&lt;=$I39),$G39,0))</f>
        <v/>
      </c>
      <c r="BF39" s="98">
        <f>IF($H39="",0,IF(AND(BF$6&gt;=$H39,BF$6&lt;=$I39),$G39,0))</f>
        <v/>
      </c>
      <c r="BG39" s="98">
        <f>IF($H39="",0,IF(AND(BG$6&gt;=$H39,BG$6&lt;=$I39),$G39,0))</f>
        <v/>
      </c>
      <c r="BH39" s="98">
        <f>IF($H39="",0,IF(AND(BH$6&gt;=$H39,BH$6&lt;=$I39),$G39,0))</f>
        <v/>
      </c>
      <c r="BI39" s="98">
        <f>IF($H39="",0,IF(AND(BI$6&gt;=$H39,BI$6&lt;=$I39),$G39,0))</f>
        <v/>
      </c>
      <c r="BJ39" s="98">
        <f>IF($H39="",0,IF(AND(BJ$6&gt;=$H39,BJ$6&lt;=$I39),$G39,0))</f>
        <v/>
      </c>
      <c r="BK39" s="98">
        <f>IF($H39="",0,IF(AND(BK$6&gt;=$H39,BK$6&lt;=$I39),$G39,0))</f>
        <v/>
      </c>
      <c r="BL39" s="98">
        <f>IF($H39="",0,IF(AND(BL$6&gt;=$H39,BL$6&lt;=$I39),$G39,0))</f>
        <v/>
      </c>
      <c r="BM39" s="98">
        <f>IF($H39="",0,IF(AND(BM$6&gt;=$H39,BM$6&lt;=$I39),$G39,0))</f>
        <v/>
      </c>
      <c r="BN39" s="98">
        <f>IF($H39="",0,IF(AND(BN$6&gt;=$H39,BN$6&lt;=$I39),$G39,0))</f>
        <v/>
      </c>
      <c r="BO39" s="98">
        <f>IF($H39="",0,IF(AND(BO$6&gt;=$H39,BO$6&lt;=$I39),$G39,0))</f>
        <v/>
      </c>
      <c r="BP39" s="98">
        <f>IF($H39="",0,IF(AND(BP$6&gt;=$H39,BP$6&lt;=$I39),$G39,0))</f>
        <v/>
      </c>
      <c r="BQ39" s="98">
        <f>IF($H39="",0,IF(AND(BQ$6&gt;=$H39,BQ$6&lt;=$I39),$G39,0))</f>
        <v/>
      </c>
      <c r="BR39" s="98">
        <f>IF($H39="",0,IF(AND(BR$6&gt;=$H39,BR$6&lt;=$I39),$G39,0))</f>
        <v/>
      </c>
      <c r="BS39" s="98">
        <f>IF($H39="",0,IF(AND(BS$6&gt;=$H39,BS$6&lt;=$I39),$G39,0))</f>
        <v/>
      </c>
      <c r="BT39" s="98">
        <f>IF($H39="",0,IF(AND(BT$6&gt;=$H39,BT$6&lt;=$I39),$G39,0))</f>
        <v/>
      </c>
    </row>
    <row r="40">
      <c r="A40" s="74" t="n"/>
      <c r="B40" s="74" t="n"/>
      <c r="C40" s="74" t="n"/>
      <c r="D40" s="73" t="n"/>
      <c r="E40" s="76" t="n"/>
      <c r="F40" s="90" t="n"/>
      <c r="G40" s="84">
        <f>IF(OR($E40="",N($F40)&lt;=0),0,$E40/$F40)</f>
        <v/>
      </c>
      <c r="H40" s="96">
        <f>IF(OR($A40="",$B40="",$D40="",N($F40)&lt;=0),"",IFERROR(IF(DAY($D40)&gt;INDEX(CARTOES_FECHA,MATCH($B40,LISTA_CARTOES,0)),EDATE(DATE(YEAR($D40),MONTH($D40),1),1),DATE(YEAR($D40),MONTH($D40),1)),""))</f>
        <v/>
      </c>
      <c r="I40" s="96">
        <f>IF($H40="","",EDATE($H40,$F40-1))</f>
        <v/>
      </c>
      <c r="J40" s="97">
        <f>IF($H40="",0,MAX(0,MIN($F40,(YEAR($I40)*12+MONTH($I40))-(ANO_SEL*12+MES_SEL))))</f>
        <v/>
      </c>
      <c r="K40" s="84">
        <f>J40*G40</f>
        <v/>
      </c>
      <c r="M40" s="98">
        <f>IF($H40="",0,IF(AND(M$6&gt;=$H40,M$6&lt;=$I40),$G40,0))</f>
        <v/>
      </c>
      <c r="N40" s="98">
        <f>IF($H40="",0,IF(AND(N$6&gt;=$H40,N$6&lt;=$I40),$G40,0))</f>
        <v/>
      </c>
      <c r="O40" s="98">
        <f>IF($H40="",0,IF(AND(O$6&gt;=$H40,O$6&lt;=$I40),$G40,0))</f>
        <v/>
      </c>
      <c r="P40" s="98">
        <f>IF($H40="",0,IF(AND(P$6&gt;=$H40,P$6&lt;=$I40),$G40,0))</f>
        <v/>
      </c>
      <c r="Q40" s="98">
        <f>IF($H40="",0,IF(AND(Q$6&gt;=$H40,Q$6&lt;=$I40),$G40,0))</f>
        <v/>
      </c>
      <c r="R40" s="98">
        <f>IF($H40="",0,IF(AND(R$6&gt;=$H40,R$6&lt;=$I40),$G40,0))</f>
        <v/>
      </c>
      <c r="S40" s="98">
        <f>IF($H40="",0,IF(AND(S$6&gt;=$H40,S$6&lt;=$I40),$G40,0))</f>
        <v/>
      </c>
      <c r="T40" s="98">
        <f>IF($H40="",0,IF(AND(T$6&gt;=$H40,T$6&lt;=$I40),$G40,0))</f>
        <v/>
      </c>
      <c r="U40" s="98">
        <f>IF($H40="",0,IF(AND(U$6&gt;=$H40,U$6&lt;=$I40),$G40,0))</f>
        <v/>
      </c>
      <c r="V40" s="98">
        <f>IF($H40="",0,IF(AND(V$6&gt;=$H40,V$6&lt;=$I40),$G40,0))</f>
        <v/>
      </c>
      <c r="W40" s="98">
        <f>IF($H40="",0,IF(AND(W$6&gt;=$H40,W$6&lt;=$I40),$G40,0))</f>
        <v/>
      </c>
      <c r="X40" s="98">
        <f>IF($H40="",0,IF(AND(X$6&gt;=$H40,X$6&lt;=$I40),$G40,0))</f>
        <v/>
      </c>
      <c r="Y40" s="98">
        <f>IF($H40="",0,IF(AND(Y$6&gt;=$H40,Y$6&lt;=$I40),$G40,0))</f>
        <v/>
      </c>
      <c r="Z40" s="98">
        <f>IF($H40="",0,IF(AND(Z$6&gt;=$H40,Z$6&lt;=$I40),$G40,0))</f>
        <v/>
      </c>
      <c r="AA40" s="98">
        <f>IF($H40="",0,IF(AND(AA$6&gt;=$H40,AA$6&lt;=$I40),$G40,0))</f>
        <v/>
      </c>
      <c r="AB40" s="98">
        <f>IF($H40="",0,IF(AND(AB$6&gt;=$H40,AB$6&lt;=$I40),$G40,0))</f>
        <v/>
      </c>
      <c r="AC40" s="98">
        <f>IF($H40="",0,IF(AND(AC$6&gt;=$H40,AC$6&lt;=$I40),$G40,0))</f>
        <v/>
      </c>
      <c r="AD40" s="98">
        <f>IF($H40="",0,IF(AND(AD$6&gt;=$H40,AD$6&lt;=$I40),$G40,0))</f>
        <v/>
      </c>
      <c r="AE40" s="98">
        <f>IF($H40="",0,IF(AND(AE$6&gt;=$H40,AE$6&lt;=$I40),$G40,0))</f>
        <v/>
      </c>
      <c r="AF40" s="98">
        <f>IF($H40="",0,IF(AND(AF$6&gt;=$H40,AF$6&lt;=$I40),$G40,0))</f>
        <v/>
      </c>
      <c r="AG40" s="98">
        <f>IF($H40="",0,IF(AND(AG$6&gt;=$H40,AG$6&lt;=$I40),$G40,0))</f>
        <v/>
      </c>
      <c r="AH40" s="98">
        <f>IF($H40="",0,IF(AND(AH$6&gt;=$H40,AH$6&lt;=$I40),$G40,0))</f>
        <v/>
      </c>
      <c r="AI40" s="98">
        <f>IF($H40="",0,IF(AND(AI$6&gt;=$H40,AI$6&lt;=$I40),$G40,0))</f>
        <v/>
      </c>
      <c r="AJ40" s="98">
        <f>IF($H40="",0,IF(AND(AJ$6&gt;=$H40,AJ$6&lt;=$I40),$G40,0))</f>
        <v/>
      </c>
      <c r="AK40" s="98">
        <f>IF($H40="",0,IF(AND(AK$6&gt;=$H40,AK$6&lt;=$I40),$G40,0))</f>
        <v/>
      </c>
      <c r="AL40" s="98">
        <f>IF($H40="",0,IF(AND(AL$6&gt;=$H40,AL$6&lt;=$I40),$G40,0))</f>
        <v/>
      </c>
      <c r="AM40" s="98">
        <f>IF($H40="",0,IF(AND(AM$6&gt;=$H40,AM$6&lt;=$I40),$G40,0))</f>
        <v/>
      </c>
      <c r="AN40" s="98">
        <f>IF($H40="",0,IF(AND(AN$6&gt;=$H40,AN$6&lt;=$I40),$G40,0))</f>
        <v/>
      </c>
      <c r="AO40" s="98">
        <f>IF($H40="",0,IF(AND(AO$6&gt;=$H40,AO$6&lt;=$I40),$G40,0))</f>
        <v/>
      </c>
      <c r="AP40" s="98">
        <f>IF($H40="",0,IF(AND(AP$6&gt;=$H40,AP$6&lt;=$I40),$G40,0))</f>
        <v/>
      </c>
      <c r="AQ40" s="98">
        <f>IF($H40="",0,IF(AND(AQ$6&gt;=$H40,AQ$6&lt;=$I40),$G40,0))</f>
        <v/>
      </c>
      <c r="AR40" s="98">
        <f>IF($H40="",0,IF(AND(AR$6&gt;=$H40,AR$6&lt;=$I40),$G40,0))</f>
        <v/>
      </c>
      <c r="AS40" s="98">
        <f>IF($H40="",0,IF(AND(AS$6&gt;=$H40,AS$6&lt;=$I40),$G40,0))</f>
        <v/>
      </c>
      <c r="AT40" s="98">
        <f>IF($H40="",0,IF(AND(AT$6&gt;=$H40,AT$6&lt;=$I40),$G40,0))</f>
        <v/>
      </c>
      <c r="AU40" s="98">
        <f>IF($H40="",0,IF(AND(AU$6&gt;=$H40,AU$6&lt;=$I40),$G40,0))</f>
        <v/>
      </c>
      <c r="AV40" s="98">
        <f>IF($H40="",0,IF(AND(AV$6&gt;=$H40,AV$6&lt;=$I40),$G40,0))</f>
        <v/>
      </c>
      <c r="AW40" s="98">
        <f>IF($H40="",0,IF(AND(AW$6&gt;=$H40,AW$6&lt;=$I40),$G40,0))</f>
        <v/>
      </c>
      <c r="AX40" s="98">
        <f>IF($H40="",0,IF(AND(AX$6&gt;=$H40,AX$6&lt;=$I40),$G40,0))</f>
        <v/>
      </c>
      <c r="AY40" s="98">
        <f>IF($H40="",0,IF(AND(AY$6&gt;=$H40,AY$6&lt;=$I40),$G40,0))</f>
        <v/>
      </c>
      <c r="AZ40" s="98">
        <f>IF($H40="",0,IF(AND(AZ$6&gt;=$H40,AZ$6&lt;=$I40),$G40,0))</f>
        <v/>
      </c>
      <c r="BA40" s="98">
        <f>IF($H40="",0,IF(AND(BA$6&gt;=$H40,BA$6&lt;=$I40),$G40,0))</f>
        <v/>
      </c>
      <c r="BB40" s="98">
        <f>IF($H40="",0,IF(AND(BB$6&gt;=$H40,BB$6&lt;=$I40),$G40,0))</f>
        <v/>
      </c>
      <c r="BC40" s="98">
        <f>IF($H40="",0,IF(AND(BC$6&gt;=$H40,BC$6&lt;=$I40),$G40,0))</f>
        <v/>
      </c>
      <c r="BD40" s="98">
        <f>IF($H40="",0,IF(AND(BD$6&gt;=$H40,BD$6&lt;=$I40),$G40,0))</f>
        <v/>
      </c>
      <c r="BE40" s="98">
        <f>IF($H40="",0,IF(AND(BE$6&gt;=$H40,BE$6&lt;=$I40),$G40,0))</f>
        <v/>
      </c>
      <c r="BF40" s="98">
        <f>IF($H40="",0,IF(AND(BF$6&gt;=$H40,BF$6&lt;=$I40),$G40,0))</f>
        <v/>
      </c>
      <c r="BG40" s="98">
        <f>IF($H40="",0,IF(AND(BG$6&gt;=$H40,BG$6&lt;=$I40),$G40,0))</f>
        <v/>
      </c>
      <c r="BH40" s="98">
        <f>IF($H40="",0,IF(AND(BH$6&gt;=$H40,BH$6&lt;=$I40),$G40,0))</f>
        <v/>
      </c>
      <c r="BI40" s="98">
        <f>IF($H40="",0,IF(AND(BI$6&gt;=$H40,BI$6&lt;=$I40),$G40,0))</f>
        <v/>
      </c>
      <c r="BJ40" s="98">
        <f>IF($H40="",0,IF(AND(BJ$6&gt;=$H40,BJ$6&lt;=$I40),$G40,0))</f>
        <v/>
      </c>
      <c r="BK40" s="98">
        <f>IF($H40="",0,IF(AND(BK$6&gt;=$H40,BK$6&lt;=$I40),$G40,0))</f>
        <v/>
      </c>
      <c r="BL40" s="98">
        <f>IF($H40="",0,IF(AND(BL$6&gt;=$H40,BL$6&lt;=$I40),$G40,0))</f>
        <v/>
      </c>
      <c r="BM40" s="98">
        <f>IF($H40="",0,IF(AND(BM$6&gt;=$H40,BM$6&lt;=$I40),$G40,0))</f>
        <v/>
      </c>
      <c r="BN40" s="98">
        <f>IF($H40="",0,IF(AND(BN$6&gt;=$H40,BN$6&lt;=$I40),$G40,0))</f>
        <v/>
      </c>
      <c r="BO40" s="98">
        <f>IF($H40="",0,IF(AND(BO$6&gt;=$H40,BO$6&lt;=$I40),$G40,0))</f>
        <v/>
      </c>
      <c r="BP40" s="98">
        <f>IF($H40="",0,IF(AND(BP$6&gt;=$H40,BP$6&lt;=$I40),$G40,0))</f>
        <v/>
      </c>
      <c r="BQ40" s="98">
        <f>IF($H40="",0,IF(AND(BQ$6&gt;=$H40,BQ$6&lt;=$I40),$G40,0))</f>
        <v/>
      </c>
      <c r="BR40" s="98">
        <f>IF($H40="",0,IF(AND(BR$6&gt;=$H40,BR$6&lt;=$I40),$G40,0))</f>
        <v/>
      </c>
      <c r="BS40" s="98">
        <f>IF($H40="",0,IF(AND(BS$6&gt;=$H40,BS$6&lt;=$I40),$G40,0))</f>
        <v/>
      </c>
      <c r="BT40" s="98">
        <f>IF($H40="",0,IF(AND(BT$6&gt;=$H40,BT$6&lt;=$I40),$G40,0))</f>
        <v/>
      </c>
    </row>
    <row r="41">
      <c r="A41" s="74" t="n"/>
      <c r="B41" s="74" t="n"/>
      <c r="C41" s="74" t="n"/>
      <c r="D41" s="73" t="n"/>
      <c r="E41" s="76" t="n"/>
      <c r="F41" s="90" t="n"/>
      <c r="G41" s="84">
        <f>IF(OR($E41="",N($F41)&lt;=0),0,$E41/$F41)</f>
        <v/>
      </c>
      <c r="H41" s="96">
        <f>IF(OR($A41="",$B41="",$D41="",N($F41)&lt;=0),"",IFERROR(IF(DAY($D41)&gt;INDEX(CARTOES_FECHA,MATCH($B41,LISTA_CARTOES,0)),EDATE(DATE(YEAR($D41),MONTH($D41),1),1),DATE(YEAR($D41),MONTH($D41),1)),""))</f>
        <v/>
      </c>
      <c r="I41" s="96">
        <f>IF($H41="","",EDATE($H41,$F41-1))</f>
        <v/>
      </c>
      <c r="J41" s="97">
        <f>IF($H41="",0,MAX(0,MIN($F41,(YEAR($I41)*12+MONTH($I41))-(ANO_SEL*12+MES_SEL))))</f>
        <v/>
      </c>
      <c r="K41" s="84">
        <f>J41*G41</f>
        <v/>
      </c>
      <c r="M41" s="98">
        <f>IF($H41="",0,IF(AND(M$6&gt;=$H41,M$6&lt;=$I41),$G41,0))</f>
        <v/>
      </c>
      <c r="N41" s="98">
        <f>IF($H41="",0,IF(AND(N$6&gt;=$H41,N$6&lt;=$I41),$G41,0))</f>
        <v/>
      </c>
      <c r="O41" s="98">
        <f>IF($H41="",0,IF(AND(O$6&gt;=$H41,O$6&lt;=$I41),$G41,0))</f>
        <v/>
      </c>
      <c r="P41" s="98">
        <f>IF($H41="",0,IF(AND(P$6&gt;=$H41,P$6&lt;=$I41),$G41,0))</f>
        <v/>
      </c>
      <c r="Q41" s="98">
        <f>IF($H41="",0,IF(AND(Q$6&gt;=$H41,Q$6&lt;=$I41),$G41,0))</f>
        <v/>
      </c>
      <c r="R41" s="98">
        <f>IF($H41="",0,IF(AND(R$6&gt;=$H41,R$6&lt;=$I41),$G41,0))</f>
        <v/>
      </c>
      <c r="S41" s="98">
        <f>IF($H41="",0,IF(AND(S$6&gt;=$H41,S$6&lt;=$I41),$G41,0))</f>
        <v/>
      </c>
      <c r="T41" s="98">
        <f>IF($H41="",0,IF(AND(T$6&gt;=$H41,T$6&lt;=$I41),$G41,0))</f>
        <v/>
      </c>
      <c r="U41" s="98">
        <f>IF($H41="",0,IF(AND(U$6&gt;=$H41,U$6&lt;=$I41),$G41,0))</f>
        <v/>
      </c>
      <c r="V41" s="98">
        <f>IF($H41="",0,IF(AND(V$6&gt;=$H41,V$6&lt;=$I41),$G41,0))</f>
        <v/>
      </c>
      <c r="W41" s="98">
        <f>IF($H41="",0,IF(AND(W$6&gt;=$H41,W$6&lt;=$I41),$G41,0))</f>
        <v/>
      </c>
      <c r="X41" s="98">
        <f>IF($H41="",0,IF(AND(X$6&gt;=$H41,X$6&lt;=$I41),$G41,0))</f>
        <v/>
      </c>
      <c r="Y41" s="98">
        <f>IF($H41="",0,IF(AND(Y$6&gt;=$H41,Y$6&lt;=$I41),$G41,0))</f>
        <v/>
      </c>
      <c r="Z41" s="98">
        <f>IF($H41="",0,IF(AND(Z$6&gt;=$H41,Z$6&lt;=$I41),$G41,0))</f>
        <v/>
      </c>
      <c r="AA41" s="98">
        <f>IF($H41="",0,IF(AND(AA$6&gt;=$H41,AA$6&lt;=$I41),$G41,0))</f>
        <v/>
      </c>
      <c r="AB41" s="98">
        <f>IF($H41="",0,IF(AND(AB$6&gt;=$H41,AB$6&lt;=$I41),$G41,0))</f>
        <v/>
      </c>
      <c r="AC41" s="98">
        <f>IF($H41="",0,IF(AND(AC$6&gt;=$H41,AC$6&lt;=$I41),$G41,0))</f>
        <v/>
      </c>
      <c r="AD41" s="98">
        <f>IF($H41="",0,IF(AND(AD$6&gt;=$H41,AD$6&lt;=$I41),$G41,0))</f>
        <v/>
      </c>
      <c r="AE41" s="98">
        <f>IF($H41="",0,IF(AND(AE$6&gt;=$H41,AE$6&lt;=$I41),$G41,0))</f>
        <v/>
      </c>
      <c r="AF41" s="98">
        <f>IF($H41="",0,IF(AND(AF$6&gt;=$H41,AF$6&lt;=$I41),$G41,0))</f>
        <v/>
      </c>
      <c r="AG41" s="98">
        <f>IF($H41="",0,IF(AND(AG$6&gt;=$H41,AG$6&lt;=$I41),$G41,0))</f>
        <v/>
      </c>
      <c r="AH41" s="98">
        <f>IF($H41="",0,IF(AND(AH$6&gt;=$H41,AH$6&lt;=$I41),$G41,0))</f>
        <v/>
      </c>
      <c r="AI41" s="98">
        <f>IF($H41="",0,IF(AND(AI$6&gt;=$H41,AI$6&lt;=$I41),$G41,0))</f>
        <v/>
      </c>
      <c r="AJ41" s="98">
        <f>IF($H41="",0,IF(AND(AJ$6&gt;=$H41,AJ$6&lt;=$I41),$G41,0))</f>
        <v/>
      </c>
      <c r="AK41" s="98">
        <f>IF($H41="",0,IF(AND(AK$6&gt;=$H41,AK$6&lt;=$I41),$G41,0))</f>
        <v/>
      </c>
      <c r="AL41" s="98">
        <f>IF($H41="",0,IF(AND(AL$6&gt;=$H41,AL$6&lt;=$I41),$G41,0))</f>
        <v/>
      </c>
      <c r="AM41" s="98">
        <f>IF($H41="",0,IF(AND(AM$6&gt;=$H41,AM$6&lt;=$I41),$G41,0))</f>
        <v/>
      </c>
      <c r="AN41" s="98">
        <f>IF($H41="",0,IF(AND(AN$6&gt;=$H41,AN$6&lt;=$I41),$G41,0))</f>
        <v/>
      </c>
      <c r="AO41" s="98">
        <f>IF($H41="",0,IF(AND(AO$6&gt;=$H41,AO$6&lt;=$I41),$G41,0))</f>
        <v/>
      </c>
      <c r="AP41" s="98">
        <f>IF($H41="",0,IF(AND(AP$6&gt;=$H41,AP$6&lt;=$I41),$G41,0))</f>
        <v/>
      </c>
      <c r="AQ41" s="98">
        <f>IF($H41="",0,IF(AND(AQ$6&gt;=$H41,AQ$6&lt;=$I41),$G41,0))</f>
        <v/>
      </c>
      <c r="AR41" s="98">
        <f>IF($H41="",0,IF(AND(AR$6&gt;=$H41,AR$6&lt;=$I41),$G41,0))</f>
        <v/>
      </c>
      <c r="AS41" s="98">
        <f>IF($H41="",0,IF(AND(AS$6&gt;=$H41,AS$6&lt;=$I41),$G41,0))</f>
        <v/>
      </c>
      <c r="AT41" s="98">
        <f>IF($H41="",0,IF(AND(AT$6&gt;=$H41,AT$6&lt;=$I41),$G41,0))</f>
        <v/>
      </c>
      <c r="AU41" s="98">
        <f>IF($H41="",0,IF(AND(AU$6&gt;=$H41,AU$6&lt;=$I41),$G41,0))</f>
        <v/>
      </c>
      <c r="AV41" s="98">
        <f>IF($H41="",0,IF(AND(AV$6&gt;=$H41,AV$6&lt;=$I41),$G41,0))</f>
        <v/>
      </c>
      <c r="AW41" s="98">
        <f>IF($H41="",0,IF(AND(AW$6&gt;=$H41,AW$6&lt;=$I41),$G41,0))</f>
        <v/>
      </c>
      <c r="AX41" s="98">
        <f>IF($H41="",0,IF(AND(AX$6&gt;=$H41,AX$6&lt;=$I41),$G41,0))</f>
        <v/>
      </c>
      <c r="AY41" s="98">
        <f>IF($H41="",0,IF(AND(AY$6&gt;=$H41,AY$6&lt;=$I41),$G41,0))</f>
        <v/>
      </c>
      <c r="AZ41" s="98">
        <f>IF($H41="",0,IF(AND(AZ$6&gt;=$H41,AZ$6&lt;=$I41),$G41,0))</f>
        <v/>
      </c>
      <c r="BA41" s="98">
        <f>IF($H41="",0,IF(AND(BA$6&gt;=$H41,BA$6&lt;=$I41),$G41,0))</f>
        <v/>
      </c>
      <c r="BB41" s="98">
        <f>IF($H41="",0,IF(AND(BB$6&gt;=$H41,BB$6&lt;=$I41),$G41,0))</f>
        <v/>
      </c>
      <c r="BC41" s="98">
        <f>IF($H41="",0,IF(AND(BC$6&gt;=$H41,BC$6&lt;=$I41),$G41,0))</f>
        <v/>
      </c>
      <c r="BD41" s="98">
        <f>IF($H41="",0,IF(AND(BD$6&gt;=$H41,BD$6&lt;=$I41),$G41,0))</f>
        <v/>
      </c>
      <c r="BE41" s="98">
        <f>IF($H41="",0,IF(AND(BE$6&gt;=$H41,BE$6&lt;=$I41),$G41,0))</f>
        <v/>
      </c>
      <c r="BF41" s="98">
        <f>IF($H41="",0,IF(AND(BF$6&gt;=$H41,BF$6&lt;=$I41),$G41,0))</f>
        <v/>
      </c>
      <c r="BG41" s="98">
        <f>IF($H41="",0,IF(AND(BG$6&gt;=$H41,BG$6&lt;=$I41),$G41,0))</f>
        <v/>
      </c>
      <c r="BH41" s="98">
        <f>IF($H41="",0,IF(AND(BH$6&gt;=$H41,BH$6&lt;=$I41),$G41,0))</f>
        <v/>
      </c>
      <c r="BI41" s="98">
        <f>IF($H41="",0,IF(AND(BI$6&gt;=$H41,BI$6&lt;=$I41),$G41,0))</f>
        <v/>
      </c>
      <c r="BJ41" s="98">
        <f>IF($H41="",0,IF(AND(BJ$6&gt;=$H41,BJ$6&lt;=$I41),$G41,0))</f>
        <v/>
      </c>
      <c r="BK41" s="98">
        <f>IF($H41="",0,IF(AND(BK$6&gt;=$H41,BK$6&lt;=$I41),$G41,0))</f>
        <v/>
      </c>
      <c r="BL41" s="98">
        <f>IF($H41="",0,IF(AND(BL$6&gt;=$H41,BL$6&lt;=$I41),$G41,0))</f>
        <v/>
      </c>
      <c r="BM41" s="98">
        <f>IF($H41="",0,IF(AND(BM$6&gt;=$H41,BM$6&lt;=$I41),$G41,0))</f>
        <v/>
      </c>
      <c r="BN41" s="98">
        <f>IF($H41="",0,IF(AND(BN$6&gt;=$H41,BN$6&lt;=$I41),$G41,0))</f>
        <v/>
      </c>
      <c r="BO41" s="98">
        <f>IF($H41="",0,IF(AND(BO$6&gt;=$H41,BO$6&lt;=$I41),$G41,0))</f>
        <v/>
      </c>
      <c r="BP41" s="98">
        <f>IF($H41="",0,IF(AND(BP$6&gt;=$H41,BP$6&lt;=$I41),$G41,0))</f>
        <v/>
      </c>
      <c r="BQ41" s="98">
        <f>IF($H41="",0,IF(AND(BQ$6&gt;=$H41,BQ$6&lt;=$I41),$G41,0))</f>
        <v/>
      </c>
      <c r="BR41" s="98">
        <f>IF($H41="",0,IF(AND(BR$6&gt;=$H41,BR$6&lt;=$I41),$G41,0))</f>
        <v/>
      </c>
      <c r="BS41" s="98">
        <f>IF($H41="",0,IF(AND(BS$6&gt;=$H41,BS$6&lt;=$I41),$G41,0))</f>
        <v/>
      </c>
      <c r="BT41" s="98">
        <f>IF($H41="",0,IF(AND(BT$6&gt;=$H41,BT$6&lt;=$I41),$G41,0))</f>
        <v/>
      </c>
    </row>
    <row r="42">
      <c r="A42" s="74" t="n"/>
      <c r="B42" s="74" t="n"/>
      <c r="C42" s="74" t="n"/>
      <c r="D42" s="73" t="n"/>
      <c r="E42" s="76" t="n"/>
      <c r="F42" s="90" t="n"/>
      <c r="G42" s="84">
        <f>IF(OR($E42="",N($F42)&lt;=0),0,$E42/$F42)</f>
        <v/>
      </c>
      <c r="H42" s="96">
        <f>IF(OR($A42="",$B42="",$D42="",N($F42)&lt;=0),"",IFERROR(IF(DAY($D42)&gt;INDEX(CARTOES_FECHA,MATCH($B42,LISTA_CARTOES,0)),EDATE(DATE(YEAR($D42),MONTH($D42),1),1),DATE(YEAR($D42),MONTH($D42),1)),""))</f>
        <v/>
      </c>
      <c r="I42" s="96">
        <f>IF($H42="","",EDATE($H42,$F42-1))</f>
        <v/>
      </c>
      <c r="J42" s="97">
        <f>IF($H42="",0,MAX(0,MIN($F42,(YEAR($I42)*12+MONTH($I42))-(ANO_SEL*12+MES_SEL))))</f>
        <v/>
      </c>
      <c r="K42" s="84">
        <f>J42*G42</f>
        <v/>
      </c>
      <c r="M42" s="98">
        <f>IF($H42="",0,IF(AND(M$6&gt;=$H42,M$6&lt;=$I42),$G42,0))</f>
        <v/>
      </c>
      <c r="N42" s="98">
        <f>IF($H42="",0,IF(AND(N$6&gt;=$H42,N$6&lt;=$I42),$G42,0))</f>
        <v/>
      </c>
      <c r="O42" s="98">
        <f>IF($H42="",0,IF(AND(O$6&gt;=$H42,O$6&lt;=$I42),$G42,0))</f>
        <v/>
      </c>
      <c r="P42" s="98">
        <f>IF($H42="",0,IF(AND(P$6&gt;=$H42,P$6&lt;=$I42),$G42,0))</f>
        <v/>
      </c>
      <c r="Q42" s="98">
        <f>IF($H42="",0,IF(AND(Q$6&gt;=$H42,Q$6&lt;=$I42),$G42,0))</f>
        <v/>
      </c>
      <c r="R42" s="98">
        <f>IF($H42="",0,IF(AND(R$6&gt;=$H42,R$6&lt;=$I42),$G42,0))</f>
        <v/>
      </c>
      <c r="S42" s="98">
        <f>IF($H42="",0,IF(AND(S$6&gt;=$H42,S$6&lt;=$I42),$G42,0))</f>
        <v/>
      </c>
      <c r="T42" s="98">
        <f>IF($H42="",0,IF(AND(T$6&gt;=$H42,T$6&lt;=$I42),$G42,0))</f>
        <v/>
      </c>
      <c r="U42" s="98">
        <f>IF($H42="",0,IF(AND(U$6&gt;=$H42,U$6&lt;=$I42),$G42,0))</f>
        <v/>
      </c>
      <c r="V42" s="98">
        <f>IF($H42="",0,IF(AND(V$6&gt;=$H42,V$6&lt;=$I42),$G42,0))</f>
        <v/>
      </c>
      <c r="W42" s="98">
        <f>IF($H42="",0,IF(AND(W$6&gt;=$H42,W$6&lt;=$I42),$G42,0))</f>
        <v/>
      </c>
      <c r="X42" s="98">
        <f>IF($H42="",0,IF(AND(X$6&gt;=$H42,X$6&lt;=$I42),$G42,0))</f>
        <v/>
      </c>
      <c r="Y42" s="98">
        <f>IF($H42="",0,IF(AND(Y$6&gt;=$H42,Y$6&lt;=$I42),$G42,0))</f>
        <v/>
      </c>
      <c r="Z42" s="98">
        <f>IF($H42="",0,IF(AND(Z$6&gt;=$H42,Z$6&lt;=$I42),$G42,0))</f>
        <v/>
      </c>
      <c r="AA42" s="98">
        <f>IF($H42="",0,IF(AND(AA$6&gt;=$H42,AA$6&lt;=$I42),$G42,0))</f>
        <v/>
      </c>
      <c r="AB42" s="98">
        <f>IF($H42="",0,IF(AND(AB$6&gt;=$H42,AB$6&lt;=$I42),$G42,0))</f>
        <v/>
      </c>
      <c r="AC42" s="98">
        <f>IF($H42="",0,IF(AND(AC$6&gt;=$H42,AC$6&lt;=$I42),$G42,0))</f>
        <v/>
      </c>
      <c r="AD42" s="98">
        <f>IF($H42="",0,IF(AND(AD$6&gt;=$H42,AD$6&lt;=$I42),$G42,0))</f>
        <v/>
      </c>
      <c r="AE42" s="98">
        <f>IF($H42="",0,IF(AND(AE$6&gt;=$H42,AE$6&lt;=$I42),$G42,0))</f>
        <v/>
      </c>
      <c r="AF42" s="98">
        <f>IF($H42="",0,IF(AND(AF$6&gt;=$H42,AF$6&lt;=$I42),$G42,0))</f>
        <v/>
      </c>
      <c r="AG42" s="98">
        <f>IF($H42="",0,IF(AND(AG$6&gt;=$H42,AG$6&lt;=$I42),$G42,0))</f>
        <v/>
      </c>
      <c r="AH42" s="98">
        <f>IF($H42="",0,IF(AND(AH$6&gt;=$H42,AH$6&lt;=$I42),$G42,0))</f>
        <v/>
      </c>
      <c r="AI42" s="98">
        <f>IF($H42="",0,IF(AND(AI$6&gt;=$H42,AI$6&lt;=$I42),$G42,0))</f>
        <v/>
      </c>
      <c r="AJ42" s="98">
        <f>IF($H42="",0,IF(AND(AJ$6&gt;=$H42,AJ$6&lt;=$I42),$G42,0))</f>
        <v/>
      </c>
      <c r="AK42" s="98">
        <f>IF($H42="",0,IF(AND(AK$6&gt;=$H42,AK$6&lt;=$I42),$G42,0))</f>
        <v/>
      </c>
      <c r="AL42" s="98">
        <f>IF($H42="",0,IF(AND(AL$6&gt;=$H42,AL$6&lt;=$I42),$G42,0))</f>
        <v/>
      </c>
      <c r="AM42" s="98">
        <f>IF($H42="",0,IF(AND(AM$6&gt;=$H42,AM$6&lt;=$I42),$G42,0))</f>
        <v/>
      </c>
      <c r="AN42" s="98">
        <f>IF($H42="",0,IF(AND(AN$6&gt;=$H42,AN$6&lt;=$I42),$G42,0))</f>
        <v/>
      </c>
      <c r="AO42" s="98">
        <f>IF($H42="",0,IF(AND(AO$6&gt;=$H42,AO$6&lt;=$I42),$G42,0))</f>
        <v/>
      </c>
      <c r="AP42" s="98">
        <f>IF($H42="",0,IF(AND(AP$6&gt;=$H42,AP$6&lt;=$I42),$G42,0))</f>
        <v/>
      </c>
      <c r="AQ42" s="98">
        <f>IF($H42="",0,IF(AND(AQ$6&gt;=$H42,AQ$6&lt;=$I42),$G42,0))</f>
        <v/>
      </c>
      <c r="AR42" s="98">
        <f>IF($H42="",0,IF(AND(AR$6&gt;=$H42,AR$6&lt;=$I42),$G42,0))</f>
        <v/>
      </c>
      <c r="AS42" s="98">
        <f>IF($H42="",0,IF(AND(AS$6&gt;=$H42,AS$6&lt;=$I42),$G42,0))</f>
        <v/>
      </c>
      <c r="AT42" s="98">
        <f>IF($H42="",0,IF(AND(AT$6&gt;=$H42,AT$6&lt;=$I42),$G42,0))</f>
        <v/>
      </c>
      <c r="AU42" s="98">
        <f>IF($H42="",0,IF(AND(AU$6&gt;=$H42,AU$6&lt;=$I42),$G42,0))</f>
        <v/>
      </c>
      <c r="AV42" s="98">
        <f>IF($H42="",0,IF(AND(AV$6&gt;=$H42,AV$6&lt;=$I42),$G42,0))</f>
        <v/>
      </c>
      <c r="AW42" s="98">
        <f>IF($H42="",0,IF(AND(AW$6&gt;=$H42,AW$6&lt;=$I42),$G42,0))</f>
        <v/>
      </c>
      <c r="AX42" s="98">
        <f>IF($H42="",0,IF(AND(AX$6&gt;=$H42,AX$6&lt;=$I42),$G42,0))</f>
        <v/>
      </c>
      <c r="AY42" s="98">
        <f>IF($H42="",0,IF(AND(AY$6&gt;=$H42,AY$6&lt;=$I42),$G42,0))</f>
        <v/>
      </c>
      <c r="AZ42" s="98">
        <f>IF($H42="",0,IF(AND(AZ$6&gt;=$H42,AZ$6&lt;=$I42),$G42,0))</f>
        <v/>
      </c>
      <c r="BA42" s="98">
        <f>IF($H42="",0,IF(AND(BA$6&gt;=$H42,BA$6&lt;=$I42),$G42,0))</f>
        <v/>
      </c>
      <c r="BB42" s="98">
        <f>IF($H42="",0,IF(AND(BB$6&gt;=$H42,BB$6&lt;=$I42),$G42,0))</f>
        <v/>
      </c>
      <c r="BC42" s="98">
        <f>IF($H42="",0,IF(AND(BC$6&gt;=$H42,BC$6&lt;=$I42),$G42,0))</f>
        <v/>
      </c>
      <c r="BD42" s="98">
        <f>IF($H42="",0,IF(AND(BD$6&gt;=$H42,BD$6&lt;=$I42),$G42,0))</f>
        <v/>
      </c>
      <c r="BE42" s="98">
        <f>IF($H42="",0,IF(AND(BE$6&gt;=$H42,BE$6&lt;=$I42),$G42,0))</f>
        <v/>
      </c>
      <c r="BF42" s="98">
        <f>IF($H42="",0,IF(AND(BF$6&gt;=$H42,BF$6&lt;=$I42),$G42,0))</f>
        <v/>
      </c>
      <c r="BG42" s="98">
        <f>IF($H42="",0,IF(AND(BG$6&gt;=$H42,BG$6&lt;=$I42),$G42,0))</f>
        <v/>
      </c>
      <c r="BH42" s="98">
        <f>IF($H42="",0,IF(AND(BH$6&gt;=$H42,BH$6&lt;=$I42),$G42,0))</f>
        <v/>
      </c>
      <c r="BI42" s="98">
        <f>IF($H42="",0,IF(AND(BI$6&gt;=$H42,BI$6&lt;=$I42),$G42,0))</f>
        <v/>
      </c>
      <c r="BJ42" s="98">
        <f>IF($H42="",0,IF(AND(BJ$6&gt;=$H42,BJ$6&lt;=$I42),$G42,0))</f>
        <v/>
      </c>
      <c r="BK42" s="98">
        <f>IF($H42="",0,IF(AND(BK$6&gt;=$H42,BK$6&lt;=$I42),$G42,0))</f>
        <v/>
      </c>
      <c r="BL42" s="98">
        <f>IF($H42="",0,IF(AND(BL$6&gt;=$H42,BL$6&lt;=$I42),$G42,0))</f>
        <v/>
      </c>
      <c r="BM42" s="98">
        <f>IF($H42="",0,IF(AND(BM$6&gt;=$H42,BM$6&lt;=$I42),$G42,0))</f>
        <v/>
      </c>
      <c r="BN42" s="98">
        <f>IF($H42="",0,IF(AND(BN$6&gt;=$H42,BN$6&lt;=$I42),$G42,0))</f>
        <v/>
      </c>
      <c r="BO42" s="98">
        <f>IF($H42="",0,IF(AND(BO$6&gt;=$H42,BO$6&lt;=$I42),$G42,0))</f>
        <v/>
      </c>
      <c r="BP42" s="98">
        <f>IF($H42="",0,IF(AND(BP$6&gt;=$H42,BP$6&lt;=$I42),$G42,0))</f>
        <v/>
      </c>
      <c r="BQ42" s="98">
        <f>IF($H42="",0,IF(AND(BQ$6&gt;=$H42,BQ$6&lt;=$I42),$G42,0))</f>
        <v/>
      </c>
      <c r="BR42" s="98">
        <f>IF($H42="",0,IF(AND(BR$6&gt;=$H42,BR$6&lt;=$I42),$G42,0))</f>
        <v/>
      </c>
      <c r="BS42" s="98">
        <f>IF($H42="",0,IF(AND(BS$6&gt;=$H42,BS$6&lt;=$I42),$G42,0))</f>
        <v/>
      </c>
      <c r="BT42" s="98">
        <f>IF($H42="",0,IF(AND(BT$6&gt;=$H42,BT$6&lt;=$I42),$G42,0))</f>
        <v/>
      </c>
    </row>
    <row r="43">
      <c r="A43" s="74" t="n"/>
      <c r="B43" s="74" t="n"/>
      <c r="C43" s="74" t="n"/>
      <c r="D43" s="73" t="n"/>
      <c r="E43" s="76" t="n"/>
      <c r="F43" s="90" t="n"/>
      <c r="G43" s="84">
        <f>IF(OR($E43="",N($F43)&lt;=0),0,$E43/$F43)</f>
        <v/>
      </c>
      <c r="H43" s="96">
        <f>IF(OR($A43="",$B43="",$D43="",N($F43)&lt;=0),"",IFERROR(IF(DAY($D43)&gt;INDEX(CARTOES_FECHA,MATCH($B43,LISTA_CARTOES,0)),EDATE(DATE(YEAR($D43),MONTH($D43),1),1),DATE(YEAR($D43),MONTH($D43),1)),""))</f>
        <v/>
      </c>
      <c r="I43" s="96">
        <f>IF($H43="","",EDATE($H43,$F43-1))</f>
        <v/>
      </c>
      <c r="J43" s="97">
        <f>IF($H43="",0,MAX(0,MIN($F43,(YEAR($I43)*12+MONTH($I43))-(ANO_SEL*12+MES_SEL))))</f>
        <v/>
      </c>
      <c r="K43" s="84">
        <f>J43*G43</f>
        <v/>
      </c>
      <c r="M43" s="98">
        <f>IF($H43="",0,IF(AND(M$6&gt;=$H43,M$6&lt;=$I43),$G43,0))</f>
        <v/>
      </c>
      <c r="N43" s="98">
        <f>IF($H43="",0,IF(AND(N$6&gt;=$H43,N$6&lt;=$I43),$G43,0))</f>
        <v/>
      </c>
      <c r="O43" s="98">
        <f>IF($H43="",0,IF(AND(O$6&gt;=$H43,O$6&lt;=$I43),$G43,0))</f>
        <v/>
      </c>
      <c r="P43" s="98">
        <f>IF($H43="",0,IF(AND(P$6&gt;=$H43,P$6&lt;=$I43),$G43,0))</f>
        <v/>
      </c>
      <c r="Q43" s="98">
        <f>IF($H43="",0,IF(AND(Q$6&gt;=$H43,Q$6&lt;=$I43),$G43,0))</f>
        <v/>
      </c>
      <c r="R43" s="98">
        <f>IF($H43="",0,IF(AND(R$6&gt;=$H43,R$6&lt;=$I43),$G43,0))</f>
        <v/>
      </c>
      <c r="S43" s="98">
        <f>IF($H43="",0,IF(AND(S$6&gt;=$H43,S$6&lt;=$I43),$G43,0))</f>
        <v/>
      </c>
      <c r="T43" s="98">
        <f>IF($H43="",0,IF(AND(T$6&gt;=$H43,T$6&lt;=$I43),$G43,0))</f>
        <v/>
      </c>
      <c r="U43" s="98">
        <f>IF($H43="",0,IF(AND(U$6&gt;=$H43,U$6&lt;=$I43),$G43,0))</f>
        <v/>
      </c>
      <c r="V43" s="98">
        <f>IF($H43="",0,IF(AND(V$6&gt;=$H43,V$6&lt;=$I43),$G43,0))</f>
        <v/>
      </c>
      <c r="W43" s="98">
        <f>IF($H43="",0,IF(AND(W$6&gt;=$H43,W$6&lt;=$I43),$G43,0))</f>
        <v/>
      </c>
      <c r="X43" s="98">
        <f>IF($H43="",0,IF(AND(X$6&gt;=$H43,X$6&lt;=$I43),$G43,0))</f>
        <v/>
      </c>
      <c r="Y43" s="98">
        <f>IF($H43="",0,IF(AND(Y$6&gt;=$H43,Y$6&lt;=$I43),$G43,0))</f>
        <v/>
      </c>
      <c r="Z43" s="98">
        <f>IF($H43="",0,IF(AND(Z$6&gt;=$H43,Z$6&lt;=$I43),$G43,0))</f>
        <v/>
      </c>
      <c r="AA43" s="98">
        <f>IF($H43="",0,IF(AND(AA$6&gt;=$H43,AA$6&lt;=$I43),$G43,0))</f>
        <v/>
      </c>
      <c r="AB43" s="98">
        <f>IF($H43="",0,IF(AND(AB$6&gt;=$H43,AB$6&lt;=$I43),$G43,0))</f>
        <v/>
      </c>
      <c r="AC43" s="98">
        <f>IF($H43="",0,IF(AND(AC$6&gt;=$H43,AC$6&lt;=$I43),$G43,0))</f>
        <v/>
      </c>
      <c r="AD43" s="98">
        <f>IF($H43="",0,IF(AND(AD$6&gt;=$H43,AD$6&lt;=$I43),$G43,0))</f>
        <v/>
      </c>
      <c r="AE43" s="98">
        <f>IF($H43="",0,IF(AND(AE$6&gt;=$H43,AE$6&lt;=$I43),$G43,0))</f>
        <v/>
      </c>
      <c r="AF43" s="98">
        <f>IF($H43="",0,IF(AND(AF$6&gt;=$H43,AF$6&lt;=$I43),$G43,0))</f>
        <v/>
      </c>
      <c r="AG43" s="98">
        <f>IF($H43="",0,IF(AND(AG$6&gt;=$H43,AG$6&lt;=$I43),$G43,0))</f>
        <v/>
      </c>
      <c r="AH43" s="98">
        <f>IF($H43="",0,IF(AND(AH$6&gt;=$H43,AH$6&lt;=$I43),$G43,0))</f>
        <v/>
      </c>
      <c r="AI43" s="98">
        <f>IF($H43="",0,IF(AND(AI$6&gt;=$H43,AI$6&lt;=$I43),$G43,0))</f>
        <v/>
      </c>
      <c r="AJ43" s="98">
        <f>IF($H43="",0,IF(AND(AJ$6&gt;=$H43,AJ$6&lt;=$I43),$G43,0))</f>
        <v/>
      </c>
      <c r="AK43" s="98">
        <f>IF($H43="",0,IF(AND(AK$6&gt;=$H43,AK$6&lt;=$I43),$G43,0))</f>
        <v/>
      </c>
      <c r="AL43" s="98">
        <f>IF($H43="",0,IF(AND(AL$6&gt;=$H43,AL$6&lt;=$I43),$G43,0))</f>
        <v/>
      </c>
      <c r="AM43" s="98">
        <f>IF($H43="",0,IF(AND(AM$6&gt;=$H43,AM$6&lt;=$I43),$G43,0))</f>
        <v/>
      </c>
      <c r="AN43" s="98">
        <f>IF($H43="",0,IF(AND(AN$6&gt;=$H43,AN$6&lt;=$I43),$G43,0))</f>
        <v/>
      </c>
      <c r="AO43" s="98">
        <f>IF($H43="",0,IF(AND(AO$6&gt;=$H43,AO$6&lt;=$I43),$G43,0))</f>
        <v/>
      </c>
      <c r="AP43" s="98">
        <f>IF($H43="",0,IF(AND(AP$6&gt;=$H43,AP$6&lt;=$I43),$G43,0))</f>
        <v/>
      </c>
      <c r="AQ43" s="98">
        <f>IF($H43="",0,IF(AND(AQ$6&gt;=$H43,AQ$6&lt;=$I43),$G43,0))</f>
        <v/>
      </c>
      <c r="AR43" s="98">
        <f>IF($H43="",0,IF(AND(AR$6&gt;=$H43,AR$6&lt;=$I43),$G43,0))</f>
        <v/>
      </c>
      <c r="AS43" s="98">
        <f>IF($H43="",0,IF(AND(AS$6&gt;=$H43,AS$6&lt;=$I43),$G43,0))</f>
        <v/>
      </c>
      <c r="AT43" s="98">
        <f>IF($H43="",0,IF(AND(AT$6&gt;=$H43,AT$6&lt;=$I43),$G43,0))</f>
        <v/>
      </c>
      <c r="AU43" s="98">
        <f>IF($H43="",0,IF(AND(AU$6&gt;=$H43,AU$6&lt;=$I43),$G43,0))</f>
        <v/>
      </c>
      <c r="AV43" s="98">
        <f>IF($H43="",0,IF(AND(AV$6&gt;=$H43,AV$6&lt;=$I43),$G43,0))</f>
        <v/>
      </c>
      <c r="AW43" s="98">
        <f>IF($H43="",0,IF(AND(AW$6&gt;=$H43,AW$6&lt;=$I43),$G43,0))</f>
        <v/>
      </c>
      <c r="AX43" s="98">
        <f>IF($H43="",0,IF(AND(AX$6&gt;=$H43,AX$6&lt;=$I43),$G43,0))</f>
        <v/>
      </c>
      <c r="AY43" s="98">
        <f>IF($H43="",0,IF(AND(AY$6&gt;=$H43,AY$6&lt;=$I43),$G43,0))</f>
        <v/>
      </c>
      <c r="AZ43" s="98">
        <f>IF($H43="",0,IF(AND(AZ$6&gt;=$H43,AZ$6&lt;=$I43),$G43,0))</f>
        <v/>
      </c>
      <c r="BA43" s="98">
        <f>IF($H43="",0,IF(AND(BA$6&gt;=$H43,BA$6&lt;=$I43),$G43,0))</f>
        <v/>
      </c>
      <c r="BB43" s="98">
        <f>IF($H43="",0,IF(AND(BB$6&gt;=$H43,BB$6&lt;=$I43),$G43,0))</f>
        <v/>
      </c>
      <c r="BC43" s="98">
        <f>IF($H43="",0,IF(AND(BC$6&gt;=$H43,BC$6&lt;=$I43),$G43,0))</f>
        <v/>
      </c>
      <c r="BD43" s="98">
        <f>IF($H43="",0,IF(AND(BD$6&gt;=$H43,BD$6&lt;=$I43),$G43,0))</f>
        <v/>
      </c>
      <c r="BE43" s="98">
        <f>IF($H43="",0,IF(AND(BE$6&gt;=$H43,BE$6&lt;=$I43),$G43,0))</f>
        <v/>
      </c>
      <c r="BF43" s="98">
        <f>IF($H43="",0,IF(AND(BF$6&gt;=$H43,BF$6&lt;=$I43),$G43,0))</f>
        <v/>
      </c>
      <c r="BG43" s="98">
        <f>IF($H43="",0,IF(AND(BG$6&gt;=$H43,BG$6&lt;=$I43),$G43,0))</f>
        <v/>
      </c>
      <c r="BH43" s="98">
        <f>IF($H43="",0,IF(AND(BH$6&gt;=$H43,BH$6&lt;=$I43),$G43,0))</f>
        <v/>
      </c>
      <c r="BI43" s="98">
        <f>IF($H43="",0,IF(AND(BI$6&gt;=$H43,BI$6&lt;=$I43),$G43,0))</f>
        <v/>
      </c>
      <c r="BJ43" s="98">
        <f>IF($H43="",0,IF(AND(BJ$6&gt;=$H43,BJ$6&lt;=$I43),$G43,0))</f>
        <v/>
      </c>
      <c r="BK43" s="98">
        <f>IF($H43="",0,IF(AND(BK$6&gt;=$H43,BK$6&lt;=$I43),$G43,0))</f>
        <v/>
      </c>
      <c r="BL43" s="98">
        <f>IF($H43="",0,IF(AND(BL$6&gt;=$H43,BL$6&lt;=$I43),$G43,0))</f>
        <v/>
      </c>
      <c r="BM43" s="98">
        <f>IF($H43="",0,IF(AND(BM$6&gt;=$H43,BM$6&lt;=$I43),$G43,0))</f>
        <v/>
      </c>
      <c r="BN43" s="98">
        <f>IF($H43="",0,IF(AND(BN$6&gt;=$H43,BN$6&lt;=$I43),$G43,0))</f>
        <v/>
      </c>
      <c r="BO43" s="98">
        <f>IF($H43="",0,IF(AND(BO$6&gt;=$H43,BO$6&lt;=$I43),$G43,0))</f>
        <v/>
      </c>
      <c r="BP43" s="98">
        <f>IF($H43="",0,IF(AND(BP$6&gt;=$H43,BP$6&lt;=$I43),$G43,0))</f>
        <v/>
      </c>
      <c r="BQ43" s="98">
        <f>IF($H43="",0,IF(AND(BQ$6&gt;=$H43,BQ$6&lt;=$I43),$G43,0))</f>
        <v/>
      </c>
      <c r="BR43" s="98">
        <f>IF($H43="",0,IF(AND(BR$6&gt;=$H43,BR$6&lt;=$I43),$G43,0))</f>
        <v/>
      </c>
      <c r="BS43" s="98">
        <f>IF($H43="",0,IF(AND(BS$6&gt;=$H43,BS$6&lt;=$I43),$G43,0))</f>
        <v/>
      </c>
      <c r="BT43" s="98">
        <f>IF($H43="",0,IF(AND(BT$6&gt;=$H43,BT$6&lt;=$I43),$G43,0))</f>
        <v/>
      </c>
    </row>
    <row r="44">
      <c r="A44" s="74" t="n"/>
      <c r="B44" s="74" t="n"/>
      <c r="C44" s="74" t="n"/>
      <c r="D44" s="73" t="n"/>
      <c r="E44" s="76" t="n"/>
      <c r="F44" s="90" t="n"/>
      <c r="G44" s="84">
        <f>IF(OR($E44="",N($F44)&lt;=0),0,$E44/$F44)</f>
        <v/>
      </c>
      <c r="H44" s="96">
        <f>IF(OR($A44="",$B44="",$D44="",N($F44)&lt;=0),"",IFERROR(IF(DAY($D44)&gt;INDEX(CARTOES_FECHA,MATCH($B44,LISTA_CARTOES,0)),EDATE(DATE(YEAR($D44),MONTH($D44),1),1),DATE(YEAR($D44),MONTH($D44),1)),""))</f>
        <v/>
      </c>
      <c r="I44" s="96">
        <f>IF($H44="","",EDATE($H44,$F44-1))</f>
        <v/>
      </c>
      <c r="J44" s="97">
        <f>IF($H44="",0,MAX(0,MIN($F44,(YEAR($I44)*12+MONTH($I44))-(ANO_SEL*12+MES_SEL))))</f>
        <v/>
      </c>
      <c r="K44" s="84">
        <f>J44*G44</f>
        <v/>
      </c>
      <c r="M44" s="98">
        <f>IF($H44="",0,IF(AND(M$6&gt;=$H44,M$6&lt;=$I44),$G44,0))</f>
        <v/>
      </c>
      <c r="N44" s="98">
        <f>IF($H44="",0,IF(AND(N$6&gt;=$H44,N$6&lt;=$I44),$G44,0))</f>
        <v/>
      </c>
      <c r="O44" s="98">
        <f>IF($H44="",0,IF(AND(O$6&gt;=$H44,O$6&lt;=$I44),$G44,0))</f>
        <v/>
      </c>
      <c r="P44" s="98">
        <f>IF($H44="",0,IF(AND(P$6&gt;=$H44,P$6&lt;=$I44),$G44,0))</f>
        <v/>
      </c>
      <c r="Q44" s="98">
        <f>IF($H44="",0,IF(AND(Q$6&gt;=$H44,Q$6&lt;=$I44),$G44,0))</f>
        <v/>
      </c>
      <c r="R44" s="98">
        <f>IF($H44="",0,IF(AND(R$6&gt;=$H44,R$6&lt;=$I44),$G44,0))</f>
        <v/>
      </c>
      <c r="S44" s="98">
        <f>IF($H44="",0,IF(AND(S$6&gt;=$H44,S$6&lt;=$I44),$G44,0))</f>
        <v/>
      </c>
      <c r="T44" s="98">
        <f>IF($H44="",0,IF(AND(T$6&gt;=$H44,T$6&lt;=$I44),$G44,0))</f>
        <v/>
      </c>
      <c r="U44" s="98">
        <f>IF($H44="",0,IF(AND(U$6&gt;=$H44,U$6&lt;=$I44),$G44,0))</f>
        <v/>
      </c>
      <c r="V44" s="98">
        <f>IF($H44="",0,IF(AND(V$6&gt;=$H44,V$6&lt;=$I44),$G44,0))</f>
        <v/>
      </c>
      <c r="W44" s="98">
        <f>IF($H44="",0,IF(AND(W$6&gt;=$H44,W$6&lt;=$I44),$G44,0))</f>
        <v/>
      </c>
      <c r="X44" s="98">
        <f>IF($H44="",0,IF(AND(X$6&gt;=$H44,X$6&lt;=$I44),$G44,0))</f>
        <v/>
      </c>
      <c r="Y44" s="98">
        <f>IF($H44="",0,IF(AND(Y$6&gt;=$H44,Y$6&lt;=$I44),$G44,0))</f>
        <v/>
      </c>
      <c r="Z44" s="98">
        <f>IF($H44="",0,IF(AND(Z$6&gt;=$H44,Z$6&lt;=$I44),$G44,0))</f>
        <v/>
      </c>
      <c r="AA44" s="98">
        <f>IF($H44="",0,IF(AND(AA$6&gt;=$H44,AA$6&lt;=$I44),$G44,0))</f>
        <v/>
      </c>
      <c r="AB44" s="98">
        <f>IF($H44="",0,IF(AND(AB$6&gt;=$H44,AB$6&lt;=$I44),$G44,0))</f>
        <v/>
      </c>
      <c r="AC44" s="98">
        <f>IF($H44="",0,IF(AND(AC$6&gt;=$H44,AC$6&lt;=$I44),$G44,0))</f>
        <v/>
      </c>
      <c r="AD44" s="98">
        <f>IF($H44="",0,IF(AND(AD$6&gt;=$H44,AD$6&lt;=$I44),$G44,0))</f>
        <v/>
      </c>
      <c r="AE44" s="98">
        <f>IF($H44="",0,IF(AND(AE$6&gt;=$H44,AE$6&lt;=$I44),$G44,0))</f>
        <v/>
      </c>
      <c r="AF44" s="98">
        <f>IF($H44="",0,IF(AND(AF$6&gt;=$H44,AF$6&lt;=$I44),$G44,0))</f>
        <v/>
      </c>
      <c r="AG44" s="98">
        <f>IF($H44="",0,IF(AND(AG$6&gt;=$H44,AG$6&lt;=$I44),$G44,0))</f>
        <v/>
      </c>
      <c r="AH44" s="98">
        <f>IF($H44="",0,IF(AND(AH$6&gt;=$H44,AH$6&lt;=$I44),$G44,0))</f>
        <v/>
      </c>
      <c r="AI44" s="98">
        <f>IF($H44="",0,IF(AND(AI$6&gt;=$H44,AI$6&lt;=$I44),$G44,0))</f>
        <v/>
      </c>
      <c r="AJ44" s="98">
        <f>IF($H44="",0,IF(AND(AJ$6&gt;=$H44,AJ$6&lt;=$I44),$G44,0))</f>
        <v/>
      </c>
      <c r="AK44" s="98">
        <f>IF($H44="",0,IF(AND(AK$6&gt;=$H44,AK$6&lt;=$I44),$G44,0))</f>
        <v/>
      </c>
      <c r="AL44" s="98">
        <f>IF($H44="",0,IF(AND(AL$6&gt;=$H44,AL$6&lt;=$I44),$G44,0))</f>
        <v/>
      </c>
      <c r="AM44" s="98">
        <f>IF($H44="",0,IF(AND(AM$6&gt;=$H44,AM$6&lt;=$I44),$G44,0))</f>
        <v/>
      </c>
      <c r="AN44" s="98">
        <f>IF($H44="",0,IF(AND(AN$6&gt;=$H44,AN$6&lt;=$I44),$G44,0))</f>
        <v/>
      </c>
      <c r="AO44" s="98">
        <f>IF($H44="",0,IF(AND(AO$6&gt;=$H44,AO$6&lt;=$I44),$G44,0))</f>
        <v/>
      </c>
      <c r="AP44" s="98">
        <f>IF($H44="",0,IF(AND(AP$6&gt;=$H44,AP$6&lt;=$I44),$G44,0))</f>
        <v/>
      </c>
      <c r="AQ44" s="98">
        <f>IF($H44="",0,IF(AND(AQ$6&gt;=$H44,AQ$6&lt;=$I44),$G44,0))</f>
        <v/>
      </c>
      <c r="AR44" s="98">
        <f>IF($H44="",0,IF(AND(AR$6&gt;=$H44,AR$6&lt;=$I44),$G44,0))</f>
        <v/>
      </c>
      <c r="AS44" s="98">
        <f>IF($H44="",0,IF(AND(AS$6&gt;=$H44,AS$6&lt;=$I44),$G44,0))</f>
        <v/>
      </c>
      <c r="AT44" s="98">
        <f>IF($H44="",0,IF(AND(AT$6&gt;=$H44,AT$6&lt;=$I44),$G44,0))</f>
        <v/>
      </c>
      <c r="AU44" s="98">
        <f>IF($H44="",0,IF(AND(AU$6&gt;=$H44,AU$6&lt;=$I44),$G44,0))</f>
        <v/>
      </c>
      <c r="AV44" s="98">
        <f>IF($H44="",0,IF(AND(AV$6&gt;=$H44,AV$6&lt;=$I44),$G44,0))</f>
        <v/>
      </c>
      <c r="AW44" s="98">
        <f>IF($H44="",0,IF(AND(AW$6&gt;=$H44,AW$6&lt;=$I44),$G44,0))</f>
        <v/>
      </c>
      <c r="AX44" s="98">
        <f>IF($H44="",0,IF(AND(AX$6&gt;=$H44,AX$6&lt;=$I44),$G44,0))</f>
        <v/>
      </c>
      <c r="AY44" s="98">
        <f>IF($H44="",0,IF(AND(AY$6&gt;=$H44,AY$6&lt;=$I44),$G44,0))</f>
        <v/>
      </c>
      <c r="AZ44" s="98">
        <f>IF($H44="",0,IF(AND(AZ$6&gt;=$H44,AZ$6&lt;=$I44),$G44,0))</f>
        <v/>
      </c>
      <c r="BA44" s="98">
        <f>IF($H44="",0,IF(AND(BA$6&gt;=$H44,BA$6&lt;=$I44),$G44,0))</f>
        <v/>
      </c>
      <c r="BB44" s="98">
        <f>IF($H44="",0,IF(AND(BB$6&gt;=$H44,BB$6&lt;=$I44),$G44,0))</f>
        <v/>
      </c>
      <c r="BC44" s="98">
        <f>IF($H44="",0,IF(AND(BC$6&gt;=$H44,BC$6&lt;=$I44),$G44,0))</f>
        <v/>
      </c>
      <c r="BD44" s="98">
        <f>IF($H44="",0,IF(AND(BD$6&gt;=$H44,BD$6&lt;=$I44),$G44,0))</f>
        <v/>
      </c>
      <c r="BE44" s="98">
        <f>IF($H44="",0,IF(AND(BE$6&gt;=$H44,BE$6&lt;=$I44),$G44,0))</f>
        <v/>
      </c>
      <c r="BF44" s="98">
        <f>IF($H44="",0,IF(AND(BF$6&gt;=$H44,BF$6&lt;=$I44),$G44,0))</f>
        <v/>
      </c>
      <c r="BG44" s="98">
        <f>IF($H44="",0,IF(AND(BG$6&gt;=$H44,BG$6&lt;=$I44),$G44,0))</f>
        <v/>
      </c>
      <c r="BH44" s="98">
        <f>IF($H44="",0,IF(AND(BH$6&gt;=$H44,BH$6&lt;=$I44),$G44,0))</f>
        <v/>
      </c>
      <c r="BI44" s="98">
        <f>IF($H44="",0,IF(AND(BI$6&gt;=$H44,BI$6&lt;=$I44),$G44,0))</f>
        <v/>
      </c>
      <c r="BJ44" s="98">
        <f>IF($H44="",0,IF(AND(BJ$6&gt;=$H44,BJ$6&lt;=$I44),$G44,0))</f>
        <v/>
      </c>
      <c r="BK44" s="98">
        <f>IF($H44="",0,IF(AND(BK$6&gt;=$H44,BK$6&lt;=$I44),$G44,0))</f>
        <v/>
      </c>
      <c r="BL44" s="98">
        <f>IF($H44="",0,IF(AND(BL$6&gt;=$H44,BL$6&lt;=$I44),$G44,0))</f>
        <v/>
      </c>
      <c r="BM44" s="98">
        <f>IF($H44="",0,IF(AND(BM$6&gt;=$H44,BM$6&lt;=$I44),$G44,0))</f>
        <v/>
      </c>
      <c r="BN44" s="98">
        <f>IF($H44="",0,IF(AND(BN$6&gt;=$H44,BN$6&lt;=$I44),$G44,0))</f>
        <v/>
      </c>
      <c r="BO44" s="98">
        <f>IF($H44="",0,IF(AND(BO$6&gt;=$H44,BO$6&lt;=$I44),$G44,0))</f>
        <v/>
      </c>
      <c r="BP44" s="98">
        <f>IF($H44="",0,IF(AND(BP$6&gt;=$H44,BP$6&lt;=$I44),$G44,0))</f>
        <v/>
      </c>
      <c r="BQ44" s="98">
        <f>IF($H44="",0,IF(AND(BQ$6&gt;=$H44,BQ$6&lt;=$I44),$G44,0))</f>
        <v/>
      </c>
      <c r="BR44" s="98">
        <f>IF($H44="",0,IF(AND(BR$6&gt;=$H44,BR$6&lt;=$I44),$G44,0))</f>
        <v/>
      </c>
      <c r="BS44" s="98">
        <f>IF($H44="",0,IF(AND(BS$6&gt;=$H44,BS$6&lt;=$I44),$G44,0))</f>
        <v/>
      </c>
      <c r="BT44" s="98">
        <f>IF($H44="",0,IF(AND(BT$6&gt;=$H44,BT$6&lt;=$I44),$G44,0))</f>
        <v/>
      </c>
    </row>
    <row r="45">
      <c r="A45" s="74" t="n"/>
      <c r="B45" s="74" t="n"/>
      <c r="C45" s="74" t="n"/>
      <c r="D45" s="73" t="n"/>
      <c r="E45" s="76" t="n"/>
      <c r="F45" s="90" t="n"/>
      <c r="G45" s="84">
        <f>IF(OR($E45="",N($F45)&lt;=0),0,$E45/$F45)</f>
        <v/>
      </c>
      <c r="H45" s="96">
        <f>IF(OR($A45="",$B45="",$D45="",N($F45)&lt;=0),"",IFERROR(IF(DAY($D45)&gt;INDEX(CARTOES_FECHA,MATCH($B45,LISTA_CARTOES,0)),EDATE(DATE(YEAR($D45),MONTH($D45),1),1),DATE(YEAR($D45),MONTH($D45),1)),""))</f>
        <v/>
      </c>
      <c r="I45" s="96">
        <f>IF($H45="","",EDATE($H45,$F45-1))</f>
        <v/>
      </c>
      <c r="J45" s="97">
        <f>IF($H45="",0,MAX(0,MIN($F45,(YEAR($I45)*12+MONTH($I45))-(ANO_SEL*12+MES_SEL))))</f>
        <v/>
      </c>
      <c r="K45" s="84">
        <f>J45*G45</f>
        <v/>
      </c>
      <c r="M45" s="98">
        <f>IF($H45="",0,IF(AND(M$6&gt;=$H45,M$6&lt;=$I45),$G45,0))</f>
        <v/>
      </c>
      <c r="N45" s="98">
        <f>IF($H45="",0,IF(AND(N$6&gt;=$H45,N$6&lt;=$I45),$G45,0))</f>
        <v/>
      </c>
      <c r="O45" s="98">
        <f>IF($H45="",0,IF(AND(O$6&gt;=$H45,O$6&lt;=$I45),$G45,0))</f>
        <v/>
      </c>
      <c r="P45" s="98">
        <f>IF($H45="",0,IF(AND(P$6&gt;=$H45,P$6&lt;=$I45),$G45,0))</f>
        <v/>
      </c>
      <c r="Q45" s="98">
        <f>IF($H45="",0,IF(AND(Q$6&gt;=$H45,Q$6&lt;=$I45),$G45,0))</f>
        <v/>
      </c>
      <c r="R45" s="98">
        <f>IF($H45="",0,IF(AND(R$6&gt;=$H45,R$6&lt;=$I45),$G45,0))</f>
        <v/>
      </c>
      <c r="S45" s="98">
        <f>IF($H45="",0,IF(AND(S$6&gt;=$H45,S$6&lt;=$I45),$G45,0))</f>
        <v/>
      </c>
      <c r="T45" s="98">
        <f>IF($H45="",0,IF(AND(T$6&gt;=$H45,T$6&lt;=$I45),$G45,0))</f>
        <v/>
      </c>
      <c r="U45" s="98">
        <f>IF($H45="",0,IF(AND(U$6&gt;=$H45,U$6&lt;=$I45),$G45,0))</f>
        <v/>
      </c>
      <c r="V45" s="98">
        <f>IF($H45="",0,IF(AND(V$6&gt;=$H45,V$6&lt;=$I45),$G45,0))</f>
        <v/>
      </c>
      <c r="W45" s="98">
        <f>IF($H45="",0,IF(AND(W$6&gt;=$H45,W$6&lt;=$I45),$G45,0))</f>
        <v/>
      </c>
      <c r="X45" s="98">
        <f>IF($H45="",0,IF(AND(X$6&gt;=$H45,X$6&lt;=$I45),$G45,0))</f>
        <v/>
      </c>
      <c r="Y45" s="98">
        <f>IF($H45="",0,IF(AND(Y$6&gt;=$H45,Y$6&lt;=$I45),$G45,0))</f>
        <v/>
      </c>
      <c r="Z45" s="98">
        <f>IF($H45="",0,IF(AND(Z$6&gt;=$H45,Z$6&lt;=$I45),$G45,0))</f>
        <v/>
      </c>
      <c r="AA45" s="98">
        <f>IF($H45="",0,IF(AND(AA$6&gt;=$H45,AA$6&lt;=$I45),$G45,0))</f>
        <v/>
      </c>
      <c r="AB45" s="98">
        <f>IF($H45="",0,IF(AND(AB$6&gt;=$H45,AB$6&lt;=$I45),$G45,0))</f>
        <v/>
      </c>
      <c r="AC45" s="98">
        <f>IF($H45="",0,IF(AND(AC$6&gt;=$H45,AC$6&lt;=$I45),$G45,0))</f>
        <v/>
      </c>
      <c r="AD45" s="98">
        <f>IF($H45="",0,IF(AND(AD$6&gt;=$H45,AD$6&lt;=$I45),$G45,0))</f>
        <v/>
      </c>
      <c r="AE45" s="98">
        <f>IF($H45="",0,IF(AND(AE$6&gt;=$H45,AE$6&lt;=$I45),$G45,0))</f>
        <v/>
      </c>
      <c r="AF45" s="98">
        <f>IF($H45="",0,IF(AND(AF$6&gt;=$H45,AF$6&lt;=$I45),$G45,0))</f>
        <v/>
      </c>
      <c r="AG45" s="98">
        <f>IF($H45="",0,IF(AND(AG$6&gt;=$H45,AG$6&lt;=$I45),$G45,0))</f>
        <v/>
      </c>
      <c r="AH45" s="98">
        <f>IF($H45="",0,IF(AND(AH$6&gt;=$H45,AH$6&lt;=$I45),$G45,0))</f>
        <v/>
      </c>
      <c r="AI45" s="98">
        <f>IF($H45="",0,IF(AND(AI$6&gt;=$H45,AI$6&lt;=$I45),$G45,0))</f>
        <v/>
      </c>
      <c r="AJ45" s="98">
        <f>IF($H45="",0,IF(AND(AJ$6&gt;=$H45,AJ$6&lt;=$I45),$G45,0))</f>
        <v/>
      </c>
      <c r="AK45" s="98">
        <f>IF($H45="",0,IF(AND(AK$6&gt;=$H45,AK$6&lt;=$I45),$G45,0))</f>
        <v/>
      </c>
      <c r="AL45" s="98">
        <f>IF($H45="",0,IF(AND(AL$6&gt;=$H45,AL$6&lt;=$I45),$G45,0))</f>
        <v/>
      </c>
      <c r="AM45" s="98">
        <f>IF($H45="",0,IF(AND(AM$6&gt;=$H45,AM$6&lt;=$I45),$G45,0))</f>
        <v/>
      </c>
      <c r="AN45" s="98">
        <f>IF($H45="",0,IF(AND(AN$6&gt;=$H45,AN$6&lt;=$I45),$G45,0))</f>
        <v/>
      </c>
      <c r="AO45" s="98">
        <f>IF($H45="",0,IF(AND(AO$6&gt;=$H45,AO$6&lt;=$I45),$G45,0))</f>
        <v/>
      </c>
      <c r="AP45" s="98">
        <f>IF($H45="",0,IF(AND(AP$6&gt;=$H45,AP$6&lt;=$I45),$G45,0))</f>
        <v/>
      </c>
      <c r="AQ45" s="98">
        <f>IF($H45="",0,IF(AND(AQ$6&gt;=$H45,AQ$6&lt;=$I45),$G45,0))</f>
        <v/>
      </c>
      <c r="AR45" s="98">
        <f>IF($H45="",0,IF(AND(AR$6&gt;=$H45,AR$6&lt;=$I45),$G45,0))</f>
        <v/>
      </c>
      <c r="AS45" s="98">
        <f>IF($H45="",0,IF(AND(AS$6&gt;=$H45,AS$6&lt;=$I45),$G45,0))</f>
        <v/>
      </c>
      <c r="AT45" s="98">
        <f>IF($H45="",0,IF(AND(AT$6&gt;=$H45,AT$6&lt;=$I45),$G45,0))</f>
        <v/>
      </c>
      <c r="AU45" s="98">
        <f>IF($H45="",0,IF(AND(AU$6&gt;=$H45,AU$6&lt;=$I45),$G45,0))</f>
        <v/>
      </c>
      <c r="AV45" s="98">
        <f>IF($H45="",0,IF(AND(AV$6&gt;=$H45,AV$6&lt;=$I45),$G45,0))</f>
        <v/>
      </c>
      <c r="AW45" s="98">
        <f>IF($H45="",0,IF(AND(AW$6&gt;=$H45,AW$6&lt;=$I45),$G45,0))</f>
        <v/>
      </c>
      <c r="AX45" s="98">
        <f>IF($H45="",0,IF(AND(AX$6&gt;=$H45,AX$6&lt;=$I45),$G45,0))</f>
        <v/>
      </c>
      <c r="AY45" s="98">
        <f>IF($H45="",0,IF(AND(AY$6&gt;=$H45,AY$6&lt;=$I45),$G45,0))</f>
        <v/>
      </c>
      <c r="AZ45" s="98">
        <f>IF($H45="",0,IF(AND(AZ$6&gt;=$H45,AZ$6&lt;=$I45),$G45,0))</f>
        <v/>
      </c>
      <c r="BA45" s="98">
        <f>IF($H45="",0,IF(AND(BA$6&gt;=$H45,BA$6&lt;=$I45),$G45,0))</f>
        <v/>
      </c>
      <c r="BB45" s="98">
        <f>IF($H45="",0,IF(AND(BB$6&gt;=$H45,BB$6&lt;=$I45),$G45,0))</f>
        <v/>
      </c>
      <c r="BC45" s="98">
        <f>IF($H45="",0,IF(AND(BC$6&gt;=$H45,BC$6&lt;=$I45),$G45,0))</f>
        <v/>
      </c>
      <c r="BD45" s="98">
        <f>IF($H45="",0,IF(AND(BD$6&gt;=$H45,BD$6&lt;=$I45),$G45,0))</f>
        <v/>
      </c>
      <c r="BE45" s="98">
        <f>IF($H45="",0,IF(AND(BE$6&gt;=$H45,BE$6&lt;=$I45),$G45,0))</f>
        <v/>
      </c>
      <c r="BF45" s="98">
        <f>IF($H45="",0,IF(AND(BF$6&gt;=$H45,BF$6&lt;=$I45),$G45,0))</f>
        <v/>
      </c>
      <c r="BG45" s="98">
        <f>IF($H45="",0,IF(AND(BG$6&gt;=$H45,BG$6&lt;=$I45),$G45,0))</f>
        <v/>
      </c>
      <c r="BH45" s="98">
        <f>IF($H45="",0,IF(AND(BH$6&gt;=$H45,BH$6&lt;=$I45),$G45,0))</f>
        <v/>
      </c>
      <c r="BI45" s="98">
        <f>IF($H45="",0,IF(AND(BI$6&gt;=$H45,BI$6&lt;=$I45),$G45,0))</f>
        <v/>
      </c>
      <c r="BJ45" s="98">
        <f>IF($H45="",0,IF(AND(BJ$6&gt;=$H45,BJ$6&lt;=$I45),$G45,0))</f>
        <v/>
      </c>
      <c r="BK45" s="98">
        <f>IF($H45="",0,IF(AND(BK$6&gt;=$H45,BK$6&lt;=$I45),$G45,0))</f>
        <v/>
      </c>
      <c r="BL45" s="98">
        <f>IF($H45="",0,IF(AND(BL$6&gt;=$H45,BL$6&lt;=$I45),$G45,0))</f>
        <v/>
      </c>
      <c r="BM45" s="98">
        <f>IF($H45="",0,IF(AND(BM$6&gt;=$H45,BM$6&lt;=$I45),$G45,0))</f>
        <v/>
      </c>
      <c r="BN45" s="98">
        <f>IF($H45="",0,IF(AND(BN$6&gt;=$H45,BN$6&lt;=$I45),$G45,0))</f>
        <v/>
      </c>
      <c r="BO45" s="98">
        <f>IF($H45="",0,IF(AND(BO$6&gt;=$H45,BO$6&lt;=$I45),$G45,0))</f>
        <v/>
      </c>
      <c r="BP45" s="98">
        <f>IF($H45="",0,IF(AND(BP$6&gt;=$H45,BP$6&lt;=$I45),$G45,0))</f>
        <v/>
      </c>
      <c r="BQ45" s="98">
        <f>IF($H45="",0,IF(AND(BQ$6&gt;=$H45,BQ$6&lt;=$I45),$G45,0))</f>
        <v/>
      </c>
      <c r="BR45" s="98">
        <f>IF($H45="",0,IF(AND(BR$6&gt;=$H45,BR$6&lt;=$I45),$G45,0))</f>
        <v/>
      </c>
      <c r="BS45" s="98">
        <f>IF($H45="",0,IF(AND(BS$6&gt;=$H45,BS$6&lt;=$I45),$G45,0))</f>
        <v/>
      </c>
      <c r="BT45" s="98">
        <f>IF($H45="",0,IF(AND(BT$6&gt;=$H45,BT$6&lt;=$I45),$G45,0))</f>
        <v/>
      </c>
    </row>
    <row r="46">
      <c r="A46" s="74" t="n"/>
      <c r="B46" s="74" t="n"/>
      <c r="C46" s="74" t="n"/>
      <c r="D46" s="73" t="n"/>
      <c r="E46" s="76" t="n"/>
      <c r="F46" s="90" t="n"/>
      <c r="G46" s="84">
        <f>IF(OR($E46="",N($F46)&lt;=0),0,$E46/$F46)</f>
        <v/>
      </c>
      <c r="H46" s="96">
        <f>IF(OR($A46="",$B46="",$D46="",N($F46)&lt;=0),"",IFERROR(IF(DAY($D46)&gt;INDEX(CARTOES_FECHA,MATCH($B46,LISTA_CARTOES,0)),EDATE(DATE(YEAR($D46),MONTH($D46),1),1),DATE(YEAR($D46),MONTH($D46),1)),""))</f>
        <v/>
      </c>
      <c r="I46" s="96">
        <f>IF($H46="","",EDATE($H46,$F46-1))</f>
        <v/>
      </c>
      <c r="J46" s="97">
        <f>IF($H46="",0,MAX(0,MIN($F46,(YEAR($I46)*12+MONTH($I46))-(ANO_SEL*12+MES_SEL))))</f>
        <v/>
      </c>
      <c r="K46" s="84">
        <f>J46*G46</f>
        <v/>
      </c>
      <c r="M46" s="98">
        <f>IF($H46="",0,IF(AND(M$6&gt;=$H46,M$6&lt;=$I46),$G46,0))</f>
        <v/>
      </c>
      <c r="N46" s="98">
        <f>IF($H46="",0,IF(AND(N$6&gt;=$H46,N$6&lt;=$I46),$G46,0))</f>
        <v/>
      </c>
      <c r="O46" s="98">
        <f>IF($H46="",0,IF(AND(O$6&gt;=$H46,O$6&lt;=$I46),$G46,0))</f>
        <v/>
      </c>
      <c r="P46" s="98">
        <f>IF($H46="",0,IF(AND(P$6&gt;=$H46,P$6&lt;=$I46),$G46,0))</f>
        <v/>
      </c>
      <c r="Q46" s="98">
        <f>IF($H46="",0,IF(AND(Q$6&gt;=$H46,Q$6&lt;=$I46),$G46,0))</f>
        <v/>
      </c>
      <c r="R46" s="98">
        <f>IF($H46="",0,IF(AND(R$6&gt;=$H46,R$6&lt;=$I46),$G46,0))</f>
        <v/>
      </c>
      <c r="S46" s="98">
        <f>IF($H46="",0,IF(AND(S$6&gt;=$H46,S$6&lt;=$I46),$G46,0))</f>
        <v/>
      </c>
      <c r="T46" s="98">
        <f>IF($H46="",0,IF(AND(T$6&gt;=$H46,T$6&lt;=$I46),$G46,0))</f>
        <v/>
      </c>
      <c r="U46" s="98">
        <f>IF($H46="",0,IF(AND(U$6&gt;=$H46,U$6&lt;=$I46),$G46,0))</f>
        <v/>
      </c>
      <c r="V46" s="98">
        <f>IF($H46="",0,IF(AND(V$6&gt;=$H46,V$6&lt;=$I46),$G46,0))</f>
        <v/>
      </c>
      <c r="W46" s="98">
        <f>IF($H46="",0,IF(AND(W$6&gt;=$H46,W$6&lt;=$I46),$G46,0))</f>
        <v/>
      </c>
      <c r="X46" s="98">
        <f>IF($H46="",0,IF(AND(X$6&gt;=$H46,X$6&lt;=$I46),$G46,0))</f>
        <v/>
      </c>
      <c r="Y46" s="98">
        <f>IF($H46="",0,IF(AND(Y$6&gt;=$H46,Y$6&lt;=$I46),$G46,0))</f>
        <v/>
      </c>
      <c r="Z46" s="98">
        <f>IF($H46="",0,IF(AND(Z$6&gt;=$H46,Z$6&lt;=$I46),$G46,0))</f>
        <v/>
      </c>
      <c r="AA46" s="98">
        <f>IF($H46="",0,IF(AND(AA$6&gt;=$H46,AA$6&lt;=$I46),$G46,0))</f>
        <v/>
      </c>
      <c r="AB46" s="98">
        <f>IF($H46="",0,IF(AND(AB$6&gt;=$H46,AB$6&lt;=$I46),$G46,0))</f>
        <v/>
      </c>
      <c r="AC46" s="98">
        <f>IF($H46="",0,IF(AND(AC$6&gt;=$H46,AC$6&lt;=$I46),$G46,0))</f>
        <v/>
      </c>
      <c r="AD46" s="98">
        <f>IF($H46="",0,IF(AND(AD$6&gt;=$H46,AD$6&lt;=$I46),$G46,0))</f>
        <v/>
      </c>
      <c r="AE46" s="98">
        <f>IF($H46="",0,IF(AND(AE$6&gt;=$H46,AE$6&lt;=$I46),$G46,0))</f>
        <v/>
      </c>
      <c r="AF46" s="98">
        <f>IF($H46="",0,IF(AND(AF$6&gt;=$H46,AF$6&lt;=$I46),$G46,0))</f>
        <v/>
      </c>
      <c r="AG46" s="98">
        <f>IF($H46="",0,IF(AND(AG$6&gt;=$H46,AG$6&lt;=$I46),$G46,0))</f>
        <v/>
      </c>
      <c r="AH46" s="98">
        <f>IF($H46="",0,IF(AND(AH$6&gt;=$H46,AH$6&lt;=$I46),$G46,0))</f>
        <v/>
      </c>
      <c r="AI46" s="98">
        <f>IF($H46="",0,IF(AND(AI$6&gt;=$H46,AI$6&lt;=$I46),$G46,0))</f>
        <v/>
      </c>
      <c r="AJ46" s="98">
        <f>IF($H46="",0,IF(AND(AJ$6&gt;=$H46,AJ$6&lt;=$I46),$G46,0))</f>
        <v/>
      </c>
      <c r="AK46" s="98">
        <f>IF($H46="",0,IF(AND(AK$6&gt;=$H46,AK$6&lt;=$I46),$G46,0))</f>
        <v/>
      </c>
      <c r="AL46" s="98">
        <f>IF($H46="",0,IF(AND(AL$6&gt;=$H46,AL$6&lt;=$I46),$G46,0))</f>
        <v/>
      </c>
      <c r="AM46" s="98">
        <f>IF($H46="",0,IF(AND(AM$6&gt;=$H46,AM$6&lt;=$I46),$G46,0))</f>
        <v/>
      </c>
      <c r="AN46" s="98">
        <f>IF($H46="",0,IF(AND(AN$6&gt;=$H46,AN$6&lt;=$I46),$G46,0))</f>
        <v/>
      </c>
      <c r="AO46" s="98">
        <f>IF($H46="",0,IF(AND(AO$6&gt;=$H46,AO$6&lt;=$I46),$G46,0))</f>
        <v/>
      </c>
      <c r="AP46" s="98">
        <f>IF($H46="",0,IF(AND(AP$6&gt;=$H46,AP$6&lt;=$I46),$G46,0))</f>
        <v/>
      </c>
      <c r="AQ46" s="98">
        <f>IF($H46="",0,IF(AND(AQ$6&gt;=$H46,AQ$6&lt;=$I46),$G46,0))</f>
        <v/>
      </c>
      <c r="AR46" s="98">
        <f>IF($H46="",0,IF(AND(AR$6&gt;=$H46,AR$6&lt;=$I46),$G46,0))</f>
        <v/>
      </c>
      <c r="AS46" s="98">
        <f>IF($H46="",0,IF(AND(AS$6&gt;=$H46,AS$6&lt;=$I46),$G46,0))</f>
        <v/>
      </c>
      <c r="AT46" s="98">
        <f>IF($H46="",0,IF(AND(AT$6&gt;=$H46,AT$6&lt;=$I46),$G46,0))</f>
        <v/>
      </c>
      <c r="AU46" s="98">
        <f>IF($H46="",0,IF(AND(AU$6&gt;=$H46,AU$6&lt;=$I46),$G46,0))</f>
        <v/>
      </c>
      <c r="AV46" s="98">
        <f>IF($H46="",0,IF(AND(AV$6&gt;=$H46,AV$6&lt;=$I46),$G46,0))</f>
        <v/>
      </c>
      <c r="AW46" s="98">
        <f>IF($H46="",0,IF(AND(AW$6&gt;=$H46,AW$6&lt;=$I46),$G46,0))</f>
        <v/>
      </c>
      <c r="AX46" s="98">
        <f>IF($H46="",0,IF(AND(AX$6&gt;=$H46,AX$6&lt;=$I46),$G46,0))</f>
        <v/>
      </c>
      <c r="AY46" s="98">
        <f>IF($H46="",0,IF(AND(AY$6&gt;=$H46,AY$6&lt;=$I46),$G46,0))</f>
        <v/>
      </c>
      <c r="AZ46" s="98">
        <f>IF($H46="",0,IF(AND(AZ$6&gt;=$H46,AZ$6&lt;=$I46),$G46,0))</f>
        <v/>
      </c>
      <c r="BA46" s="98">
        <f>IF($H46="",0,IF(AND(BA$6&gt;=$H46,BA$6&lt;=$I46),$G46,0))</f>
        <v/>
      </c>
      <c r="BB46" s="98">
        <f>IF($H46="",0,IF(AND(BB$6&gt;=$H46,BB$6&lt;=$I46),$G46,0))</f>
        <v/>
      </c>
      <c r="BC46" s="98">
        <f>IF($H46="",0,IF(AND(BC$6&gt;=$H46,BC$6&lt;=$I46),$G46,0))</f>
        <v/>
      </c>
      <c r="BD46" s="98">
        <f>IF($H46="",0,IF(AND(BD$6&gt;=$H46,BD$6&lt;=$I46),$G46,0))</f>
        <v/>
      </c>
      <c r="BE46" s="98">
        <f>IF($H46="",0,IF(AND(BE$6&gt;=$H46,BE$6&lt;=$I46),$G46,0))</f>
        <v/>
      </c>
      <c r="BF46" s="98">
        <f>IF($H46="",0,IF(AND(BF$6&gt;=$H46,BF$6&lt;=$I46),$G46,0))</f>
        <v/>
      </c>
      <c r="BG46" s="98">
        <f>IF($H46="",0,IF(AND(BG$6&gt;=$H46,BG$6&lt;=$I46),$G46,0))</f>
        <v/>
      </c>
      <c r="BH46" s="98">
        <f>IF($H46="",0,IF(AND(BH$6&gt;=$H46,BH$6&lt;=$I46),$G46,0))</f>
        <v/>
      </c>
      <c r="BI46" s="98">
        <f>IF($H46="",0,IF(AND(BI$6&gt;=$H46,BI$6&lt;=$I46),$G46,0))</f>
        <v/>
      </c>
      <c r="BJ46" s="98">
        <f>IF($H46="",0,IF(AND(BJ$6&gt;=$H46,BJ$6&lt;=$I46),$G46,0))</f>
        <v/>
      </c>
      <c r="BK46" s="98">
        <f>IF($H46="",0,IF(AND(BK$6&gt;=$H46,BK$6&lt;=$I46),$G46,0))</f>
        <v/>
      </c>
      <c r="BL46" s="98">
        <f>IF($H46="",0,IF(AND(BL$6&gt;=$H46,BL$6&lt;=$I46),$G46,0))</f>
        <v/>
      </c>
      <c r="BM46" s="98">
        <f>IF($H46="",0,IF(AND(BM$6&gt;=$H46,BM$6&lt;=$I46),$G46,0))</f>
        <v/>
      </c>
      <c r="BN46" s="98">
        <f>IF($H46="",0,IF(AND(BN$6&gt;=$H46,BN$6&lt;=$I46),$G46,0))</f>
        <v/>
      </c>
      <c r="BO46" s="98">
        <f>IF($H46="",0,IF(AND(BO$6&gt;=$H46,BO$6&lt;=$I46),$G46,0))</f>
        <v/>
      </c>
      <c r="BP46" s="98">
        <f>IF($H46="",0,IF(AND(BP$6&gt;=$H46,BP$6&lt;=$I46),$G46,0))</f>
        <v/>
      </c>
      <c r="BQ46" s="98">
        <f>IF($H46="",0,IF(AND(BQ$6&gt;=$H46,BQ$6&lt;=$I46),$G46,0))</f>
        <v/>
      </c>
      <c r="BR46" s="98">
        <f>IF($H46="",0,IF(AND(BR$6&gt;=$H46,BR$6&lt;=$I46),$G46,0))</f>
        <v/>
      </c>
      <c r="BS46" s="98">
        <f>IF($H46="",0,IF(AND(BS$6&gt;=$H46,BS$6&lt;=$I46),$G46,0))</f>
        <v/>
      </c>
      <c r="BT46" s="98">
        <f>IF($H46="",0,IF(AND(BT$6&gt;=$H46,BT$6&lt;=$I46),$G46,0))</f>
        <v/>
      </c>
    </row>
    <row r="47">
      <c r="A47" s="74" t="n"/>
      <c r="B47" s="74" t="n"/>
      <c r="C47" s="74" t="n"/>
      <c r="D47" s="73" t="n"/>
      <c r="E47" s="76" t="n"/>
      <c r="F47" s="90" t="n"/>
      <c r="G47" s="84">
        <f>IF(OR($E47="",N($F47)&lt;=0),0,$E47/$F47)</f>
        <v/>
      </c>
      <c r="H47" s="96">
        <f>IF(OR($A47="",$B47="",$D47="",N($F47)&lt;=0),"",IFERROR(IF(DAY($D47)&gt;INDEX(CARTOES_FECHA,MATCH($B47,LISTA_CARTOES,0)),EDATE(DATE(YEAR($D47),MONTH($D47),1),1),DATE(YEAR($D47),MONTH($D47),1)),""))</f>
        <v/>
      </c>
      <c r="I47" s="96">
        <f>IF($H47="","",EDATE($H47,$F47-1))</f>
        <v/>
      </c>
      <c r="J47" s="97">
        <f>IF($H47="",0,MAX(0,MIN($F47,(YEAR($I47)*12+MONTH($I47))-(ANO_SEL*12+MES_SEL))))</f>
        <v/>
      </c>
      <c r="K47" s="84">
        <f>J47*G47</f>
        <v/>
      </c>
      <c r="M47" s="98">
        <f>IF($H47="",0,IF(AND(M$6&gt;=$H47,M$6&lt;=$I47),$G47,0))</f>
        <v/>
      </c>
      <c r="N47" s="98">
        <f>IF($H47="",0,IF(AND(N$6&gt;=$H47,N$6&lt;=$I47),$G47,0))</f>
        <v/>
      </c>
      <c r="O47" s="98">
        <f>IF($H47="",0,IF(AND(O$6&gt;=$H47,O$6&lt;=$I47),$G47,0))</f>
        <v/>
      </c>
      <c r="P47" s="98">
        <f>IF($H47="",0,IF(AND(P$6&gt;=$H47,P$6&lt;=$I47),$G47,0))</f>
        <v/>
      </c>
      <c r="Q47" s="98">
        <f>IF($H47="",0,IF(AND(Q$6&gt;=$H47,Q$6&lt;=$I47),$G47,0))</f>
        <v/>
      </c>
      <c r="R47" s="98">
        <f>IF($H47="",0,IF(AND(R$6&gt;=$H47,R$6&lt;=$I47),$G47,0))</f>
        <v/>
      </c>
      <c r="S47" s="98">
        <f>IF($H47="",0,IF(AND(S$6&gt;=$H47,S$6&lt;=$I47),$G47,0))</f>
        <v/>
      </c>
      <c r="T47" s="98">
        <f>IF($H47="",0,IF(AND(T$6&gt;=$H47,T$6&lt;=$I47),$G47,0))</f>
        <v/>
      </c>
      <c r="U47" s="98">
        <f>IF($H47="",0,IF(AND(U$6&gt;=$H47,U$6&lt;=$I47),$G47,0))</f>
        <v/>
      </c>
      <c r="V47" s="98">
        <f>IF($H47="",0,IF(AND(V$6&gt;=$H47,V$6&lt;=$I47),$G47,0))</f>
        <v/>
      </c>
      <c r="W47" s="98">
        <f>IF($H47="",0,IF(AND(W$6&gt;=$H47,W$6&lt;=$I47),$G47,0))</f>
        <v/>
      </c>
      <c r="X47" s="98">
        <f>IF($H47="",0,IF(AND(X$6&gt;=$H47,X$6&lt;=$I47),$G47,0))</f>
        <v/>
      </c>
      <c r="Y47" s="98">
        <f>IF($H47="",0,IF(AND(Y$6&gt;=$H47,Y$6&lt;=$I47),$G47,0))</f>
        <v/>
      </c>
      <c r="Z47" s="98">
        <f>IF($H47="",0,IF(AND(Z$6&gt;=$H47,Z$6&lt;=$I47),$G47,0))</f>
        <v/>
      </c>
      <c r="AA47" s="98">
        <f>IF($H47="",0,IF(AND(AA$6&gt;=$H47,AA$6&lt;=$I47),$G47,0))</f>
        <v/>
      </c>
      <c r="AB47" s="98">
        <f>IF($H47="",0,IF(AND(AB$6&gt;=$H47,AB$6&lt;=$I47),$G47,0))</f>
        <v/>
      </c>
      <c r="AC47" s="98">
        <f>IF($H47="",0,IF(AND(AC$6&gt;=$H47,AC$6&lt;=$I47),$G47,0))</f>
        <v/>
      </c>
      <c r="AD47" s="98">
        <f>IF($H47="",0,IF(AND(AD$6&gt;=$H47,AD$6&lt;=$I47),$G47,0))</f>
        <v/>
      </c>
      <c r="AE47" s="98">
        <f>IF($H47="",0,IF(AND(AE$6&gt;=$H47,AE$6&lt;=$I47),$G47,0))</f>
        <v/>
      </c>
      <c r="AF47" s="98">
        <f>IF($H47="",0,IF(AND(AF$6&gt;=$H47,AF$6&lt;=$I47),$G47,0))</f>
        <v/>
      </c>
      <c r="AG47" s="98">
        <f>IF($H47="",0,IF(AND(AG$6&gt;=$H47,AG$6&lt;=$I47),$G47,0))</f>
        <v/>
      </c>
      <c r="AH47" s="98">
        <f>IF($H47="",0,IF(AND(AH$6&gt;=$H47,AH$6&lt;=$I47),$G47,0))</f>
        <v/>
      </c>
      <c r="AI47" s="98">
        <f>IF($H47="",0,IF(AND(AI$6&gt;=$H47,AI$6&lt;=$I47),$G47,0))</f>
        <v/>
      </c>
      <c r="AJ47" s="98">
        <f>IF($H47="",0,IF(AND(AJ$6&gt;=$H47,AJ$6&lt;=$I47),$G47,0))</f>
        <v/>
      </c>
      <c r="AK47" s="98">
        <f>IF($H47="",0,IF(AND(AK$6&gt;=$H47,AK$6&lt;=$I47),$G47,0))</f>
        <v/>
      </c>
      <c r="AL47" s="98">
        <f>IF($H47="",0,IF(AND(AL$6&gt;=$H47,AL$6&lt;=$I47),$G47,0))</f>
        <v/>
      </c>
      <c r="AM47" s="98">
        <f>IF($H47="",0,IF(AND(AM$6&gt;=$H47,AM$6&lt;=$I47),$G47,0))</f>
        <v/>
      </c>
      <c r="AN47" s="98">
        <f>IF($H47="",0,IF(AND(AN$6&gt;=$H47,AN$6&lt;=$I47),$G47,0))</f>
        <v/>
      </c>
      <c r="AO47" s="98">
        <f>IF($H47="",0,IF(AND(AO$6&gt;=$H47,AO$6&lt;=$I47),$G47,0))</f>
        <v/>
      </c>
      <c r="AP47" s="98">
        <f>IF($H47="",0,IF(AND(AP$6&gt;=$H47,AP$6&lt;=$I47),$G47,0))</f>
        <v/>
      </c>
      <c r="AQ47" s="98">
        <f>IF($H47="",0,IF(AND(AQ$6&gt;=$H47,AQ$6&lt;=$I47),$G47,0))</f>
        <v/>
      </c>
      <c r="AR47" s="98">
        <f>IF($H47="",0,IF(AND(AR$6&gt;=$H47,AR$6&lt;=$I47),$G47,0))</f>
        <v/>
      </c>
      <c r="AS47" s="98">
        <f>IF($H47="",0,IF(AND(AS$6&gt;=$H47,AS$6&lt;=$I47),$G47,0))</f>
        <v/>
      </c>
      <c r="AT47" s="98">
        <f>IF($H47="",0,IF(AND(AT$6&gt;=$H47,AT$6&lt;=$I47),$G47,0))</f>
        <v/>
      </c>
      <c r="AU47" s="98">
        <f>IF($H47="",0,IF(AND(AU$6&gt;=$H47,AU$6&lt;=$I47),$G47,0))</f>
        <v/>
      </c>
      <c r="AV47" s="98">
        <f>IF($H47="",0,IF(AND(AV$6&gt;=$H47,AV$6&lt;=$I47),$G47,0))</f>
        <v/>
      </c>
      <c r="AW47" s="98">
        <f>IF($H47="",0,IF(AND(AW$6&gt;=$H47,AW$6&lt;=$I47),$G47,0))</f>
        <v/>
      </c>
      <c r="AX47" s="98">
        <f>IF($H47="",0,IF(AND(AX$6&gt;=$H47,AX$6&lt;=$I47),$G47,0))</f>
        <v/>
      </c>
      <c r="AY47" s="98">
        <f>IF($H47="",0,IF(AND(AY$6&gt;=$H47,AY$6&lt;=$I47),$G47,0))</f>
        <v/>
      </c>
      <c r="AZ47" s="98">
        <f>IF($H47="",0,IF(AND(AZ$6&gt;=$H47,AZ$6&lt;=$I47),$G47,0))</f>
        <v/>
      </c>
      <c r="BA47" s="98">
        <f>IF($H47="",0,IF(AND(BA$6&gt;=$H47,BA$6&lt;=$I47),$G47,0))</f>
        <v/>
      </c>
      <c r="BB47" s="98">
        <f>IF($H47="",0,IF(AND(BB$6&gt;=$H47,BB$6&lt;=$I47),$G47,0))</f>
        <v/>
      </c>
      <c r="BC47" s="98">
        <f>IF($H47="",0,IF(AND(BC$6&gt;=$H47,BC$6&lt;=$I47),$G47,0))</f>
        <v/>
      </c>
      <c r="BD47" s="98">
        <f>IF($H47="",0,IF(AND(BD$6&gt;=$H47,BD$6&lt;=$I47),$G47,0))</f>
        <v/>
      </c>
      <c r="BE47" s="98">
        <f>IF($H47="",0,IF(AND(BE$6&gt;=$H47,BE$6&lt;=$I47),$G47,0))</f>
        <v/>
      </c>
      <c r="BF47" s="98">
        <f>IF($H47="",0,IF(AND(BF$6&gt;=$H47,BF$6&lt;=$I47),$G47,0))</f>
        <v/>
      </c>
      <c r="BG47" s="98">
        <f>IF($H47="",0,IF(AND(BG$6&gt;=$H47,BG$6&lt;=$I47),$G47,0))</f>
        <v/>
      </c>
      <c r="BH47" s="98">
        <f>IF($H47="",0,IF(AND(BH$6&gt;=$H47,BH$6&lt;=$I47),$G47,0))</f>
        <v/>
      </c>
      <c r="BI47" s="98">
        <f>IF($H47="",0,IF(AND(BI$6&gt;=$H47,BI$6&lt;=$I47),$G47,0))</f>
        <v/>
      </c>
      <c r="BJ47" s="98">
        <f>IF($H47="",0,IF(AND(BJ$6&gt;=$H47,BJ$6&lt;=$I47),$G47,0))</f>
        <v/>
      </c>
      <c r="BK47" s="98">
        <f>IF($H47="",0,IF(AND(BK$6&gt;=$H47,BK$6&lt;=$I47),$G47,0))</f>
        <v/>
      </c>
      <c r="BL47" s="98">
        <f>IF($H47="",0,IF(AND(BL$6&gt;=$H47,BL$6&lt;=$I47),$G47,0))</f>
        <v/>
      </c>
      <c r="BM47" s="98">
        <f>IF($H47="",0,IF(AND(BM$6&gt;=$H47,BM$6&lt;=$I47),$G47,0))</f>
        <v/>
      </c>
      <c r="BN47" s="98">
        <f>IF($H47="",0,IF(AND(BN$6&gt;=$H47,BN$6&lt;=$I47),$G47,0))</f>
        <v/>
      </c>
      <c r="BO47" s="98">
        <f>IF($H47="",0,IF(AND(BO$6&gt;=$H47,BO$6&lt;=$I47),$G47,0))</f>
        <v/>
      </c>
      <c r="BP47" s="98">
        <f>IF($H47="",0,IF(AND(BP$6&gt;=$H47,BP$6&lt;=$I47),$G47,0))</f>
        <v/>
      </c>
      <c r="BQ47" s="98">
        <f>IF($H47="",0,IF(AND(BQ$6&gt;=$H47,BQ$6&lt;=$I47),$G47,0))</f>
        <v/>
      </c>
      <c r="BR47" s="98">
        <f>IF($H47="",0,IF(AND(BR$6&gt;=$H47,BR$6&lt;=$I47),$G47,0))</f>
        <v/>
      </c>
      <c r="BS47" s="98">
        <f>IF($H47="",0,IF(AND(BS$6&gt;=$H47,BS$6&lt;=$I47),$G47,0))</f>
        <v/>
      </c>
      <c r="BT47" s="98">
        <f>IF($H47="",0,IF(AND(BT$6&gt;=$H47,BT$6&lt;=$I47),$G47,0))</f>
        <v/>
      </c>
    </row>
    <row r="48">
      <c r="A48" s="74" t="n"/>
      <c r="B48" s="74" t="n"/>
      <c r="C48" s="74" t="n"/>
      <c r="D48" s="73" t="n"/>
      <c r="E48" s="76" t="n"/>
      <c r="F48" s="90" t="n"/>
      <c r="G48" s="84">
        <f>IF(OR($E48="",N($F48)&lt;=0),0,$E48/$F48)</f>
        <v/>
      </c>
      <c r="H48" s="96">
        <f>IF(OR($A48="",$B48="",$D48="",N($F48)&lt;=0),"",IFERROR(IF(DAY($D48)&gt;INDEX(CARTOES_FECHA,MATCH($B48,LISTA_CARTOES,0)),EDATE(DATE(YEAR($D48),MONTH($D48),1),1),DATE(YEAR($D48),MONTH($D48),1)),""))</f>
        <v/>
      </c>
      <c r="I48" s="96">
        <f>IF($H48="","",EDATE($H48,$F48-1))</f>
        <v/>
      </c>
      <c r="J48" s="97">
        <f>IF($H48="",0,MAX(0,MIN($F48,(YEAR($I48)*12+MONTH($I48))-(ANO_SEL*12+MES_SEL))))</f>
        <v/>
      </c>
      <c r="K48" s="84">
        <f>J48*G48</f>
        <v/>
      </c>
      <c r="M48" s="98">
        <f>IF($H48="",0,IF(AND(M$6&gt;=$H48,M$6&lt;=$I48),$G48,0))</f>
        <v/>
      </c>
      <c r="N48" s="98">
        <f>IF($H48="",0,IF(AND(N$6&gt;=$H48,N$6&lt;=$I48),$G48,0))</f>
        <v/>
      </c>
      <c r="O48" s="98">
        <f>IF($H48="",0,IF(AND(O$6&gt;=$H48,O$6&lt;=$I48),$G48,0))</f>
        <v/>
      </c>
      <c r="P48" s="98">
        <f>IF($H48="",0,IF(AND(P$6&gt;=$H48,P$6&lt;=$I48),$G48,0))</f>
        <v/>
      </c>
      <c r="Q48" s="98">
        <f>IF($H48="",0,IF(AND(Q$6&gt;=$H48,Q$6&lt;=$I48),$G48,0))</f>
        <v/>
      </c>
      <c r="R48" s="98">
        <f>IF($H48="",0,IF(AND(R$6&gt;=$H48,R$6&lt;=$I48),$G48,0))</f>
        <v/>
      </c>
      <c r="S48" s="98">
        <f>IF($H48="",0,IF(AND(S$6&gt;=$H48,S$6&lt;=$I48),$G48,0))</f>
        <v/>
      </c>
      <c r="T48" s="98">
        <f>IF($H48="",0,IF(AND(T$6&gt;=$H48,T$6&lt;=$I48),$G48,0))</f>
        <v/>
      </c>
      <c r="U48" s="98">
        <f>IF($H48="",0,IF(AND(U$6&gt;=$H48,U$6&lt;=$I48),$G48,0))</f>
        <v/>
      </c>
      <c r="V48" s="98">
        <f>IF($H48="",0,IF(AND(V$6&gt;=$H48,V$6&lt;=$I48),$G48,0))</f>
        <v/>
      </c>
      <c r="W48" s="98">
        <f>IF($H48="",0,IF(AND(W$6&gt;=$H48,W$6&lt;=$I48),$G48,0))</f>
        <v/>
      </c>
      <c r="X48" s="98">
        <f>IF($H48="",0,IF(AND(X$6&gt;=$H48,X$6&lt;=$I48),$G48,0))</f>
        <v/>
      </c>
      <c r="Y48" s="98">
        <f>IF($H48="",0,IF(AND(Y$6&gt;=$H48,Y$6&lt;=$I48),$G48,0))</f>
        <v/>
      </c>
      <c r="Z48" s="98">
        <f>IF($H48="",0,IF(AND(Z$6&gt;=$H48,Z$6&lt;=$I48),$G48,0))</f>
        <v/>
      </c>
      <c r="AA48" s="98">
        <f>IF($H48="",0,IF(AND(AA$6&gt;=$H48,AA$6&lt;=$I48),$G48,0))</f>
        <v/>
      </c>
      <c r="AB48" s="98">
        <f>IF($H48="",0,IF(AND(AB$6&gt;=$H48,AB$6&lt;=$I48),$G48,0))</f>
        <v/>
      </c>
      <c r="AC48" s="98">
        <f>IF($H48="",0,IF(AND(AC$6&gt;=$H48,AC$6&lt;=$I48),$G48,0))</f>
        <v/>
      </c>
      <c r="AD48" s="98">
        <f>IF($H48="",0,IF(AND(AD$6&gt;=$H48,AD$6&lt;=$I48),$G48,0))</f>
        <v/>
      </c>
      <c r="AE48" s="98">
        <f>IF($H48="",0,IF(AND(AE$6&gt;=$H48,AE$6&lt;=$I48),$G48,0))</f>
        <v/>
      </c>
      <c r="AF48" s="98">
        <f>IF($H48="",0,IF(AND(AF$6&gt;=$H48,AF$6&lt;=$I48),$G48,0))</f>
        <v/>
      </c>
      <c r="AG48" s="98">
        <f>IF($H48="",0,IF(AND(AG$6&gt;=$H48,AG$6&lt;=$I48),$G48,0))</f>
        <v/>
      </c>
      <c r="AH48" s="98">
        <f>IF($H48="",0,IF(AND(AH$6&gt;=$H48,AH$6&lt;=$I48),$G48,0))</f>
        <v/>
      </c>
      <c r="AI48" s="98">
        <f>IF($H48="",0,IF(AND(AI$6&gt;=$H48,AI$6&lt;=$I48),$G48,0))</f>
        <v/>
      </c>
      <c r="AJ48" s="98">
        <f>IF($H48="",0,IF(AND(AJ$6&gt;=$H48,AJ$6&lt;=$I48),$G48,0))</f>
        <v/>
      </c>
      <c r="AK48" s="98">
        <f>IF($H48="",0,IF(AND(AK$6&gt;=$H48,AK$6&lt;=$I48),$G48,0))</f>
        <v/>
      </c>
      <c r="AL48" s="98">
        <f>IF($H48="",0,IF(AND(AL$6&gt;=$H48,AL$6&lt;=$I48),$G48,0))</f>
        <v/>
      </c>
      <c r="AM48" s="98">
        <f>IF($H48="",0,IF(AND(AM$6&gt;=$H48,AM$6&lt;=$I48),$G48,0))</f>
        <v/>
      </c>
      <c r="AN48" s="98">
        <f>IF($H48="",0,IF(AND(AN$6&gt;=$H48,AN$6&lt;=$I48),$G48,0))</f>
        <v/>
      </c>
      <c r="AO48" s="98">
        <f>IF($H48="",0,IF(AND(AO$6&gt;=$H48,AO$6&lt;=$I48),$G48,0))</f>
        <v/>
      </c>
      <c r="AP48" s="98">
        <f>IF($H48="",0,IF(AND(AP$6&gt;=$H48,AP$6&lt;=$I48),$G48,0))</f>
        <v/>
      </c>
      <c r="AQ48" s="98">
        <f>IF($H48="",0,IF(AND(AQ$6&gt;=$H48,AQ$6&lt;=$I48),$G48,0))</f>
        <v/>
      </c>
      <c r="AR48" s="98">
        <f>IF($H48="",0,IF(AND(AR$6&gt;=$H48,AR$6&lt;=$I48),$G48,0))</f>
        <v/>
      </c>
      <c r="AS48" s="98">
        <f>IF($H48="",0,IF(AND(AS$6&gt;=$H48,AS$6&lt;=$I48),$G48,0))</f>
        <v/>
      </c>
      <c r="AT48" s="98">
        <f>IF($H48="",0,IF(AND(AT$6&gt;=$H48,AT$6&lt;=$I48),$G48,0))</f>
        <v/>
      </c>
      <c r="AU48" s="98">
        <f>IF($H48="",0,IF(AND(AU$6&gt;=$H48,AU$6&lt;=$I48),$G48,0))</f>
        <v/>
      </c>
      <c r="AV48" s="98">
        <f>IF($H48="",0,IF(AND(AV$6&gt;=$H48,AV$6&lt;=$I48),$G48,0))</f>
        <v/>
      </c>
      <c r="AW48" s="98">
        <f>IF($H48="",0,IF(AND(AW$6&gt;=$H48,AW$6&lt;=$I48),$G48,0))</f>
        <v/>
      </c>
      <c r="AX48" s="98">
        <f>IF($H48="",0,IF(AND(AX$6&gt;=$H48,AX$6&lt;=$I48),$G48,0))</f>
        <v/>
      </c>
      <c r="AY48" s="98">
        <f>IF($H48="",0,IF(AND(AY$6&gt;=$H48,AY$6&lt;=$I48),$G48,0))</f>
        <v/>
      </c>
      <c r="AZ48" s="98">
        <f>IF($H48="",0,IF(AND(AZ$6&gt;=$H48,AZ$6&lt;=$I48),$G48,0))</f>
        <v/>
      </c>
      <c r="BA48" s="98">
        <f>IF($H48="",0,IF(AND(BA$6&gt;=$H48,BA$6&lt;=$I48),$G48,0))</f>
        <v/>
      </c>
      <c r="BB48" s="98">
        <f>IF($H48="",0,IF(AND(BB$6&gt;=$H48,BB$6&lt;=$I48),$G48,0))</f>
        <v/>
      </c>
      <c r="BC48" s="98">
        <f>IF($H48="",0,IF(AND(BC$6&gt;=$H48,BC$6&lt;=$I48),$G48,0))</f>
        <v/>
      </c>
      <c r="BD48" s="98">
        <f>IF($H48="",0,IF(AND(BD$6&gt;=$H48,BD$6&lt;=$I48),$G48,0))</f>
        <v/>
      </c>
      <c r="BE48" s="98">
        <f>IF($H48="",0,IF(AND(BE$6&gt;=$H48,BE$6&lt;=$I48),$G48,0))</f>
        <v/>
      </c>
      <c r="BF48" s="98">
        <f>IF($H48="",0,IF(AND(BF$6&gt;=$H48,BF$6&lt;=$I48),$G48,0))</f>
        <v/>
      </c>
      <c r="BG48" s="98">
        <f>IF($H48="",0,IF(AND(BG$6&gt;=$H48,BG$6&lt;=$I48),$G48,0))</f>
        <v/>
      </c>
      <c r="BH48" s="98">
        <f>IF($H48="",0,IF(AND(BH$6&gt;=$H48,BH$6&lt;=$I48),$G48,0))</f>
        <v/>
      </c>
      <c r="BI48" s="98">
        <f>IF($H48="",0,IF(AND(BI$6&gt;=$H48,BI$6&lt;=$I48),$G48,0))</f>
        <v/>
      </c>
      <c r="BJ48" s="98">
        <f>IF($H48="",0,IF(AND(BJ$6&gt;=$H48,BJ$6&lt;=$I48),$G48,0))</f>
        <v/>
      </c>
      <c r="BK48" s="98">
        <f>IF($H48="",0,IF(AND(BK$6&gt;=$H48,BK$6&lt;=$I48),$G48,0))</f>
        <v/>
      </c>
      <c r="BL48" s="98">
        <f>IF($H48="",0,IF(AND(BL$6&gt;=$H48,BL$6&lt;=$I48),$G48,0))</f>
        <v/>
      </c>
      <c r="BM48" s="98">
        <f>IF($H48="",0,IF(AND(BM$6&gt;=$H48,BM$6&lt;=$I48),$G48,0))</f>
        <v/>
      </c>
      <c r="BN48" s="98">
        <f>IF($H48="",0,IF(AND(BN$6&gt;=$H48,BN$6&lt;=$I48),$G48,0))</f>
        <v/>
      </c>
      <c r="BO48" s="98">
        <f>IF($H48="",0,IF(AND(BO$6&gt;=$H48,BO$6&lt;=$I48),$G48,0))</f>
        <v/>
      </c>
      <c r="BP48" s="98">
        <f>IF($H48="",0,IF(AND(BP$6&gt;=$H48,BP$6&lt;=$I48),$G48,0))</f>
        <v/>
      </c>
      <c r="BQ48" s="98">
        <f>IF($H48="",0,IF(AND(BQ$6&gt;=$H48,BQ$6&lt;=$I48),$G48,0))</f>
        <v/>
      </c>
      <c r="BR48" s="98">
        <f>IF($H48="",0,IF(AND(BR$6&gt;=$H48,BR$6&lt;=$I48),$G48,0))</f>
        <v/>
      </c>
      <c r="BS48" s="98">
        <f>IF($H48="",0,IF(AND(BS$6&gt;=$H48,BS$6&lt;=$I48),$G48,0))</f>
        <v/>
      </c>
      <c r="BT48" s="98">
        <f>IF($H48="",0,IF(AND(BT$6&gt;=$H48,BT$6&lt;=$I48),$G48,0))</f>
        <v/>
      </c>
    </row>
    <row r="49">
      <c r="A49" s="74" t="n"/>
      <c r="B49" s="74" t="n"/>
      <c r="C49" s="74" t="n"/>
      <c r="D49" s="73" t="n"/>
      <c r="E49" s="76" t="n"/>
      <c r="F49" s="90" t="n"/>
      <c r="G49" s="84">
        <f>IF(OR($E49="",N($F49)&lt;=0),0,$E49/$F49)</f>
        <v/>
      </c>
      <c r="H49" s="96">
        <f>IF(OR($A49="",$B49="",$D49="",N($F49)&lt;=0),"",IFERROR(IF(DAY($D49)&gt;INDEX(CARTOES_FECHA,MATCH($B49,LISTA_CARTOES,0)),EDATE(DATE(YEAR($D49),MONTH($D49),1),1),DATE(YEAR($D49),MONTH($D49),1)),""))</f>
        <v/>
      </c>
      <c r="I49" s="96">
        <f>IF($H49="","",EDATE($H49,$F49-1))</f>
        <v/>
      </c>
      <c r="J49" s="97">
        <f>IF($H49="",0,MAX(0,MIN($F49,(YEAR($I49)*12+MONTH($I49))-(ANO_SEL*12+MES_SEL))))</f>
        <v/>
      </c>
      <c r="K49" s="84">
        <f>J49*G49</f>
        <v/>
      </c>
      <c r="M49" s="98">
        <f>IF($H49="",0,IF(AND(M$6&gt;=$H49,M$6&lt;=$I49),$G49,0))</f>
        <v/>
      </c>
      <c r="N49" s="98">
        <f>IF($H49="",0,IF(AND(N$6&gt;=$H49,N$6&lt;=$I49),$G49,0))</f>
        <v/>
      </c>
      <c r="O49" s="98">
        <f>IF($H49="",0,IF(AND(O$6&gt;=$H49,O$6&lt;=$I49),$G49,0))</f>
        <v/>
      </c>
      <c r="P49" s="98">
        <f>IF($H49="",0,IF(AND(P$6&gt;=$H49,P$6&lt;=$I49),$G49,0))</f>
        <v/>
      </c>
      <c r="Q49" s="98">
        <f>IF($H49="",0,IF(AND(Q$6&gt;=$H49,Q$6&lt;=$I49),$G49,0))</f>
        <v/>
      </c>
      <c r="R49" s="98">
        <f>IF($H49="",0,IF(AND(R$6&gt;=$H49,R$6&lt;=$I49),$G49,0))</f>
        <v/>
      </c>
      <c r="S49" s="98">
        <f>IF($H49="",0,IF(AND(S$6&gt;=$H49,S$6&lt;=$I49),$G49,0))</f>
        <v/>
      </c>
      <c r="T49" s="98">
        <f>IF($H49="",0,IF(AND(T$6&gt;=$H49,T$6&lt;=$I49),$G49,0))</f>
        <v/>
      </c>
      <c r="U49" s="98">
        <f>IF($H49="",0,IF(AND(U$6&gt;=$H49,U$6&lt;=$I49),$G49,0))</f>
        <v/>
      </c>
      <c r="V49" s="98">
        <f>IF($H49="",0,IF(AND(V$6&gt;=$H49,V$6&lt;=$I49),$G49,0))</f>
        <v/>
      </c>
      <c r="W49" s="98">
        <f>IF($H49="",0,IF(AND(W$6&gt;=$H49,W$6&lt;=$I49),$G49,0))</f>
        <v/>
      </c>
      <c r="X49" s="98">
        <f>IF($H49="",0,IF(AND(X$6&gt;=$H49,X$6&lt;=$I49),$G49,0))</f>
        <v/>
      </c>
      <c r="Y49" s="98">
        <f>IF($H49="",0,IF(AND(Y$6&gt;=$H49,Y$6&lt;=$I49),$G49,0))</f>
        <v/>
      </c>
      <c r="Z49" s="98">
        <f>IF($H49="",0,IF(AND(Z$6&gt;=$H49,Z$6&lt;=$I49),$G49,0))</f>
        <v/>
      </c>
      <c r="AA49" s="98">
        <f>IF($H49="",0,IF(AND(AA$6&gt;=$H49,AA$6&lt;=$I49),$G49,0))</f>
        <v/>
      </c>
      <c r="AB49" s="98">
        <f>IF($H49="",0,IF(AND(AB$6&gt;=$H49,AB$6&lt;=$I49),$G49,0))</f>
        <v/>
      </c>
      <c r="AC49" s="98">
        <f>IF($H49="",0,IF(AND(AC$6&gt;=$H49,AC$6&lt;=$I49),$G49,0))</f>
        <v/>
      </c>
      <c r="AD49" s="98">
        <f>IF($H49="",0,IF(AND(AD$6&gt;=$H49,AD$6&lt;=$I49),$G49,0))</f>
        <v/>
      </c>
      <c r="AE49" s="98">
        <f>IF($H49="",0,IF(AND(AE$6&gt;=$H49,AE$6&lt;=$I49),$G49,0))</f>
        <v/>
      </c>
      <c r="AF49" s="98">
        <f>IF($H49="",0,IF(AND(AF$6&gt;=$H49,AF$6&lt;=$I49),$G49,0))</f>
        <v/>
      </c>
      <c r="AG49" s="98">
        <f>IF($H49="",0,IF(AND(AG$6&gt;=$H49,AG$6&lt;=$I49),$G49,0))</f>
        <v/>
      </c>
      <c r="AH49" s="98">
        <f>IF($H49="",0,IF(AND(AH$6&gt;=$H49,AH$6&lt;=$I49),$G49,0))</f>
        <v/>
      </c>
      <c r="AI49" s="98">
        <f>IF($H49="",0,IF(AND(AI$6&gt;=$H49,AI$6&lt;=$I49),$G49,0))</f>
        <v/>
      </c>
      <c r="AJ49" s="98">
        <f>IF($H49="",0,IF(AND(AJ$6&gt;=$H49,AJ$6&lt;=$I49),$G49,0))</f>
        <v/>
      </c>
      <c r="AK49" s="98">
        <f>IF($H49="",0,IF(AND(AK$6&gt;=$H49,AK$6&lt;=$I49),$G49,0))</f>
        <v/>
      </c>
      <c r="AL49" s="98">
        <f>IF($H49="",0,IF(AND(AL$6&gt;=$H49,AL$6&lt;=$I49),$G49,0))</f>
        <v/>
      </c>
      <c r="AM49" s="98">
        <f>IF($H49="",0,IF(AND(AM$6&gt;=$H49,AM$6&lt;=$I49),$G49,0))</f>
        <v/>
      </c>
      <c r="AN49" s="98">
        <f>IF($H49="",0,IF(AND(AN$6&gt;=$H49,AN$6&lt;=$I49),$G49,0))</f>
        <v/>
      </c>
      <c r="AO49" s="98">
        <f>IF($H49="",0,IF(AND(AO$6&gt;=$H49,AO$6&lt;=$I49),$G49,0))</f>
        <v/>
      </c>
      <c r="AP49" s="98">
        <f>IF($H49="",0,IF(AND(AP$6&gt;=$H49,AP$6&lt;=$I49),$G49,0))</f>
        <v/>
      </c>
      <c r="AQ49" s="98">
        <f>IF($H49="",0,IF(AND(AQ$6&gt;=$H49,AQ$6&lt;=$I49),$G49,0))</f>
        <v/>
      </c>
      <c r="AR49" s="98">
        <f>IF($H49="",0,IF(AND(AR$6&gt;=$H49,AR$6&lt;=$I49),$G49,0))</f>
        <v/>
      </c>
      <c r="AS49" s="98">
        <f>IF($H49="",0,IF(AND(AS$6&gt;=$H49,AS$6&lt;=$I49),$G49,0))</f>
        <v/>
      </c>
      <c r="AT49" s="98">
        <f>IF($H49="",0,IF(AND(AT$6&gt;=$H49,AT$6&lt;=$I49),$G49,0))</f>
        <v/>
      </c>
      <c r="AU49" s="98">
        <f>IF($H49="",0,IF(AND(AU$6&gt;=$H49,AU$6&lt;=$I49),$G49,0))</f>
        <v/>
      </c>
      <c r="AV49" s="98">
        <f>IF($H49="",0,IF(AND(AV$6&gt;=$H49,AV$6&lt;=$I49),$G49,0))</f>
        <v/>
      </c>
      <c r="AW49" s="98">
        <f>IF($H49="",0,IF(AND(AW$6&gt;=$H49,AW$6&lt;=$I49),$G49,0))</f>
        <v/>
      </c>
      <c r="AX49" s="98">
        <f>IF($H49="",0,IF(AND(AX$6&gt;=$H49,AX$6&lt;=$I49),$G49,0))</f>
        <v/>
      </c>
      <c r="AY49" s="98">
        <f>IF($H49="",0,IF(AND(AY$6&gt;=$H49,AY$6&lt;=$I49),$G49,0))</f>
        <v/>
      </c>
      <c r="AZ49" s="98">
        <f>IF($H49="",0,IF(AND(AZ$6&gt;=$H49,AZ$6&lt;=$I49),$G49,0))</f>
        <v/>
      </c>
      <c r="BA49" s="98">
        <f>IF($H49="",0,IF(AND(BA$6&gt;=$H49,BA$6&lt;=$I49),$G49,0))</f>
        <v/>
      </c>
      <c r="BB49" s="98">
        <f>IF($H49="",0,IF(AND(BB$6&gt;=$H49,BB$6&lt;=$I49),$G49,0))</f>
        <v/>
      </c>
      <c r="BC49" s="98">
        <f>IF($H49="",0,IF(AND(BC$6&gt;=$H49,BC$6&lt;=$I49),$G49,0))</f>
        <v/>
      </c>
      <c r="BD49" s="98">
        <f>IF($H49="",0,IF(AND(BD$6&gt;=$H49,BD$6&lt;=$I49),$G49,0))</f>
        <v/>
      </c>
      <c r="BE49" s="98">
        <f>IF($H49="",0,IF(AND(BE$6&gt;=$H49,BE$6&lt;=$I49),$G49,0))</f>
        <v/>
      </c>
      <c r="BF49" s="98">
        <f>IF($H49="",0,IF(AND(BF$6&gt;=$H49,BF$6&lt;=$I49),$G49,0))</f>
        <v/>
      </c>
      <c r="BG49" s="98">
        <f>IF($H49="",0,IF(AND(BG$6&gt;=$H49,BG$6&lt;=$I49),$G49,0))</f>
        <v/>
      </c>
      <c r="BH49" s="98">
        <f>IF($H49="",0,IF(AND(BH$6&gt;=$H49,BH$6&lt;=$I49),$G49,0))</f>
        <v/>
      </c>
      <c r="BI49" s="98">
        <f>IF($H49="",0,IF(AND(BI$6&gt;=$H49,BI$6&lt;=$I49),$G49,0))</f>
        <v/>
      </c>
      <c r="BJ49" s="98">
        <f>IF($H49="",0,IF(AND(BJ$6&gt;=$H49,BJ$6&lt;=$I49),$G49,0))</f>
        <v/>
      </c>
      <c r="BK49" s="98">
        <f>IF($H49="",0,IF(AND(BK$6&gt;=$H49,BK$6&lt;=$I49),$G49,0))</f>
        <v/>
      </c>
      <c r="BL49" s="98">
        <f>IF($H49="",0,IF(AND(BL$6&gt;=$H49,BL$6&lt;=$I49),$G49,0))</f>
        <v/>
      </c>
      <c r="BM49" s="98">
        <f>IF($H49="",0,IF(AND(BM$6&gt;=$H49,BM$6&lt;=$I49),$G49,0))</f>
        <v/>
      </c>
      <c r="BN49" s="98">
        <f>IF($H49="",0,IF(AND(BN$6&gt;=$H49,BN$6&lt;=$I49),$G49,0))</f>
        <v/>
      </c>
      <c r="BO49" s="98">
        <f>IF($H49="",0,IF(AND(BO$6&gt;=$H49,BO$6&lt;=$I49),$G49,0))</f>
        <v/>
      </c>
      <c r="BP49" s="98">
        <f>IF($H49="",0,IF(AND(BP$6&gt;=$H49,BP$6&lt;=$I49),$G49,0))</f>
        <v/>
      </c>
      <c r="BQ49" s="98">
        <f>IF($H49="",0,IF(AND(BQ$6&gt;=$H49,BQ$6&lt;=$I49),$G49,0))</f>
        <v/>
      </c>
      <c r="BR49" s="98">
        <f>IF($H49="",0,IF(AND(BR$6&gt;=$H49,BR$6&lt;=$I49),$G49,0))</f>
        <v/>
      </c>
      <c r="BS49" s="98">
        <f>IF($H49="",0,IF(AND(BS$6&gt;=$H49,BS$6&lt;=$I49),$G49,0))</f>
        <v/>
      </c>
      <c r="BT49" s="98">
        <f>IF($H49="",0,IF(AND(BT$6&gt;=$H49,BT$6&lt;=$I49),$G49,0))</f>
        <v/>
      </c>
    </row>
    <row r="50">
      <c r="A50" s="74" t="n"/>
      <c r="B50" s="74" t="n"/>
      <c r="C50" s="74" t="n"/>
      <c r="D50" s="73" t="n"/>
      <c r="E50" s="76" t="n"/>
      <c r="F50" s="90" t="n"/>
      <c r="G50" s="84">
        <f>IF(OR($E50="",N($F50)&lt;=0),0,$E50/$F50)</f>
        <v/>
      </c>
      <c r="H50" s="96">
        <f>IF(OR($A50="",$B50="",$D50="",N($F50)&lt;=0),"",IFERROR(IF(DAY($D50)&gt;INDEX(CARTOES_FECHA,MATCH($B50,LISTA_CARTOES,0)),EDATE(DATE(YEAR($D50),MONTH($D50),1),1),DATE(YEAR($D50),MONTH($D50),1)),""))</f>
        <v/>
      </c>
      <c r="I50" s="96">
        <f>IF($H50="","",EDATE($H50,$F50-1))</f>
        <v/>
      </c>
      <c r="J50" s="97">
        <f>IF($H50="",0,MAX(0,MIN($F50,(YEAR($I50)*12+MONTH($I50))-(ANO_SEL*12+MES_SEL))))</f>
        <v/>
      </c>
      <c r="K50" s="84">
        <f>J50*G50</f>
        <v/>
      </c>
      <c r="M50" s="98">
        <f>IF($H50="",0,IF(AND(M$6&gt;=$H50,M$6&lt;=$I50),$G50,0))</f>
        <v/>
      </c>
      <c r="N50" s="98">
        <f>IF($H50="",0,IF(AND(N$6&gt;=$H50,N$6&lt;=$I50),$G50,0))</f>
        <v/>
      </c>
      <c r="O50" s="98">
        <f>IF($H50="",0,IF(AND(O$6&gt;=$H50,O$6&lt;=$I50),$G50,0))</f>
        <v/>
      </c>
      <c r="P50" s="98">
        <f>IF($H50="",0,IF(AND(P$6&gt;=$H50,P$6&lt;=$I50),$G50,0))</f>
        <v/>
      </c>
      <c r="Q50" s="98">
        <f>IF($H50="",0,IF(AND(Q$6&gt;=$H50,Q$6&lt;=$I50),$G50,0))</f>
        <v/>
      </c>
      <c r="R50" s="98">
        <f>IF($H50="",0,IF(AND(R$6&gt;=$H50,R$6&lt;=$I50),$G50,0))</f>
        <v/>
      </c>
      <c r="S50" s="98">
        <f>IF($H50="",0,IF(AND(S$6&gt;=$H50,S$6&lt;=$I50),$G50,0))</f>
        <v/>
      </c>
      <c r="T50" s="98">
        <f>IF($H50="",0,IF(AND(T$6&gt;=$H50,T$6&lt;=$I50),$G50,0))</f>
        <v/>
      </c>
      <c r="U50" s="98">
        <f>IF($H50="",0,IF(AND(U$6&gt;=$H50,U$6&lt;=$I50),$G50,0))</f>
        <v/>
      </c>
      <c r="V50" s="98">
        <f>IF($H50="",0,IF(AND(V$6&gt;=$H50,V$6&lt;=$I50),$G50,0))</f>
        <v/>
      </c>
      <c r="W50" s="98">
        <f>IF($H50="",0,IF(AND(W$6&gt;=$H50,W$6&lt;=$I50),$G50,0))</f>
        <v/>
      </c>
      <c r="X50" s="98">
        <f>IF($H50="",0,IF(AND(X$6&gt;=$H50,X$6&lt;=$I50),$G50,0))</f>
        <v/>
      </c>
      <c r="Y50" s="98">
        <f>IF($H50="",0,IF(AND(Y$6&gt;=$H50,Y$6&lt;=$I50),$G50,0))</f>
        <v/>
      </c>
      <c r="Z50" s="98">
        <f>IF($H50="",0,IF(AND(Z$6&gt;=$H50,Z$6&lt;=$I50),$G50,0))</f>
        <v/>
      </c>
      <c r="AA50" s="98">
        <f>IF($H50="",0,IF(AND(AA$6&gt;=$H50,AA$6&lt;=$I50),$G50,0))</f>
        <v/>
      </c>
      <c r="AB50" s="98">
        <f>IF($H50="",0,IF(AND(AB$6&gt;=$H50,AB$6&lt;=$I50),$G50,0))</f>
        <v/>
      </c>
      <c r="AC50" s="98">
        <f>IF($H50="",0,IF(AND(AC$6&gt;=$H50,AC$6&lt;=$I50),$G50,0))</f>
        <v/>
      </c>
      <c r="AD50" s="98">
        <f>IF($H50="",0,IF(AND(AD$6&gt;=$H50,AD$6&lt;=$I50),$G50,0))</f>
        <v/>
      </c>
      <c r="AE50" s="98">
        <f>IF($H50="",0,IF(AND(AE$6&gt;=$H50,AE$6&lt;=$I50),$G50,0))</f>
        <v/>
      </c>
      <c r="AF50" s="98">
        <f>IF($H50="",0,IF(AND(AF$6&gt;=$H50,AF$6&lt;=$I50),$G50,0))</f>
        <v/>
      </c>
      <c r="AG50" s="98">
        <f>IF($H50="",0,IF(AND(AG$6&gt;=$H50,AG$6&lt;=$I50),$G50,0))</f>
        <v/>
      </c>
      <c r="AH50" s="98">
        <f>IF($H50="",0,IF(AND(AH$6&gt;=$H50,AH$6&lt;=$I50),$G50,0))</f>
        <v/>
      </c>
      <c r="AI50" s="98">
        <f>IF($H50="",0,IF(AND(AI$6&gt;=$H50,AI$6&lt;=$I50),$G50,0))</f>
        <v/>
      </c>
      <c r="AJ50" s="98">
        <f>IF($H50="",0,IF(AND(AJ$6&gt;=$H50,AJ$6&lt;=$I50),$G50,0))</f>
        <v/>
      </c>
      <c r="AK50" s="98">
        <f>IF($H50="",0,IF(AND(AK$6&gt;=$H50,AK$6&lt;=$I50),$G50,0))</f>
        <v/>
      </c>
      <c r="AL50" s="98">
        <f>IF($H50="",0,IF(AND(AL$6&gt;=$H50,AL$6&lt;=$I50),$G50,0))</f>
        <v/>
      </c>
      <c r="AM50" s="98">
        <f>IF($H50="",0,IF(AND(AM$6&gt;=$H50,AM$6&lt;=$I50),$G50,0))</f>
        <v/>
      </c>
      <c r="AN50" s="98">
        <f>IF($H50="",0,IF(AND(AN$6&gt;=$H50,AN$6&lt;=$I50),$G50,0))</f>
        <v/>
      </c>
      <c r="AO50" s="98">
        <f>IF($H50="",0,IF(AND(AO$6&gt;=$H50,AO$6&lt;=$I50),$G50,0))</f>
        <v/>
      </c>
      <c r="AP50" s="98">
        <f>IF($H50="",0,IF(AND(AP$6&gt;=$H50,AP$6&lt;=$I50),$G50,0))</f>
        <v/>
      </c>
      <c r="AQ50" s="98">
        <f>IF($H50="",0,IF(AND(AQ$6&gt;=$H50,AQ$6&lt;=$I50),$G50,0))</f>
        <v/>
      </c>
      <c r="AR50" s="98">
        <f>IF($H50="",0,IF(AND(AR$6&gt;=$H50,AR$6&lt;=$I50),$G50,0))</f>
        <v/>
      </c>
      <c r="AS50" s="98">
        <f>IF($H50="",0,IF(AND(AS$6&gt;=$H50,AS$6&lt;=$I50),$G50,0))</f>
        <v/>
      </c>
      <c r="AT50" s="98">
        <f>IF($H50="",0,IF(AND(AT$6&gt;=$H50,AT$6&lt;=$I50),$G50,0))</f>
        <v/>
      </c>
      <c r="AU50" s="98">
        <f>IF($H50="",0,IF(AND(AU$6&gt;=$H50,AU$6&lt;=$I50),$G50,0))</f>
        <v/>
      </c>
      <c r="AV50" s="98">
        <f>IF($H50="",0,IF(AND(AV$6&gt;=$H50,AV$6&lt;=$I50),$G50,0))</f>
        <v/>
      </c>
      <c r="AW50" s="98">
        <f>IF($H50="",0,IF(AND(AW$6&gt;=$H50,AW$6&lt;=$I50),$G50,0))</f>
        <v/>
      </c>
      <c r="AX50" s="98">
        <f>IF($H50="",0,IF(AND(AX$6&gt;=$H50,AX$6&lt;=$I50),$G50,0))</f>
        <v/>
      </c>
      <c r="AY50" s="98">
        <f>IF($H50="",0,IF(AND(AY$6&gt;=$H50,AY$6&lt;=$I50),$G50,0))</f>
        <v/>
      </c>
      <c r="AZ50" s="98">
        <f>IF($H50="",0,IF(AND(AZ$6&gt;=$H50,AZ$6&lt;=$I50),$G50,0))</f>
        <v/>
      </c>
      <c r="BA50" s="98">
        <f>IF($H50="",0,IF(AND(BA$6&gt;=$H50,BA$6&lt;=$I50),$G50,0))</f>
        <v/>
      </c>
      <c r="BB50" s="98">
        <f>IF($H50="",0,IF(AND(BB$6&gt;=$H50,BB$6&lt;=$I50),$G50,0))</f>
        <v/>
      </c>
      <c r="BC50" s="98">
        <f>IF($H50="",0,IF(AND(BC$6&gt;=$H50,BC$6&lt;=$I50),$G50,0))</f>
        <v/>
      </c>
      <c r="BD50" s="98">
        <f>IF($H50="",0,IF(AND(BD$6&gt;=$H50,BD$6&lt;=$I50),$G50,0))</f>
        <v/>
      </c>
      <c r="BE50" s="98">
        <f>IF($H50="",0,IF(AND(BE$6&gt;=$H50,BE$6&lt;=$I50),$G50,0))</f>
        <v/>
      </c>
      <c r="BF50" s="98">
        <f>IF($H50="",0,IF(AND(BF$6&gt;=$H50,BF$6&lt;=$I50),$G50,0))</f>
        <v/>
      </c>
      <c r="BG50" s="98">
        <f>IF($H50="",0,IF(AND(BG$6&gt;=$H50,BG$6&lt;=$I50),$G50,0))</f>
        <v/>
      </c>
      <c r="BH50" s="98">
        <f>IF($H50="",0,IF(AND(BH$6&gt;=$H50,BH$6&lt;=$I50),$G50,0))</f>
        <v/>
      </c>
      <c r="BI50" s="98">
        <f>IF($H50="",0,IF(AND(BI$6&gt;=$H50,BI$6&lt;=$I50),$G50,0))</f>
        <v/>
      </c>
      <c r="BJ50" s="98">
        <f>IF($H50="",0,IF(AND(BJ$6&gt;=$H50,BJ$6&lt;=$I50),$G50,0))</f>
        <v/>
      </c>
      <c r="BK50" s="98">
        <f>IF($H50="",0,IF(AND(BK$6&gt;=$H50,BK$6&lt;=$I50),$G50,0))</f>
        <v/>
      </c>
      <c r="BL50" s="98">
        <f>IF($H50="",0,IF(AND(BL$6&gt;=$H50,BL$6&lt;=$I50),$G50,0))</f>
        <v/>
      </c>
      <c r="BM50" s="98">
        <f>IF($H50="",0,IF(AND(BM$6&gt;=$H50,BM$6&lt;=$I50),$G50,0))</f>
        <v/>
      </c>
      <c r="BN50" s="98">
        <f>IF($H50="",0,IF(AND(BN$6&gt;=$H50,BN$6&lt;=$I50),$G50,0))</f>
        <v/>
      </c>
      <c r="BO50" s="98">
        <f>IF($H50="",0,IF(AND(BO$6&gt;=$H50,BO$6&lt;=$I50),$G50,0))</f>
        <v/>
      </c>
      <c r="BP50" s="98">
        <f>IF($H50="",0,IF(AND(BP$6&gt;=$H50,BP$6&lt;=$I50),$G50,0))</f>
        <v/>
      </c>
      <c r="BQ50" s="98">
        <f>IF($H50="",0,IF(AND(BQ$6&gt;=$H50,BQ$6&lt;=$I50),$G50,0))</f>
        <v/>
      </c>
      <c r="BR50" s="98">
        <f>IF($H50="",0,IF(AND(BR$6&gt;=$H50,BR$6&lt;=$I50),$G50,0))</f>
        <v/>
      </c>
      <c r="BS50" s="98">
        <f>IF($H50="",0,IF(AND(BS$6&gt;=$H50,BS$6&lt;=$I50),$G50,0))</f>
        <v/>
      </c>
      <c r="BT50" s="98">
        <f>IF($H50="",0,IF(AND(BT$6&gt;=$H50,BT$6&lt;=$I50),$G50,0))</f>
        <v/>
      </c>
    </row>
    <row r="51">
      <c r="A51" s="74" t="n"/>
      <c r="B51" s="74" t="n"/>
      <c r="C51" s="74" t="n"/>
      <c r="D51" s="73" t="n"/>
      <c r="E51" s="76" t="n"/>
      <c r="F51" s="90" t="n"/>
      <c r="G51" s="84">
        <f>IF(OR($E51="",N($F51)&lt;=0),0,$E51/$F51)</f>
        <v/>
      </c>
      <c r="H51" s="96">
        <f>IF(OR($A51="",$B51="",$D51="",N($F51)&lt;=0),"",IFERROR(IF(DAY($D51)&gt;INDEX(CARTOES_FECHA,MATCH($B51,LISTA_CARTOES,0)),EDATE(DATE(YEAR($D51),MONTH($D51),1),1),DATE(YEAR($D51),MONTH($D51),1)),""))</f>
        <v/>
      </c>
      <c r="I51" s="96">
        <f>IF($H51="","",EDATE($H51,$F51-1))</f>
        <v/>
      </c>
      <c r="J51" s="97">
        <f>IF($H51="",0,MAX(0,MIN($F51,(YEAR($I51)*12+MONTH($I51))-(ANO_SEL*12+MES_SEL))))</f>
        <v/>
      </c>
      <c r="K51" s="84">
        <f>J51*G51</f>
        <v/>
      </c>
      <c r="M51" s="98">
        <f>IF($H51="",0,IF(AND(M$6&gt;=$H51,M$6&lt;=$I51),$G51,0))</f>
        <v/>
      </c>
      <c r="N51" s="98">
        <f>IF($H51="",0,IF(AND(N$6&gt;=$H51,N$6&lt;=$I51),$G51,0))</f>
        <v/>
      </c>
      <c r="O51" s="98">
        <f>IF($H51="",0,IF(AND(O$6&gt;=$H51,O$6&lt;=$I51),$G51,0))</f>
        <v/>
      </c>
      <c r="P51" s="98">
        <f>IF($H51="",0,IF(AND(P$6&gt;=$H51,P$6&lt;=$I51),$G51,0))</f>
        <v/>
      </c>
      <c r="Q51" s="98">
        <f>IF($H51="",0,IF(AND(Q$6&gt;=$H51,Q$6&lt;=$I51),$G51,0))</f>
        <v/>
      </c>
      <c r="R51" s="98">
        <f>IF($H51="",0,IF(AND(R$6&gt;=$H51,R$6&lt;=$I51),$G51,0))</f>
        <v/>
      </c>
      <c r="S51" s="98">
        <f>IF($H51="",0,IF(AND(S$6&gt;=$H51,S$6&lt;=$I51),$G51,0))</f>
        <v/>
      </c>
      <c r="T51" s="98">
        <f>IF($H51="",0,IF(AND(T$6&gt;=$H51,T$6&lt;=$I51),$G51,0))</f>
        <v/>
      </c>
      <c r="U51" s="98">
        <f>IF($H51="",0,IF(AND(U$6&gt;=$H51,U$6&lt;=$I51),$G51,0))</f>
        <v/>
      </c>
      <c r="V51" s="98">
        <f>IF($H51="",0,IF(AND(V$6&gt;=$H51,V$6&lt;=$I51),$G51,0))</f>
        <v/>
      </c>
      <c r="W51" s="98">
        <f>IF($H51="",0,IF(AND(W$6&gt;=$H51,W$6&lt;=$I51),$G51,0))</f>
        <v/>
      </c>
      <c r="X51" s="98">
        <f>IF($H51="",0,IF(AND(X$6&gt;=$H51,X$6&lt;=$I51),$G51,0))</f>
        <v/>
      </c>
      <c r="Y51" s="98">
        <f>IF($H51="",0,IF(AND(Y$6&gt;=$H51,Y$6&lt;=$I51),$G51,0))</f>
        <v/>
      </c>
      <c r="Z51" s="98">
        <f>IF($H51="",0,IF(AND(Z$6&gt;=$H51,Z$6&lt;=$I51),$G51,0))</f>
        <v/>
      </c>
      <c r="AA51" s="98">
        <f>IF($H51="",0,IF(AND(AA$6&gt;=$H51,AA$6&lt;=$I51),$G51,0))</f>
        <v/>
      </c>
      <c r="AB51" s="98">
        <f>IF($H51="",0,IF(AND(AB$6&gt;=$H51,AB$6&lt;=$I51),$G51,0))</f>
        <v/>
      </c>
      <c r="AC51" s="98">
        <f>IF($H51="",0,IF(AND(AC$6&gt;=$H51,AC$6&lt;=$I51),$G51,0))</f>
        <v/>
      </c>
      <c r="AD51" s="98">
        <f>IF($H51="",0,IF(AND(AD$6&gt;=$H51,AD$6&lt;=$I51),$G51,0))</f>
        <v/>
      </c>
      <c r="AE51" s="98">
        <f>IF($H51="",0,IF(AND(AE$6&gt;=$H51,AE$6&lt;=$I51),$G51,0))</f>
        <v/>
      </c>
      <c r="AF51" s="98">
        <f>IF($H51="",0,IF(AND(AF$6&gt;=$H51,AF$6&lt;=$I51),$G51,0))</f>
        <v/>
      </c>
      <c r="AG51" s="98">
        <f>IF($H51="",0,IF(AND(AG$6&gt;=$H51,AG$6&lt;=$I51),$G51,0))</f>
        <v/>
      </c>
      <c r="AH51" s="98">
        <f>IF($H51="",0,IF(AND(AH$6&gt;=$H51,AH$6&lt;=$I51),$G51,0))</f>
        <v/>
      </c>
      <c r="AI51" s="98">
        <f>IF($H51="",0,IF(AND(AI$6&gt;=$H51,AI$6&lt;=$I51),$G51,0))</f>
        <v/>
      </c>
      <c r="AJ51" s="98">
        <f>IF($H51="",0,IF(AND(AJ$6&gt;=$H51,AJ$6&lt;=$I51),$G51,0))</f>
        <v/>
      </c>
      <c r="AK51" s="98">
        <f>IF($H51="",0,IF(AND(AK$6&gt;=$H51,AK$6&lt;=$I51),$G51,0))</f>
        <v/>
      </c>
      <c r="AL51" s="98">
        <f>IF($H51="",0,IF(AND(AL$6&gt;=$H51,AL$6&lt;=$I51),$G51,0))</f>
        <v/>
      </c>
      <c r="AM51" s="98">
        <f>IF($H51="",0,IF(AND(AM$6&gt;=$H51,AM$6&lt;=$I51),$G51,0))</f>
        <v/>
      </c>
      <c r="AN51" s="98">
        <f>IF($H51="",0,IF(AND(AN$6&gt;=$H51,AN$6&lt;=$I51),$G51,0))</f>
        <v/>
      </c>
      <c r="AO51" s="98">
        <f>IF($H51="",0,IF(AND(AO$6&gt;=$H51,AO$6&lt;=$I51),$G51,0))</f>
        <v/>
      </c>
      <c r="AP51" s="98">
        <f>IF($H51="",0,IF(AND(AP$6&gt;=$H51,AP$6&lt;=$I51),$G51,0))</f>
        <v/>
      </c>
      <c r="AQ51" s="98">
        <f>IF($H51="",0,IF(AND(AQ$6&gt;=$H51,AQ$6&lt;=$I51),$G51,0))</f>
        <v/>
      </c>
      <c r="AR51" s="98">
        <f>IF($H51="",0,IF(AND(AR$6&gt;=$H51,AR$6&lt;=$I51),$G51,0))</f>
        <v/>
      </c>
      <c r="AS51" s="98">
        <f>IF($H51="",0,IF(AND(AS$6&gt;=$H51,AS$6&lt;=$I51),$G51,0))</f>
        <v/>
      </c>
      <c r="AT51" s="98">
        <f>IF($H51="",0,IF(AND(AT$6&gt;=$H51,AT$6&lt;=$I51),$G51,0))</f>
        <v/>
      </c>
      <c r="AU51" s="98">
        <f>IF($H51="",0,IF(AND(AU$6&gt;=$H51,AU$6&lt;=$I51),$G51,0))</f>
        <v/>
      </c>
      <c r="AV51" s="98">
        <f>IF($H51="",0,IF(AND(AV$6&gt;=$H51,AV$6&lt;=$I51),$G51,0))</f>
        <v/>
      </c>
      <c r="AW51" s="98">
        <f>IF($H51="",0,IF(AND(AW$6&gt;=$H51,AW$6&lt;=$I51),$G51,0))</f>
        <v/>
      </c>
      <c r="AX51" s="98">
        <f>IF($H51="",0,IF(AND(AX$6&gt;=$H51,AX$6&lt;=$I51),$G51,0))</f>
        <v/>
      </c>
      <c r="AY51" s="98">
        <f>IF($H51="",0,IF(AND(AY$6&gt;=$H51,AY$6&lt;=$I51),$G51,0))</f>
        <v/>
      </c>
      <c r="AZ51" s="98">
        <f>IF($H51="",0,IF(AND(AZ$6&gt;=$H51,AZ$6&lt;=$I51),$G51,0))</f>
        <v/>
      </c>
      <c r="BA51" s="98">
        <f>IF($H51="",0,IF(AND(BA$6&gt;=$H51,BA$6&lt;=$I51),$G51,0))</f>
        <v/>
      </c>
      <c r="BB51" s="98">
        <f>IF($H51="",0,IF(AND(BB$6&gt;=$H51,BB$6&lt;=$I51),$G51,0))</f>
        <v/>
      </c>
      <c r="BC51" s="98">
        <f>IF($H51="",0,IF(AND(BC$6&gt;=$H51,BC$6&lt;=$I51),$G51,0))</f>
        <v/>
      </c>
      <c r="BD51" s="98">
        <f>IF($H51="",0,IF(AND(BD$6&gt;=$H51,BD$6&lt;=$I51),$G51,0))</f>
        <v/>
      </c>
      <c r="BE51" s="98">
        <f>IF($H51="",0,IF(AND(BE$6&gt;=$H51,BE$6&lt;=$I51),$G51,0))</f>
        <v/>
      </c>
      <c r="BF51" s="98">
        <f>IF($H51="",0,IF(AND(BF$6&gt;=$H51,BF$6&lt;=$I51),$G51,0))</f>
        <v/>
      </c>
      <c r="BG51" s="98">
        <f>IF($H51="",0,IF(AND(BG$6&gt;=$H51,BG$6&lt;=$I51),$G51,0))</f>
        <v/>
      </c>
      <c r="BH51" s="98">
        <f>IF($H51="",0,IF(AND(BH$6&gt;=$H51,BH$6&lt;=$I51),$G51,0))</f>
        <v/>
      </c>
      <c r="BI51" s="98">
        <f>IF($H51="",0,IF(AND(BI$6&gt;=$H51,BI$6&lt;=$I51),$G51,0))</f>
        <v/>
      </c>
      <c r="BJ51" s="98">
        <f>IF($H51="",0,IF(AND(BJ$6&gt;=$H51,BJ$6&lt;=$I51),$G51,0))</f>
        <v/>
      </c>
      <c r="BK51" s="98">
        <f>IF($H51="",0,IF(AND(BK$6&gt;=$H51,BK$6&lt;=$I51),$G51,0))</f>
        <v/>
      </c>
      <c r="BL51" s="98">
        <f>IF($H51="",0,IF(AND(BL$6&gt;=$H51,BL$6&lt;=$I51),$G51,0))</f>
        <v/>
      </c>
      <c r="BM51" s="98">
        <f>IF($H51="",0,IF(AND(BM$6&gt;=$H51,BM$6&lt;=$I51),$G51,0))</f>
        <v/>
      </c>
      <c r="BN51" s="98">
        <f>IF($H51="",0,IF(AND(BN$6&gt;=$H51,BN$6&lt;=$I51),$G51,0))</f>
        <v/>
      </c>
      <c r="BO51" s="98">
        <f>IF($H51="",0,IF(AND(BO$6&gt;=$H51,BO$6&lt;=$I51),$G51,0))</f>
        <v/>
      </c>
      <c r="BP51" s="98">
        <f>IF($H51="",0,IF(AND(BP$6&gt;=$H51,BP$6&lt;=$I51),$G51,0))</f>
        <v/>
      </c>
      <c r="BQ51" s="98">
        <f>IF($H51="",0,IF(AND(BQ$6&gt;=$H51,BQ$6&lt;=$I51),$G51,0))</f>
        <v/>
      </c>
      <c r="BR51" s="98">
        <f>IF($H51="",0,IF(AND(BR$6&gt;=$H51,BR$6&lt;=$I51),$G51,0))</f>
        <v/>
      </c>
      <c r="BS51" s="98">
        <f>IF($H51="",0,IF(AND(BS$6&gt;=$H51,BS$6&lt;=$I51),$G51,0))</f>
        <v/>
      </c>
      <c r="BT51" s="98">
        <f>IF($H51="",0,IF(AND(BT$6&gt;=$H51,BT$6&lt;=$I51),$G51,0))</f>
        <v/>
      </c>
    </row>
    <row r="52">
      <c r="A52" s="74" t="n"/>
      <c r="B52" s="74" t="n"/>
      <c r="C52" s="74" t="n"/>
      <c r="D52" s="73" t="n"/>
      <c r="E52" s="76" t="n"/>
      <c r="F52" s="90" t="n"/>
      <c r="G52" s="84">
        <f>IF(OR($E52="",N($F52)&lt;=0),0,$E52/$F52)</f>
        <v/>
      </c>
      <c r="H52" s="96">
        <f>IF(OR($A52="",$B52="",$D52="",N($F52)&lt;=0),"",IFERROR(IF(DAY($D52)&gt;INDEX(CARTOES_FECHA,MATCH($B52,LISTA_CARTOES,0)),EDATE(DATE(YEAR($D52),MONTH($D52),1),1),DATE(YEAR($D52),MONTH($D52),1)),""))</f>
        <v/>
      </c>
      <c r="I52" s="96">
        <f>IF($H52="","",EDATE($H52,$F52-1))</f>
        <v/>
      </c>
      <c r="J52" s="97">
        <f>IF($H52="",0,MAX(0,MIN($F52,(YEAR($I52)*12+MONTH($I52))-(ANO_SEL*12+MES_SEL))))</f>
        <v/>
      </c>
      <c r="K52" s="84">
        <f>J52*G52</f>
        <v/>
      </c>
      <c r="M52" s="98">
        <f>IF($H52="",0,IF(AND(M$6&gt;=$H52,M$6&lt;=$I52),$G52,0))</f>
        <v/>
      </c>
      <c r="N52" s="98">
        <f>IF($H52="",0,IF(AND(N$6&gt;=$H52,N$6&lt;=$I52),$G52,0))</f>
        <v/>
      </c>
      <c r="O52" s="98">
        <f>IF($H52="",0,IF(AND(O$6&gt;=$H52,O$6&lt;=$I52),$G52,0))</f>
        <v/>
      </c>
      <c r="P52" s="98">
        <f>IF($H52="",0,IF(AND(P$6&gt;=$H52,P$6&lt;=$I52),$G52,0))</f>
        <v/>
      </c>
      <c r="Q52" s="98">
        <f>IF($H52="",0,IF(AND(Q$6&gt;=$H52,Q$6&lt;=$I52),$G52,0))</f>
        <v/>
      </c>
      <c r="R52" s="98">
        <f>IF($H52="",0,IF(AND(R$6&gt;=$H52,R$6&lt;=$I52),$G52,0))</f>
        <v/>
      </c>
      <c r="S52" s="98">
        <f>IF($H52="",0,IF(AND(S$6&gt;=$H52,S$6&lt;=$I52),$G52,0))</f>
        <v/>
      </c>
      <c r="T52" s="98">
        <f>IF($H52="",0,IF(AND(T$6&gt;=$H52,T$6&lt;=$I52),$G52,0))</f>
        <v/>
      </c>
      <c r="U52" s="98">
        <f>IF($H52="",0,IF(AND(U$6&gt;=$H52,U$6&lt;=$I52),$G52,0))</f>
        <v/>
      </c>
      <c r="V52" s="98">
        <f>IF($H52="",0,IF(AND(V$6&gt;=$H52,V$6&lt;=$I52),$G52,0))</f>
        <v/>
      </c>
      <c r="W52" s="98">
        <f>IF($H52="",0,IF(AND(W$6&gt;=$H52,W$6&lt;=$I52),$G52,0))</f>
        <v/>
      </c>
      <c r="X52" s="98">
        <f>IF($H52="",0,IF(AND(X$6&gt;=$H52,X$6&lt;=$I52),$G52,0))</f>
        <v/>
      </c>
      <c r="Y52" s="98">
        <f>IF($H52="",0,IF(AND(Y$6&gt;=$H52,Y$6&lt;=$I52),$G52,0))</f>
        <v/>
      </c>
      <c r="Z52" s="98">
        <f>IF($H52="",0,IF(AND(Z$6&gt;=$H52,Z$6&lt;=$I52),$G52,0))</f>
        <v/>
      </c>
      <c r="AA52" s="98">
        <f>IF($H52="",0,IF(AND(AA$6&gt;=$H52,AA$6&lt;=$I52),$G52,0))</f>
        <v/>
      </c>
      <c r="AB52" s="98">
        <f>IF($H52="",0,IF(AND(AB$6&gt;=$H52,AB$6&lt;=$I52),$G52,0))</f>
        <v/>
      </c>
      <c r="AC52" s="98">
        <f>IF($H52="",0,IF(AND(AC$6&gt;=$H52,AC$6&lt;=$I52),$G52,0))</f>
        <v/>
      </c>
      <c r="AD52" s="98">
        <f>IF($H52="",0,IF(AND(AD$6&gt;=$H52,AD$6&lt;=$I52),$G52,0))</f>
        <v/>
      </c>
      <c r="AE52" s="98">
        <f>IF($H52="",0,IF(AND(AE$6&gt;=$H52,AE$6&lt;=$I52),$G52,0))</f>
        <v/>
      </c>
      <c r="AF52" s="98">
        <f>IF($H52="",0,IF(AND(AF$6&gt;=$H52,AF$6&lt;=$I52),$G52,0))</f>
        <v/>
      </c>
      <c r="AG52" s="98">
        <f>IF($H52="",0,IF(AND(AG$6&gt;=$H52,AG$6&lt;=$I52),$G52,0))</f>
        <v/>
      </c>
      <c r="AH52" s="98">
        <f>IF($H52="",0,IF(AND(AH$6&gt;=$H52,AH$6&lt;=$I52),$G52,0))</f>
        <v/>
      </c>
      <c r="AI52" s="98">
        <f>IF($H52="",0,IF(AND(AI$6&gt;=$H52,AI$6&lt;=$I52),$G52,0))</f>
        <v/>
      </c>
      <c r="AJ52" s="98">
        <f>IF($H52="",0,IF(AND(AJ$6&gt;=$H52,AJ$6&lt;=$I52),$G52,0))</f>
        <v/>
      </c>
      <c r="AK52" s="98">
        <f>IF($H52="",0,IF(AND(AK$6&gt;=$H52,AK$6&lt;=$I52),$G52,0))</f>
        <v/>
      </c>
      <c r="AL52" s="98">
        <f>IF($H52="",0,IF(AND(AL$6&gt;=$H52,AL$6&lt;=$I52),$G52,0))</f>
        <v/>
      </c>
      <c r="AM52" s="98">
        <f>IF($H52="",0,IF(AND(AM$6&gt;=$H52,AM$6&lt;=$I52),$G52,0))</f>
        <v/>
      </c>
      <c r="AN52" s="98">
        <f>IF($H52="",0,IF(AND(AN$6&gt;=$H52,AN$6&lt;=$I52),$G52,0))</f>
        <v/>
      </c>
      <c r="AO52" s="98">
        <f>IF($H52="",0,IF(AND(AO$6&gt;=$H52,AO$6&lt;=$I52),$G52,0))</f>
        <v/>
      </c>
      <c r="AP52" s="98">
        <f>IF($H52="",0,IF(AND(AP$6&gt;=$H52,AP$6&lt;=$I52),$G52,0))</f>
        <v/>
      </c>
      <c r="AQ52" s="98">
        <f>IF($H52="",0,IF(AND(AQ$6&gt;=$H52,AQ$6&lt;=$I52),$G52,0))</f>
        <v/>
      </c>
      <c r="AR52" s="98">
        <f>IF($H52="",0,IF(AND(AR$6&gt;=$H52,AR$6&lt;=$I52),$G52,0))</f>
        <v/>
      </c>
      <c r="AS52" s="98">
        <f>IF($H52="",0,IF(AND(AS$6&gt;=$H52,AS$6&lt;=$I52),$G52,0))</f>
        <v/>
      </c>
      <c r="AT52" s="98">
        <f>IF($H52="",0,IF(AND(AT$6&gt;=$H52,AT$6&lt;=$I52),$G52,0))</f>
        <v/>
      </c>
      <c r="AU52" s="98">
        <f>IF($H52="",0,IF(AND(AU$6&gt;=$H52,AU$6&lt;=$I52),$G52,0))</f>
        <v/>
      </c>
      <c r="AV52" s="98">
        <f>IF($H52="",0,IF(AND(AV$6&gt;=$H52,AV$6&lt;=$I52),$G52,0))</f>
        <v/>
      </c>
      <c r="AW52" s="98">
        <f>IF($H52="",0,IF(AND(AW$6&gt;=$H52,AW$6&lt;=$I52),$G52,0))</f>
        <v/>
      </c>
      <c r="AX52" s="98">
        <f>IF($H52="",0,IF(AND(AX$6&gt;=$H52,AX$6&lt;=$I52),$G52,0))</f>
        <v/>
      </c>
      <c r="AY52" s="98">
        <f>IF($H52="",0,IF(AND(AY$6&gt;=$H52,AY$6&lt;=$I52),$G52,0))</f>
        <v/>
      </c>
      <c r="AZ52" s="98">
        <f>IF($H52="",0,IF(AND(AZ$6&gt;=$H52,AZ$6&lt;=$I52),$G52,0))</f>
        <v/>
      </c>
      <c r="BA52" s="98">
        <f>IF($H52="",0,IF(AND(BA$6&gt;=$H52,BA$6&lt;=$I52),$G52,0))</f>
        <v/>
      </c>
      <c r="BB52" s="98">
        <f>IF($H52="",0,IF(AND(BB$6&gt;=$H52,BB$6&lt;=$I52),$G52,0))</f>
        <v/>
      </c>
      <c r="BC52" s="98">
        <f>IF($H52="",0,IF(AND(BC$6&gt;=$H52,BC$6&lt;=$I52),$G52,0))</f>
        <v/>
      </c>
      <c r="BD52" s="98">
        <f>IF($H52="",0,IF(AND(BD$6&gt;=$H52,BD$6&lt;=$I52),$G52,0))</f>
        <v/>
      </c>
      <c r="BE52" s="98">
        <f>IF($H52="",0,IF(AND(BE$6&gt;=$H52,BE$6&lt;=$I52),$G52,0))</f>
        <v/>
      </c>
      <c r="BF52" s="98">
        <f>IF($H52="",0,IF(AND(BF$6&gt;=$H52,BF$6&lt;=$I52),$G52,0))</f>
        <v/>
      </c>
      <c r="BG52" s="98">
        <f>IF($H52="",0,IF(AND(BG$6&gt;=$H52,BG$6&lt;=$I52),$G52,0))</f>
        <v/>
      </c>
      <c r="BH52" s="98">
        <f>IF($H52="",0,IF(AND(BH$6&gt;=$H52,BH$6&lt;=$I52),$G52,0))</f>
        <v/>
      </c>
      <c r="BI52" s="98">
        <f>IF($H52="",0,IF(AND(BI$6&gt;=$H52,BI$6&lt;=$I52),$G52,0))</f>
        <v/>
      </c>
      <c r="BJ52" s="98">
        <f>IF($H52="",0,IF(AND(BJ$6&gt;=$H52,BJ$6&lt;=$I52),$G52,0))</f>
        <v/>
      </c>
      <c r="BK52" s="98">
        <f>IF($H52="",0,IF(AND(BK$6&gt;=$H52,BK$6&lt;=$I52),$G52,0))</f>
        <v/>
      </c>
      <c r="BL52" s="98">
        <f>IF($H52="",0,IF(AND(BL$6&gt;=$H52,BL$6&lt;=$I52),$G52,0))</f>
        <v/>
      </c>
      <c r="BM52" s="98">
        <f>IF($H52="",0,IF(AND(BM$6&gt;=$H52,BM$6&lt;=$I52),$G52,0))</f>
        <v/>
      </c>
      <c r="BN52" s="98">
        <f>IF($H52="",0,IF(AND(BN$6&gt;=$H52,BN$6&lt;=$I52),$G52,0))</f>
        <v/>
      </c>
      <c r="BO52" s="98">
        <f>IF($H52="",0,IF(AND(BO$6&gt;=$H52,BO$6&lt;=$I52),$G52,0))</f>
        <v/>
      </c>
      <c r="BP52" s="98">
        <f>IF($H52="",0,IF(AND(BP$6&gt;=$H52,BP$6&lt;=$I52),$G52,0))</f>
        <v/>
      </c>
      <c r="BQ52" s="98">
        <f>IF($H52="",0,IF(AND(BQ$6&gt;=$H52,BQ$6&lt;=$I52),$G52,0))</f>
        <v/>
      </c>
      <c r="BR52" s="98">
        <f>IF($H52="",0,IF(AND(BR$6&gt;=$H52,BR$6&lt;=$I52),$G52,0))</f>
        <v/>
      </c>
      <c r="BS52" s="98">
        <f>IF($H52="",0,IF(AND(BS$6&gt;=$H52,BS$6&lt;=$I52),$G52,0))</f>
        <v/>
      </c>
      <c r="BT52" s="98">
        <f>IF($H52="",0,IF(AND(BT$6&gt;=$H52,BT$6&lt;=$I52),$G52,0))</f>
        <v/>
      </c>
    </row>
    <row r="53">
      <c r="A53" s="74" t="n"/>
      <c r="B53" s="74" t="n"/>
      <c r="C53" s="74" t="n"/>
      <c r="D53" s="73" t="n"/>
      <c r="E53" s="76" t="n"/>
      <c r="F53" s="90" t="n"/>
      <c r="G53" s="84">
        <f>IF(OR($E53="",N($F53)&lt;=0),0,$E53/$F53)</f>
        <v/>
      </c>
      <c r="H53" s="96">
        <f>IF(OR($A53="",$B53="",$D53="",N($F53)&lt;=0),"",IFERROR(IF(DAY($D53)&gt;INDEX(CARTOES_FECHA,MATCH($B53,LISTA_CARTOES,0)),EDATE(DATE(YEAR($D53),MONTH($D53),1),1),DATE(YEAR($D53),MONTH($D53),1)),""))</f>
        <v/>
      </c>
      <c r="I53" s="96">
        <f>IF($H53="","",EDATE($H53,$F53-1))</f>
        <v/>
      </c>
      <c r="J53" s="97">
        <f>IF($H53="",0,MAX(0,MIN($F53,(YEAR($I53)*12+MONTH($I53))-(ANO_SEL*12+MES_SEL))))</f>
        <v/>
      </c>
      <c r="K53" s="84">
        <f>J53*G53</f>
        <v/>
      </c>
      <c r="M53" s="98">
        <f>IF($H53="",0,IF(AND(M$6&gt;=$H53,M$6&lt;=$I53),$G53,0))</f>
        <v/>
      </c>
      <c r="N53" s="98">
        <f>IF($H53="",0,IF(AND(N$6&gt;=$H53,N$6&lt;=$I53),$G53,0))</f>
        <v/>
      </c>
      <c r="O53" s="98">
        <f>IF($H53="",0,IF(AND(O$6&gt;=$H53,O$6&lt;=$I53),$G53,0))</f>
        <v/>
      </c>
      <c r="P53" s="98">
        <f>IF($H53="",0,IF(AND(P$6&gt;=$H53,P$6&lt;=$I53),$G53,0))</f>
        <v/>
      </c>
      <c r="Q53" s="98">
        <f>IF($H53="",0,IF(AND(Q$6&gt;=$H53,Q$6&lt;=$I53),$G53,0))</f>
        <v/>
      </c>
      <c r="R53" s="98">
        <f>IF($H53="",0,IF(AND(R$6&gt;=$H53,R$6&lt;=$I53),$G53,0))</f>
        <v/>
      </c>
      <c r="S53" s="98">
        <f>IF($H53="",0,IF(AND(S$6&gt;=$H53,S$6&lt;=$I53),$G53,0))</f>
        <v/>
      </c>
      <c r="T53" s="98">
        <f>IF($H53="",0,IF(AND(T$6&gt;=$H53,T$6&lt;=$I53),$G53,0))</f>
        <v/>
      </c>
      <c r="U53" s="98">
        <f>IF($H53="",0,IF(AND(U$6&gt;=$H53,U$6&lt;=$I53),$G53,0))</f>
        <v/>
      </c>
      <c r="V53" s="98">
        <f>IF($H53="",0,IF(AND(V$6&gt;=$H53,V$6&lt;=$I53),$G53,0))</f>
        <v/>
      </c>
      <c r="W53" s="98">
        <f>IF($H53="",0,IF(AND(W$6&gt;=$H53,W$6&lt;=$I53),$G53,0))</f>
        <v/>
      </c>
      <c r="X53" s="98">
        <f>IF($H53="",0,IF(AND(X$6&gt;=$H53,X$6&lt;=$I53),$G53,0))</f>
        <v/>
      </c>
      <c r="Y53" s="98">
        <f>IF($H53="",0,IF(AND(Y$6&gt;=$H53,Y$6&lt;=$I53),$G53,0))</f>
        <v/>
      </c>
      <c r="Z53" s="98">
        <f>IF($H53="",0,IF(AND(Z$6&gt;=$H53,Z$6&lt;=$I53),$G53,0))</f>
        <v/>
      </c>
      <c r="AA53" s="98">
        <f>IF($H53="",0,IF(AND(AA$6&gt;=$H53,AA$6&lt;=$I53),$G53,0))</f>
        <v/>
      </c>
      <c r="AB53" s="98">
        <f>IF($H53="",0,IF(AND(AB$6&gt;=$H53,AB$6&lt;=$I53),$G53,0))</f>
        <v/>
      </c>
      <c r="AC53" s="98">
        <f>IF($H53="",0,IF(AND(AC$6&gt;=$H53,AC$6&lt;=$I53),$G53,0))</f>
        <v/>
      </c>
      <c r="AD53" s="98">
        <f>IF($H53="",0,IF(AND(AD$6&gt;=$H53,AD$6&lt;=$I53),$G53,0))</f>
        <v/>
      </c>
      <c r="AE53" s="98">
        <f>IF($H53="",0,IF(AND(AE$6&gt;=$H53,AE$6&lt;=$I53),$G53,0))</f>
        <v/>
      </c>
      <c r="AF53" s="98">
        <f>IF($H53="",0,IF(AND(AF$6&gt;=$H53,AF$6&lt;=$I53),$G53,0))</f>
        <v/>
      </c>
      <c r="AG53" s="98">
        <f>IF($H53="",0,IF(AND(AG$6&gt;=$H53,AG$6&lt;=$I53),$G53,0))</f>
        <v/>
      </c>
      <c r="AH53" s="98">
        <f>IF($H53="",0,IF(AND(AH$6&gt;=$H53,AH$6&lt;=$I53),$G53,0))</f>
        <v/>
      </c>
      <c r="AI53" s="98">
        <f>IF($H53="",0,IF(AND(AI$6&gt;=$H53,AI$6&lt;=$I53),$G53,0))</f>
        <v/>
      </c>
      <c r="AJ53" s="98">
        <f>IF($H53="",0,IF(AND(AJ$6&gt;=$H53,AJ$6&lt;=$I53),$G53,0))</f>
        <v/>
      </c>
      <c r="AK53" s="98">
        <f>IF($H53="",0,IF(AND(AK$6&gt;=$H53,AK$6&lt;=$I53),$G53,0))</f>
        <v/>
      </c>
      <c r="AL53" s="98">
        <f>IF($H53="",0,IF(AND(AL$6&gt;=$H53,AL$6&lt;=$I53),$G53,0))</f>
        <v/>
      </c>
      <c r="AM53" s="98">
        <f>IF($H53="",0,IF(AND(AM$6&gt;=$H53,AM$6&lt;=$I53),$G53,0))</f>
        <v/>
      </c>
      <c r="AN53" s="98">
        <f>IF($H53="",0,IF(AND(AN$6&gt;=$H53,AN$6&lt;=$I53),$G53,0))</f>
        <v/>
      </c>
      <c r="AO53" s="98">
        <f>IF($H53="",0,IF(AND(AO$6&gt;=$H53,AO$6&lt;=$I53),$G53,0))</f>
        <v/>
      </c>
      <c r="AP53" s="98">
        <f>IF($H53="",0,IF(AND(AP$6&gt;=$H53,AP$6&lt;=$I53),$G53,0))</f>
        <v/>
      </c>
      <c r="AQ53" s="98">
        <f>IF($H53="",0,IF(AND(AQ$6&gt;=$H53,AQ$6&lt;=$I53),$G53,0))</f>
        <v/>
      </c>
      <c r="AR53" s="98">
        <f>IF($H53="",0,IF(AND(AR$6&gt;=$H53,AR$6&lt;=$I53),$G53,0))</f>
        <v/>
      </c>
      <c r="AS53" s="98">
        <f>IF($H53="",0,IF(AND(AS$6&gt;=$H53,AS$6&lt;=$I53),$G53,0))</f>
        <v/>
      </c>
      <c r="AT53" s="98">
        <f>IF($H53="",0,IF(AND(AT$6&gt;=$H53,AT$6&lt;=$I53),$G53,0))</f>
        <v/>
      </c>
      <c r="AU53" s="98">
        <f>IF($H53="",0,IF(AND(AU$6&gt;=$H53,AU$6&lt;=$I53),$G53,0))</f>
        <v/>
      </c>
      <c r="AV53" s="98">
        <f>IF($H53="",0,IF(AND(AV$6&gt;=$H53,AV$6&lt;=$I53),$G53,0))</f>
        <v/>
      </c>
      <c r="AW53" s="98">
        <f>IF($H53="",0,IF(AND(AW$6&gt;=$H53,AW$6&lt;=$I53),$G53,0))</f>
        <v/>
      </c>
      <c r="AX53" s="98">
        <f>IF($H53="",0,IF(AND(AX$6&gt;=$H53,AX$6&lt;=$I53),$G53,0))</f>
        <v/>
      </c>
      <c r="AY53" s="98">
        <f>IF($H53="",0,IF(AND(AY$6&gt;=$H53,AY$6&lt;=$I53),$G53,0))</f>
        <v/>
      </c>
      <c r="AZ53" s="98">
        <f>IF($H53="",0,IF(AND(AZ$6&gt;=$H53,AZ$6&lt;=$I53),$G53,0))</f>
        <v/>
      </c>
      <c r="BA53" s="98">
        <f>IF($H53="",0,IF(AND(BA$6&gt;=$H53,BA$6&lt;=$I53),$G53,0))</f>
        <v/>
      </c>
      <c r="BB53" s="98">
        <f>IF($H53="",0,IF(AND(BB$6&gt;=$H53,BB$6&lt;=$I53),$G53,0))</f>
        <v/>
      </c>
      <c r="BC53" s="98">
        <f>IF($H53="",0,IF(AND(BC$6&gt;=$H53,BC$6&lt;=$I53),$G53,0))</f>
        <v/>
      </c>
      <c r="BD53" s="98">
        <f>IF($H53="",0,IF(AND(BD$6&gt;=$H53,BD$6&lt;=$I53),$G53,0))</f>
        <v/>
      </c>
      <c r="BE53" s="98">
        <f>IF($H53="",0,IF(AND(BE$6&gt;=$H53,BE$6&lt;=$I53),$G53,0))</f>
        <v/>
      </c>
      <c r="BF53" s="98">
        <f>IF($H53="",0,IF(AND(BF$6&gt;=$H53,BF$6&lt;=$I53),$G53,0))</f>
        <v/>
      </c>
      <c r="BG53" s="98">
        <f>IF($H53="",0,IF(AND(BG$6&gt;=$H53,BG$6&lt;=$I53),$G53,0))</f>
        <v/>
      </c>
      <c r="BH53" s="98">
        <f>IF($H53="",0,IF(AND(BH$6&gt;=$H53,BH$6&lt;=$I53),$G53,0))</f>
        <v/>
      </c>
      <c r="BI53" s="98">
        <f>IF($H53="",0,IF(AND(BI$6&gt;=$H53,BI$6&lt;=$I53),$G53,0))</f>
        <v/>
      </c>
      <c r="BJ53" s="98">
        <f>IF($H53="",0,IF(AND(BJ$6&gt;=$H53,BJ$6&lt;=$I53),$G53,0))</f>
        <v/>
      </c>
      <c r="BK53" s="98">
        <f>IF($H53="",0,IF(AND(BK$6&gt;=$H53,BK$6&lt;=$I53),$G53,0))</f>
        <v/>
      </c>
      <c r="BL53" s="98">
        <f>IF($H53="",0,IF(AND(BL$6&gt;=$H53,BL$6&lt;=$I53),$G53,0))</f>
        <v/>
      </c>
      <c r="BM53" s="98">
        <f>IF($H53="",0,IF(AND(BM$6&gt;=$H53,BM$6&lt;=$I53),$G53,0))</f>
        <v/>
      </c>
      <c r="BN53" s="98">
        <f>IF($H53="",0,IF(AND(BN$6&gt;=$H53,BN$6&lt;=$I53),$G53,0))</f>
        <v/>
      </c>
      <c r="BO53" s="98">
        <f>IF($H53="",0,IF(AND(BO$6&gt;=$H53,BO$6&lt;=$I53),$G53,0))</f>
        <v/>
      </c>
      <c r="BP53" s="98">
        <f>IF($H53="",0,IF(AND(BP$6&gt;=$H53,BP$6&lt;=$I53),$G53,0))</f>
        <v/>
      </c>
      <c r="BQ53" s="98">
        <f>IF($H53="",0,IF(AND(BQ$6&gt;=$H53,BQ$6&lt;=$I53),$G53,0))</f>
        <v/>
      </c>
      <c r="BR53" s="98">
        <f>IF($H53="",0,IF(AND(BR$6&gt;=$H53,BR$6&lt;=$I53),$G53,0))</f>
        <v/>
      </c>
      <c r="BS53" s="98">
        <f>IF($H53="",0,IF(AND(BS$6&gt;=$H53,BS$6&lt;=$I53),$G53,0))</f>
        <v/>
      </c>
      <c r="BT53" s="98">
        <f>IF($H53="",0,IF(AND(BT$6&gt;=$H53,BT$6&lt;=$I53),$G53,0))</f>
        <v/>
      </c>
    </row>
    <row r="54">
      <c r="A54" s="74" t="n"/>
      <c r="B54" s="74" t="n"/>
      <c r="C54" s="74" t="n"/>
      <c r="D54" s="73" t="n"/>
      <c r="E54" s="76" t="n"/>
      <c r="F54" s="90" t="n"/>
      <c r="G54" s="84">
        <f>IF(OR($E54="",N($F54)&lt;=0),0,$E54/$F54)</f>
        <v/>
      </c>
      <c r="H54" s="96">
        <f>IF(OR($A54="",$B54="",$D54="",N($F54)&lt;=0),"",IFERROR(IF(DAY($D54)&gt;INDEX(CARTOES_FECHA,MATCH($B54,LISTA_CARTOES,0)),EDATE(DATE(YEAR($D54),MONTH($D54),1),1),DATE(YEAR($D54),MONTH($D54),1)),""))</f>
        <v/>
      </c>
      <c r="I54" s="96">
        <f>IF($H54="","",EDATE($H54,$F54-1))</f>
        <v/>
      </c>
      <c r="J54" s="97">
        <f>IF($H54="",0,MAX(0,MIN($F54,(YEAR($I54)*12+MONTH($I54))-(ANO_SEL*12+MES_SEL))))</f>
        <v/>
      </c>
      <c r="K54" s="84">
        <f>J54*G54</f>
        <v/>
      </c>
      <c r="M54" s="98">
        <f>IF($H54="",0,IF(AND(M$6&gt;=$H54,M$6&lt;=$I54),$G54,0))</f>
        <v/>
      </c>
      <c r="N54" s="98">
        <f>IF($H54="",0,IF(AND(N$6&gt;=$H54,N$6&lt;=$I54),$G54,0))</f>
        <v/>
      </c>
      <c r="O54" s="98">
        <f>IF($H54="",0,IF(AND(O$6&gt;=$H54,O$6&lt;=$I54),$G54,0))</f>
        <v/>
      </c>
      <c r="P54" s="98">
        <f>IF($H54="",0,IF(AND(P$6&gt;=$H54,P$6&lt;=$I54),$G54,0))</f>
        <v/>
      </c>
      <c r="Q54" s="98">
        <f>IF($H54="",0,IF(AND(Q$6&gt;=$H54,Q$6&lt;=$I54),$G54,0))</f>
        <v/>
      </c>
      <c r="R54" s="98">
        <f>IF($H54="",0,IF(AND(R$6&gt;=$H54,R$6&lt;=$I54),$G54,0))</f>
        <v/>
      </c>
      <c r="S54" s="98">
        <f>IF($H54="",0,IF(AND(S$6&gt;=$H54,S$6&lt;=$I54),$G54,0))</f>
        <v/>
      </c>
      <c r="T54" s="98">
        <f>IF($H54="",0,IF(AND(T$6&gt;=$H54,T$6&lt;=$I54),$G54,0))</f>
        <v/>
      </c>
      <c r="U54" s="98">
        <f>IF($H54="",0,IF(AND(U$6&gt;=$H54,U$6&lt;=$I54),$G54,0))</f>
        <v/>
      </c>
      <c r="V54" s="98">
        <f>IF($H54="",0,IF(AND(V$6&gt;=$H54,V$6&lt;=$I54),$G54,0))</f>
        <v/>
      </c>
      <c r="W54" s="98">
        <f>IF($H54="",0,IF(AND(W$6&gt;=$H54,W$6&lt;=$I54),$G54,0))</f>
        <v/>
      </c>
      <c r="X54" s="98">
        <f>IF($H54="",0,IF(AND(X$6&gt;=$H54,X$6&lt;=$I54),$G54,0))</f>
        <v/>
      </c>
      <c r="Y54" s="98">
        <f>IF($H54="",0,IF(AND(Y$6&gt;=$H54,Y$6&lt;=$I54),$G54,0))</f>
        <v/>
      </c>
      <c r="Z54" s="98">
        <f>IF($H54="",0,IF(AND(Z$6&gt;=$H54,Z$6&lt;=$I54),$G54,0))</f>
        <v/>
      </c>
      <c r="AA54" s="98">
        <f>IF($H54="",0,IF(AND(AA$6&gt;=$H54,AA$6&lt;=$I54),$G54,0))</f>
        <v/>
      </c>
      <c r="AB54" s="98">
        <f>IF($H54="",0,IF(AND(AB$6&gt;=$H54,AB$6&lt;=$I54),$G54,0))</f>
        <v/>
      </c>
      <c r="AC54" s="98">
        <f>IF($H54="",0,IF(AND(AC$6&gt;=$H54,AC$6&lt;=$I54),$G54,0))</f>
        <v/>
      </c>
      <c r="AD54" s="98">
        <f>IF($H54="",0,IF(AND(AD$6&gt;=$H54,AD$6&lt;=$I54),$G54,0))</f>
        <v/>
      </c>
      <c r="AE54" s="98">
        <f>IF($H54="",0,IF(AND(AE$6&gt;=$H54,AE$6&lt;=$I54),$G54,0))</f>
        <v/>
      </c>
      <c r="AF54" s="98">
        <f>IF($H54="",0,IF(AND(AF$6&gt;=$H54,AF$6&lt;=$I54),$G54,0))</f>
        <v/>
      </c>
      <c r="AG54" s="98">
        <f>IF($H54="",0,IF(AND(AG$6&gt;=$H54,AG$6&lt;=$I54),$G54,0))</f>
        <v/>
      </c>
      <c r="AH54" s="98">
        <f>IF($H54="",0,IF(AND(AH$6&gt;=$H54,AH$6&lt;=$I54),$G54,0))</f>
        <v/>
      </c>
      <c r="AI54" s="98">
        <f>IF($H54="",0,IF(AND(AI$6&gt;=$H54,AI$6&lt;=$I54),$G54,0))</f>
        <v/>
      </c>
      <c r="AJ54" s="98">
        <f>IF($H54="",0,IF(AND(AJ$6&gt;=$H54,AJ$6&lt;=$I54),$G54,0))</f>
        <v/>
      </c>
      <c r="AK54" s="98">
        <f>IF($H54="",0,IF(AND(AK$6&gt;=$H54,AK$6&lt;=$I54),$G54,0))</f>
        <v/>
      </c>
      <c r="AL54" s="98">
        <f>IF($H54="",0,IF(AND(AL$6&gt;=$H54,AL$6&lt;=$I54),$G54,0))</f>
        <v/>
      </c>
      <c r="AM54" s="98">
        <f>IF($H54="",0,IF(AND(AM$6&gt;=$H54,AM$6&lt;=$I54),$G54,0))</f>
        <v/>
      </c>
      <c r="AN54" s="98">
        <f>IF($H54="",0,IF(AND(AN$6&gt;=$H54,AN$6&lt;=$I54),$G54,0))</f>
        <v/>
      </c>
      <c r="AO54" s="98">
        <f>IF($H54="",0,IF(AND(AO$6&gt;=$H54,AO$6&lt;=$I54),$G54,0))</f>
        <v/>
      </c>
      <c r="AP54" s="98">
        <f>IF($H54="",0,IF(AND(AP$6&gt;=$H54,AP$6&lt;=$I54),$G54,0))</f>
        <v/>
      </c>
      <c r="AQ54" s="98">
        <f>IF($H54="",0,IF(AND(AQ$6&gt;=$H54,AQ$6&lt;=$I54),$G54,0))</f>
        <v/>
      </c>
      <c r="AR54" s="98">
        <f>IF($H54="",0,IF(AND(AR$6&gt;=$H54,AR$6&lt;=$I54),$G54,0))</f>
        <v/>
      </c>
      <c r="AS54" s="98">
        <f>IF($H54="",0,IF(AND(AS$6&gt;=$H54,AS$6&lt;=$I54),$G54,0))</f>
        <v/>
      </c>
      <c r="AT54" s="98">
        <f>IF($H54="",0,IF(AND(AT$6&gt;=$H54,AT$6&lt;=$I54),$G54,0))</f>
        <v/>
      </c>
      <c r="AU54" s="98">
        <f>IF($H54="",0,IF(AND(AU$6&gt;=$H54,AU$6&lt;=$I54),$G54,0))</f>
        <v/>
      </c>
      <c r="AV54" s="98">
        <f>IF($H54="",0,IF(AND(AV$6&gt;=$H54,AV$6&lt;=$I54),$G54,0))</f>
        <v/>
      </c>
      <c r="AW54" s="98">
        <f>IF($H54="",0,IF(AND(AW$6&gt;=$H54,AW$6&lt;=$I54),$G54,0))</f>
        <v/>
      </c>
      <c r="AX54" s="98">
        <f>IF($H54="",0,IF(AND(AX$6&gt;=$H54,AX$6&lt;=$I54),$G54,0))</f>
        <v/>
      </c>
      <c r="AY54" s="98">
        <f>IF($H54="",0,IF(AND(AY$6&gt;=$H54,AY$6&lt;=$I54),$G54,0))</f>
        <v/>
      </c>
      <c r="AZ54" s="98">
        <f>IF($H54="",0,IF(AND(AZ$6&gt;=$H54,AZ$6&lt;=$I54),$G54,0))</f>
        <v/>
      </c>
      <c r="BA54" s="98">
        <f>IF($H54="",0,IF(AND(BA$6&gt;=$H54,BA$6&lt;=$I54),$G54,0))</f>
        <v/>
      </c>
      <c r="BB54" s="98">
        <f>IF($H54="",0,IF(AND(BB$6&gt;=$H54,BB$6&lt;=$I54),$G54,0))</f>
        <v/>
      </c>
      <c r="BC54" s="98">
        <f>IF($H54="",0,IF(AND(BC$6&gt;=$H54,BC$6&lt;=$I54),$G54,0))</f>
        <v/>
      </c>
      <c r="BD54" s="98">
        <f>IF($H54="",0,IF(AND(BD$6&gt;=$H54,BD$6&lt;=$I54),$G54,0))</f>
        <v/>
      </c>
      <c r="BE54" s="98">
        <f>IF($H54="",0,IF(AND(BE$6&gt;=$H54,BE$6&lt;=$I54),$G54,0))</f>
        <v/>
      </c>
      <c r="BF54" s="98">
        <f>IF($H54="",0,IF(AND(BF$6&gt;=$H54,BF$6&lt;=$I54),$G54,0))</f>
        <v/>
      </c>
      <c r="BG54" s="98">
        <f>IF($H54="",0,IF(AND(BG$6&gt;=$H54,BG$6&lt;=$I54),$G54,0))</f>
        <v/>
      </c>
      <c r="BH54" s="98">
        <f>IF($H54="",0,IF(AND(BH$6&gt;=$H54,BH$6&lt;=$I54),$G54,0))</f>
        <v/>
      </c>
      <c r="BI54" s="98">
        <f>IF($H54="",0,IF(AND(BI$6&gt;=$H54,BI$6&lt;=$I54),$G54,0))</f>
        <v/>
      </c>
      <c r="BJ54" s="98">
        <f>IF($H54="",0,IF(AND(BJ$6&gt;=$H54,BJ$6&lt;=$I54),$G54,0))</f>
        <v/>
      </c>
      <c r="BK54" s="98">
        <f>IF($H54="",0,IF(AND(BK$6&gt;=$H54,BK$6&lt;=$I54),$G54,0))</f>
        <v/>
      </c>
      <c r="BL54" s="98">
        <f>IF($H54="",0,IF(AND(BL$6&gt;=$H54,BL$6&lt;=$I54),$G54,0))</f>
        <v/>
      </c>
      <c r="BM54" s="98">
        <f>IF($H54="",0,IF(AND(BM$6&gt;=$H54,BM$6&lt;=$I54),$G54,0))</f>
        <v/>
      </c>
      <c r="BN54" s="98">
        <f>IF($H54="",0,IF(AND(BN$6&gt;=$H54,BN$6&lt;=$I54),$G54,0))</f>
        <v/>
      </c>
      <c r="BO54" s="98">
        <f>IF($H54="",0,IF(AND(BO$6&gt;=$H54,BO$6&lt;=$I54),$G54,0))</f>
        <v/>
      </c>
      <c r="BP54" s="98">
        <f>IF($H54="",0,IF(AND(BP$6&gt;=$H54,BP$6&lt;=$I54),$G54,0))</f>
        <v/>
      </c>
      <c r="BQ54" s="98">
        <f>IF($H54="",0,IF(AND(BQ$6&gt;=$H54,BQ$6&lt;=$I54),$G54,0))</f>
        <v/>
      </c>
      <c r="BR54" s="98">
        <f>IF($H54="",0,IF(AND(BR$6&gt;=$H54,BR$6&lt;=$I54),$G54,0))</f>
        <v/>
      </c>
      <c r="BS54" s="98">
        <f>IF($H54="",0,IF(AND(BS$6&gt;=$H54,BS$6&lt;=$I54),$G54,0))</f>
        <v/>
      </c>
      <c r="BT54" s="98">
        <f>IF($H54="",0,IF(AND(BT$6&gt;=$H54,BT$6&lt;=$I54),$G54,0))</f>
        <v/>
      </c>
    </row>
    <row r="55">
      <c r="A55" s="74" t="n"/>
      <c r="B55" s="74" t="n"/>
      <c r="C55" s="74" t="n"/>
      <c r="D55" s="73" t="n"/>
      <c r="E55" s="76" t="n"/>
      <c r="F55" s="90" t="n"/>
      <c r="G55" s="84">
        <f>IF(OR($E55="",N($F55)&lt;=0),0,$E55/$F55)</f>
        <v/>
      </c>
      <c r="H55" s="96">
        <f>IF(OR($A55="",$B55="",$D55="",N($F55)&lt;=0),"",IFERROR(IF(DAY($D55)&gt;INDEX(CARTOES_FECHA,MATCH($B55,LISTA_CARTOES,0)),EDATE(DATE(YEAR($D55),MONTH($D55),1),1),DATE(YEAR($D55),MONTH($D55),1)),""))</f>
        <v/>
      </c>
      <c r="I55" s="96">
        <f>IF($H55="","",EDATE($H55,$F55-1))</f>
        <v/>
      </c>
      <c r="J55" s="97">
        <f>IF($H55="",0,MAX(0,MIN($F55,(YEAR($I55)*12+MONTH($I55))-(ANO_SEL*12+MES_SEL))))</f>
        <v/>
      </c>
      <c r="K55" s="84">
        <f>J55*G55</f>
        <v/>
      </c>
      <c r="M55" s="98">
        <f>IF($H55="",0,IF(AND(M$6&gt;=$H55,M$6&lt;=$I55),$G55,0))</f>
        <v/>
      </c>
      <c r="N55" s="98">
        <f>IF($H55="",0,IF(AND(N$6&gt;=$H55,N$6&lt;=$I55),$G55,0))</f>
        <v/>
      </c>
      <c r="O55" s="98">
        <f>IF($H55="",0,IF(AND(O$6&gt;=$H55,O$6&lt;=$I55),$G55,0))</f>
        <v/>
      </c>
      <c r="P55" s="98">
        <f>IF($H55="",0,IF(AND(P$6&gt;=$H55,P$6&lt;=$I55),$G55,0))</f>
        <v/>
      </c>
      <c r="Q55" s="98">
        <f>IF($H55="",0,IF(AND(Q$6&gt;=$H55,Q$6&lt;=$I55),$G55,0))</f>
        <v/>
      </c>
      <c r="R55" s="98">
        <f>IF($H55="",0,IF(AND(R$6&gt;=$H55,R$6&lt;=$I55),$G55,0))</f>
        <v/>
      </c>
      <c r="S55" s="98">
        <f>IF($H55="",0,IF(AND(S$6&gt;=$H55,S$6&lt;=$I55),$G55,0))</f>
        <v/>
      </c>
      <c r="T55" s="98">
        <f>IF($H55="",0,IF(AND(T$6&gt;=$H55,T$6&lt;=$I55),$G55,0))</f>
        <v/>
      </c>
      <c r="U55" s="98">
        <f>IF($H55="",0,IF(AND(U$6&gt;=$H55,U$6&lt;=$I55),$G55,0))</f>
        <v/>
      </c>
      <c r="V55" s="98">
        <f>IF($H55="",0,IF(AND(V$6&gt;=$H55,V$6&lt;=$I55),$G55,0))</f>
        <v/>
      </c>
      <c r="W55" s="98">
        <f>IF($H55="",0,IF(AND(W$6&gt;=$H55,W$6&lt;=$I55),$G55,0))</f>
        <v/>
      </c>
      <c r="X55" s="98">
        <f>IF($H55="",0,IF(AND(X$6&gt;=$H55,X$6&lt;=$I55),$G55,0))</f>
        <v/>
      </c>
      <c r="Y55" s="98">
        <f>IF($H55="",0,IF(AND(Y$6&gt;=$H55,Y$6&lt;=$I55),$G55,0))</f>
        <v/>
      </c>
      <c r="Z55" s="98">
        <f>IF($H55="",0,IF(AND(Z$6&gt;=$H55,Z$6&lt;=$I55),$G55,0))</f>
        <v/>
      </c>
      <c r="AA55" s="98">
        <f>IF($H55="",0,IF(AND(AA$6&gt;=$H55,AA$6&lt;=$I55),$G55,0))</f>
        <v/>
      </c>
      <c r="AB55" s="98">
        <f>IF($H55="",0,IF(AND(AB$6&gt;=$H55,AB$6&lt;=$I55),$G55,0))</f>
        <v/>
      </c>
      <c r="AC55" s="98">
        <f>IF($H55="",0,IF(AND(AC$6&gt;=$H55,AC$6&lt;=$I55),$G55,0))</f>
        <v/>
      </c>
      <c r="AD55" s="98">
        <f>IF($H55="",0,IF(AND(AD$6&gt;=$H55,AD$6&lt;=$I55),$G55,0))</f>
        <v/>
      </c>
      <c r="AE55" s="98">
        <f>IF($H55="",0,IF(AND(AE$6&gt;=$H55,AE$6&lt;=$I55),$G55,0))</f>
        <v/>
      </c>
      <c r="AF55" s="98">
        <f>IF($H55="",0,IF(AND(AF$6&gt;=$H55,AF$6&lt;=$I55),$G55,0))</f>
        <v/>
      </c>
      <c r="AG55" s="98">
        <f>IF($H55="",0,IF(AND(AG$6&gt;=$H55,AG$6&lt;=$I55),$G55,0))</f>
        <v/>
      </c>
      <c r="AH55" s="98">
        <f>IF($H55="",0,IF(AND(AH$6&gt;=$H55,AH$6&lt;=$I55),$G55,0))</f>
        <v/>
      </c>
      <c r="AI55" s="98">
        <f>IF($H55="",0,IF(AND(AI$6&gt;=$H55,AI$6&lt;=$I55),$G55,0))</f>
        <v/>
      </c>
      <c r="AJ55" s="98">
        <f>IF($H55="",0,IF(AND(AJ$6&gt;=$H55,AJ$6&lt;=$I55),$G55,0))</f>
        <v/>
      </c>
      <c r="AK55" s="98">
        <f>IF($H55="",0,IF(AND(AK$6&gt;=$H55,AK$6&lt;=$I55),$G55,0))</f>
        <v/>
      </c>
      <c r="AL55" s="98">
        <f>IF($H55="",0,IF(AND(AL$6&gt;=$H55,AL$6&lt;=$I55),$G55,0))</f>
        <v/>
      </c>
      <c r="AM55" s="98">
        <f>IF($H55="",0,IF(AND(AM$6&gt;=$H55,AM$6&lt;=$I55),$G55,0))</f>
        <v/>
      </c>
      <c r="AN55" s="98">
        <f>IF($H55="",0,IF(AND(AN$6&gt;=$H55,AN$6&lt;=$I55),$G55,0))</f>
        <v/>
      </c>
      <c r="AO55" s="98">
        <f>IF($H55="",0,IF(AND(AO$6&gt;=$H55,AO$6&lt;=$I55),$G55,0))</f>
        <v/>
      </c>
      <c r="AP55" s="98">
        <f>IF($H55="",0,IF(AND(AP$6&gt;=$H55,AP$6&lt;=$I55),$G55,0))</f>
        <v/>
      </c>
      <c r="AQ55" s="98">
        <f>IF($H55="",0,IF(AND(AQ$6&gt;=$H55,AQ$6&lt;=$I55),$G55,0))</f>
        <v/>
      </c>
      <c r="AR55" s="98">
        <f>IF($H55="",0,IF(AND(AR$6&gt;=$H55,AR$6&lt;=$I55),$G55,0))</f>
        <v/>
      </c>
      <c r="AS55" s="98">
        <f>IF($H55="",0,IF(AND(AS$6&gt;=$H55,AS$6&lt;=$I55),$G55,0))</f>
        <v/>
      </c>
      <c r="AT55" s="98">
        <f>IF($H55="",0,IF(AND(AT$6&gt;=$H55,AT$6&lt;=$I55),$G55,0))</f>
        <v/>
      </c>
      <c r="AU55" s="98">
        <f>IF($H55="",0,IF(AND(AU$6&gt;=$H55,AU$6&lt;=$I55),$G55,0))</f>
        <v/>
      </c>
      <c r="AV55" s="98">
        <f>IF($H55="",0,IF(AND(AV$6&gt;=$H55,AV$6&lt;=$I55),$G55,0))</f>
        <v/>
      </c>
      <c r="AW55" s="98">
        <f>IF($H55="",0,IF(AND(AW$6&gt;=$H55,AW$6&lt;=$I55),$G55,0))</f>
        <v/>
      </c>
      <c r="AX55" s="98">
        <f>IF($H55="",0,IF(AND(AX$6&gt;=$H55,AX$6&lt;=$I55),$G55,0))</f>
        <v/>
      </c>
      <c r="AY55" s="98">
        <f>IF($H55="",0,IF(AND(AY$6&gt;=$H55,AY$6&lt;=$I55),$G55,0))</f>
        <v/>
      </c>
      <c r="AZ55" s="98">
        <f>IF($H55="",0,IF(AND(AZ$6&gt;=$H55,AZ$6&lt;=$I55),$G55,0))</f>
        <v/>
      </c>
      <c r="BA55" s="98">
        <f>IF($H55="",0,IF(AND(BA$6&gt;=$H55,BA$6&lt;=$I55),$G55,0))</f>
        <v/>
      </c>
      <c r="BB55" s="98">
        <f>IF($H55="",0,IF(AND(BB$6&gt;=$H55,BB$6&lt;=$I55),$G55,0))</f>
        <v/>
      </c>
      <c r="BC55" s="98">
        <f>IF($H55="",0,IF(AND(BC$6&gt;=$H55,BC$6&lt;=$I55),$G55,0))</f>
        <v/>
      </c>
      <c r="BD55" s="98">
        <f>IF($H55="",0,IF(AND(BD$6&gt;=$H55,BD$6&lt;=$I55),$G55,0))</f>
        <v/>
      </c>
      <c r="BE55" s="98">
        <f>IF($H55="",0,IF(AND(BE$6&gt;=$H55,BE$6&lt;=$I55),$G55,0))</f>
        <v/>
      </c>
      <c r="BF55" s="98">
        <f>IF($H55="",0,IF(AND(BF$6&gt;=$H55,BF$6&lt;=$I55),$G55,0))</f>
        <v/>
      </c>
      <c r="BG55" s="98">
        <f>IF($H55="",0,IF(AND(BG$6&gt;=$H55,BG$6&lt;=$I55),$G55,0))</f>
        <v/>
      </c>
      <c r="BH55" s="98">
        <f>IF($H55="",0,IF(AND(BH$6&gt;=$H55,BH$6&lt;=$I55),$G55,0))</f>
        <v/>
      </c>
      <c r="BI55" s="98">
        <f>IF($H55="",0,IF(AND(BI$6&gt;=$H55,BI$6&lt;=$I55),$G55,0))</f>
        <v/>
      </c>
      <c r="BJ55" s="98">
        <f>IF($H55="",0,IF(AND(BJ$6&gt;=$H55,BJ$6&lt;=$I55),$G55,0))</f>
        <v/>
      </c>
      <c r="BK55" s="98">
        <f>IF($H55="",0,IF(AND(BK$6&gt;=$H55,BK$6&lt;=$I55),$G55,0))</f>
        <v/>
      </c>
      <c r="BL55" s="98">
        <f>IF($H55="",0,IF(AND(BL$6&gt;=$H55,BL$6&lt;=$I55),$G55,0))</f>
        <v/>
      </c>
      <c r="BM55" s="98">
        <f>IF($H55="",0,IF(AND(BM$6&gt;=$H55,BM$6&lt;=$I55),$G55,0))</f>
        <v/>
      </c>
      <c r="BN55" s="98">
        <f>IF($H55="",0,IF(AND(BN$6&gt;=$H55,BN$6&lt;=$I55),$G55,0))</f>
        <v/>
      </c>
      <c r="BO55" s="98">
        <f>IF($H55="",0,IF(AND(BO$6&gt;=$H55,BO$6&lt;=$I55),$G55,0))</f>
        <v/>
      </c>
      <c r="BP55" s="98">
        <f>IF($H55="",0,IF(AND(BP$6&gt;=$H55,BP$6&lt;=$I55),$G55,0))</f>
        <v/>
      </c>
      <c r="BQ55" s="98">
        <f>IF($H55="",0,IF(AND(BQ$6&gt;=$H55,BQ$6&lt;=$I55),$G55,0))</f>
        <v/>
      </c>
      <c r="BR55" s="98">
        <f>IF($H55="",0,IF(AND(BR$6&gt;=$H55,BR$6&lt;=$I55),$G55,0))</f>
        <v/>
      </c>
      <c r="BS55" s="98">
        <f>IF($H55="",0,IF(AND(BS$6&gt;=$H55,BS$6&lt;=$I55),$G55,0))</f>
        <v/>
      </c>
      <c r="BT55" s="98">
        <f>IF($H55="",0,IF(AND(BT$6&gt;=$H55,BT$6&lt;=$I55),$G55,0))</f>
        <v/>
      </c>
    </row>
    <row r="56">
      <c r="A56" s="74" t="n"/>
      <c r="B56" s="74" t="n"/>
      <c r="C56" s="74" t="n"/>
      <c r="D56" s="73" t="n"/>
      <c r="E56" s="76" t="n"/>
      <c r="F56" s="90" t="n"/>
      <c r="G56" s="84">
        <f>IF(OR($E56="",N($F56)&lt;=0),0,$E56/$F56)</f>
        <v/>
      </c>
      <c r="H56" s="96">
        <f>IF(OR($A56="",$B56="",$D56="",N($F56)&lt;=0),"",IFERROR(IF(DAY($D56)&gt;INDEX(CARTOES_FECHA,MATCH($B56,LISTA_CARTOES,0)),EDATE(DATE(YEAR($D56),MONTH($D56),1),1),DATE(YEAR($D56),MONTH($D56),1)),""))</f>
        <v/>
      </c>
      <c r="I56" s="96">
        <f>IF($H56="","",EDATE($H56,$F56-1))</f>
        <v/>
      </c>
      <c r="J56" s="97">
        <f>IF($H56="",0,MAX(0,MIN($F56,(YEAR($I56)*12+MONTH($I56))-(ANO_SEL*12+MES_SEL))))</f>
        <v/>
      </c>
      <c r="K56" s="84">
        <f>J56*G56</f>
        <v/>
      </c>
      <c r="M56" s="98">
        <f>IF($H56="",0,IF(AND(M$6&gt;=$H56,M$6&lt;=$I56),$G56,0))</f>
        <v/>
      </c>
      <c r="N56" s="98">
        <f>IF($H56="",0,IF(AND(N$6&gt;=$H56,N$6&lt;=$I56),$G56,0))</f>
        <v/>
      </c>
      <c r="O56" s="98">
        <f>IF($H56="",0,IF(AND(O$6&gt;=$H56,O$6&lt;=$I56),$G56,0))</f>
        <v/>
      </c>
      <c r="P56" s="98">
        <f>IF($H56="",0,IF(AND(P$6&gt;=$H56,P$6&lt;=$I56),$G56,0))</f>
        <v/>
      </c>
      <c r="Q56" s="98">
        <f>IF($H56="",0,IF(AND(Q$6&gt;=$H56,Q$6&lt;=$I56),$G56,0))</f>
        <v/>
      </c>
      <c r="R56" s="98">
        <f>IF($H56="",0,IF(AND(R$6&gt;=$H56,R$6&lt;=$I56),$G56,0))</f>
        <v/>
      </c>
      <c r="S56" s="98">
        <f>IF($H56="",0,IF(AND(S$6&gt;=$H56,S$6&lt;=$I56),$G56,0))</f>
        <v/>
      </c>
      <c r="T56" s="98">
        <f>IF($H56="",0,IF(AND(T$6&gt;=$H56,T$6&lt;=$I56),$G56,0))</f>
        <v/>
      </c>
      <c r="U56" s="98">
        <f>IF($H56="",0,IF(AND(U$6&gt;=$H56,U$6&lt;=$I56),$G56,0))</f>
        <v/>
      </c>
      <c r="V56" s="98">
        <f>IF($H56="",0,IF(AND(V$6&gt;=$H56,V$6&lt;=$I56),$G56,0))</f>
        <v/>
      </c>
      <c r="W56" s="98">
        <f>IF($H56="",0,IF(AND(W$6&gt;=$H56,W$6&lt;=$I56),$G56,0))</f>
        <v/>
      </c>
      <c r="X56" s="98">
        <f>IF($H56="",0,IF(AND(X$6&gt;=$H56,X$6&lt;=$I56),$G56,0))</f>
        <v/>
      </c>
      <c r="Y56" s="98">
        <f>IF($H56="",0,IF(AND(Y$6&gt;=$H56,Y$6&lt;=$I56),$G56,0))</f>
        <v/>
      </c>
      <c r="Z56" s="98">
        <f>IF($H56="",0,IF(AND(Z$6&gt;=$H56,Z$6&lt;=$I56),$G56,0))</f>
        <v/>
      </c>
      <c r="AA56" s="98">
        <f>IF($H56="",0,IF(AND(AA$6&gt;=$H56,AA$6&lt;=$I56),$G56,0))</f>
        <v/>
      </c>
      <c r="AB56" s="98">
        <f>IF($H56="",0,IF(AND(AB$6&gt;=$H56,AB$6&lt;=$I56),$G56,0))</f>
        <v/>
      </c>
      <c r="AC56" s="98">
        <f>IF($H56="",0,IF(AND(AC$6&gt;=$H56,AC$6&lt;=$I56),$G56,0))</f>
        <v/>
      </c>
      <c r="AD56" s="98">
        <f>IF($H56="",0,IF(AND(AD$6&gt;=$H56,AD$6&lt;=$I56),$G56,0))</f>
        <v/>
      </c>
      <c r="AE56" s="98">
        <f>IF($H56="",0,IF(AND(AE$6&gt;=$H56,AE$6&lt;=$I56),$G56,0))</f>
        <v/>
      </c>
      <c r="AF56" s="98">
        <f>IF($H56="",0,IF(AND(AF$6&gt;=$H56,AF$6&lt;=$I56),$G56,0))</f>
        <v/>
      </c>
      <c r="AG56" s="98">
        <f>IF($H56="",0,IF(AND(AG$6&gt;=$H56,AG$6&lt;=$I56),$G56,0))</f>
        <v/>
      </c>
      <c r="AH56" s="98">
        <f>IF($H56="",0,IF(AND(AH$6&gt;=$H56,AH$6&lt;=$I56),$G56,0))</f>
        <v/>
      </c>
      <c r="AI56" s="98">
        <f>IF($H56="",0,IF(AND(AI$6&gt;=$H56,AI$6&lt;=$I56),$G56,0))</f>
        <v/>
      </c>
      <c r="AJ56" s="98">
        <f>IF($H56="",0,IF(AND(AJ$6&gt;=$H56,AJ$6&lt;=$I56),$G56,0))</f>
        <v/>
      </c>
      <c r="AK56" s="98">
        <f>IF($H56="",0,IF(AND(AK$6&gt;=$H56,AK$6&lt;=$I56),$G56,0))</f>
        <v/>
      </c>
      <c r="AL56" s="98">
        <f>IF($H56="",0,IF(AND(AL$6&gt;=$H56,AL$6&lt;=$I56),$G56,0))</f>
        <v/>
      </c>
      <c r="AM56" s="98">
        <f>IF($H56="",0,IF(AND(AM$6&gt;=$H56,AM$6&lt;=$I56),$G56,0))</f>
        <v/>
      </c>
      <c r="AN56" s="98">
        <f>IF($H56="",0,IF(AND(AN$6&gt;=$H56,AN$6&lt;=$I56),$G56,0))</f>
        <v/>
      </c>
      <c r="AO56" s="98">
        <f>IF($H56="",0,IF(AND(AO$6&gt;=$H56,AO$6&lt;=$I56),$G56,0))</f>
        <v/>
      </c>
      <c r="AP56" s="98">
        <f>IF($H56="",0,IF(AND(AP$6&gt;=$H56,AP$6&lt;=$I56),$G56,0))</f>
        <v/>
      </c>
      <c r="AQ56" s="98">
        <f>IF($H56="",0,IF(AND(AQ$6&gt;=$H56,AQ$6&lt;=$I56),$G56,0))</f>
        <v/>
      </c>
      <c r="AR56" s="98">
        <f>IF($H56="",0,IF(AND(AR$6&gt;=$H56,AR$6&lt;=$I56),$G56,0))</f>
        <v/>
      </c>
      <c r="AS56" s="98">
        <f>IF($H56="",0,IF(AND(AS$6&gt;=$H56,AS$6&lt;=$I56),$G56,0))</f>
        <v/>
      </c>
      <c r="AT56" s="98">
        <f>IF($H56="",0,IF(AND(AT$6&gt;=$H56,AT$6&lt;=$I56),$G56,0))</f>
        <v/>
      </c>
      <c r="AU56" s="98">
        <f>IF($H56="",0,IF(AND(AU$6&gt;=$H56,AU$6&lt;=$I56),$G56,0))</f>
        <v/>
      </c>
      <c r="AV56" s="98">
        <f>IF($H56="",0,IF(AND(AV$6&gt;=$H56,AV$6&lt;=$I56),$G56,0))</f>
        <v/>
      </c>
      <c r="AW56" s="98">
        <f>IF($H56="",0,IF(AND(AW$6&gt;=$H56,AW$6&lt;=$I56),$G56,0))</f>
        <v/>
      </c>
      <c r="AX56" s="98">
        <f>IF($H56="",0,IF(AND(AX$6&gt;=$H56,AX$6&lt;=$I56),$G56,0))</f>
        <v/>
      </c>
      <c r="AY56" s="98">
        <f>IF($H56="",0,IF(AND(AY$6&gt;=$H56,AY$6&lt;=$I56),$G56,0))</f>
        <v/>
      </c>
      <c r="AZ56" s="98">
        <f>IF($H56="",0,IF(AND(AZ$6&gt;=$H56,AZ$6&lt;=$I56),$G56,0))</f>
        <v/>
      </c>
      <c r="BA56" s="98">
        <f>IF($H56="",0,IF(AND(BA$6&gt;=$H56,BA$6&lt;=$I56),$G56,0))</f>
        <v/>
      </c>
      <c r="BB56" s="98">
        <f>IF($H56="",0,IF(AND(BB$6&gt;=$H56,BB$6&lt;=$I56),$G56,0))</f>
        <v/>
      </c>
      <c r="BC56" s="98">
        <f>IF($H56="",0,IF(AND(BC$6&gt;=$H56,BC$6&lt;=$I56),$G56,0))</f>
        <v/>
      </c>
      <c r="BD56" s="98">
        <f>IF($H56="",0,IF(AND(BD$6&gt;=$H56,BD$6&lt;=$I56),$G56,0))</f>
        <v/>
      </c>
      <c r="BE56" s="98">
        <f>IF($H56="",0,IF(AND(BE$6&gt;=$H56,BE$6&lt;=$I56),$G56,0))</f>
        <v/>
      </c>
      <c r="BF56" s="98">
        <f>IF($H56="",0,IF(AND(BF$6&gt;=$H56,BF$6&lt;=$I56),$G56,0))</f>
        <v/>
      </c>
      <c r="BG56" s="98">
        <f>IF($H56="",0,IF(AND(BG$6&gt;=$H56,BG$6&lt;=$I56),$G56,0))</f>
        <v/>
      </c>
      <c r="BH56" s="98">
        <f>IF($H56="",0,IF(AND(BH$6&gt;=$H56,BH$6&lt;=$I56),$G56,0))</f>
        <v/>
      </c>
      <c r="BI56" s="98">
        <f>IF($H56="",0,IF(AND(BI$6&gt;=$H56,BI$6&lt;=$I56),$G56,0))</f>
        <v/>
      </c>
      <c r="BJ56" s="98">
        <f>IF($H56="",0,IF(AND(BJ$6&gt;=$H56,BJ$6&lt;=$I56),$G56,0))</f>
        <v/>
      </c>
      <c r="BK56" s="98">
        <f>IF($H56="",0,IF(AND(BK$6&gt;=$H56,BK$6&lt;=$I56),$G56,0))</f>
        <v/>
      </c>
      <c r="BL56" s="98">
        <f>IF($H56="",0,IF(AND(BL$6&gt;=$H56,BL$6&lt;=$I56),$G56,0))</f>
        <v/>
      </c>
      <c r="BM56" s="98">
        <f>IF($H56="",0,IF(AND(BM$6&gt;=$H56,BM$6&lt;=$I56),$G56,0))</f>
        <v/>
      </c>
      <c r="BN56" s="98">
        <f>IF($H56="",0,IF(AND(BN$6&gt;=$H56,BN$6&lt;=$I56),$G56,0))</f>
        <v/>
      </c>
      <c r="BO56" s="98">
        <f>IF($H56="",0,IF(AND(BO$6&gt;=$H56,BO$6&lt;=$I56),$G56,0))</f>
        <v/>
      </c>
      <c r="BP56" s="98">
        <f>IF($H56="",0,IF(AND(BP$6&gt;=$H56,BP$6&lt;=$I56),$G56,0))</f>
        <v/>
      </c>
      <c r="BQ56" s="98">
        <f>IF($H56="",0,IF(AND(BQ$6&gt;=$H56,BQ$6&lt;=$I56),$G56,0))</f>
        <v/>
      </c>
      <c r="BR56" s="98">
        <f>IF($H56="",0,IF(AND(BR$6&gt;=$H56,BR$6&lt;=$I56),$G56,0))</f>
        <v/>
      </c>
      <c r="BS56" s="98">
        <f>IF($H56="",0,IF(AND(BS$6&gt;=$H56,BS$6&lt;=$I56),$G56,0))</f>
        <v/>
      </c>
      <c r="BT56" s="98">
        <f>IF($H56="",0,IF(AND(BT$6&gt;=$H56,BT$6&lt;=$I56),$G56,0))</f>
        <v/>
      </c>
    </row>
    <row r="57">
      <c r="A57" s="74" t="n"/>
      <c r="B57" s="74" t="n"/>
      <c r="C57" s="74" t="n"/>
      <c r="D57" s="73" t="n"/>
      <c r="E57" s="76" t="n"/>
      <c r="F57" s="90" t="n"/>
      <c r="G57" s="84">
        <f>IF(OR($E57="",N($F57)&lt;=0),0,$E57/$F57)</f>
        <v/>
      </c>
      <c r="H57" s="96">
        <f>IF(OR($A57="",$B57="",$D57="",N($F57)&lt;=0),"",IFERROR(IF(DAY($D57)&gt;INDEX(CARTOES_FECHA,MATCH($B57,LISTA_CARTOES,0)),EDATE(DATE(YEAR($D57),MONTH($D57),1),1),DATE(YEAR($D57),MONTH($D57),1)),""))</f>
        <v/>
      </c>
      <c r="I57" s="96">
        <f>IF($H57="","",EDATE($H57,$F57-1))</f>
        <v/>
      </c>
      <c r="J57" s="97">
        <f>IF($H57="",0,MAX(0,MIN($F57,(YEAR($I57)*12+MONTH($I57))-(ANO_SEL*12+MES_SEL))))</f>
        <v/>
      </c>
      <c r="K57" s="84">
        <f>J57*G57</f>
        <v/>
      </c>
      <c r="M57" s="98">
        <f>IF($H57="",0,IF(AND(M$6&gt;=$H57,M$6&lt;=$I57),$G57,0))</f>
        <v/>
      </c>
      <c r="N57" s="98">
        <f>IF($H57="",0,IF(AND(N$6&gt;=$H57,N$6&lt;=$I57),$G57,0))</f>
        <v/>
      </c>
      <c r="O57" s="98">
        <f>IF($H57="",0,IF(AND(O$6&gt;=$H57,O$6&lt;=$I57),$G57,0))</f>
        <v/>
      </c>
      <c r="P57" s="98">
        <f>IF($H57="",0,IF(AND(P$6&gt;=$H57,P$6&lt;=$I57),$G57,0))</f>
        <v/>
      </c>
      <c r="Q57" s="98">
        <f>IF($H57="",0,IF(AND(Q$6&gt;=$H57,Q$6&lt;=$I57),$G57,0))</f>
        <v/>
      </c>
      <c r="R57" s="98">
        <f>IF($H57="",0,IF(AND(R$6&gt;=$H57,R$6&lt;=$I57),$G57,0))</f>
        <v/>
      </c>
      <c r="S57" s="98">
        <f>IF($H57="",0,IF(AND(S$6&gt;=$H57,S$6&lt;=$I57),$G57,0))</f>
        <v/>
      </c>
      <c r="T57" s="98">
        <f>IF($H57="",0,IF(AND(T$6&gt;=$H57,T$6&lt;=$I57),$G57,0))</f>
        <v/>
      </c>
      <c r="U57" s="98">
        <f>IF($H57="",0,IF(AND(U$6&gt;=$H57,U$6&lt;=$I57),$G57,0))</f>
        <v/>
      </c>
      <c r="V57" s="98">
        <f>IF($H57="",0,IF(AND(V$6&gt;=$H57,V$6&lt;=$I57),$G57,0))</f>
        <v/>
      </c>
      <c r="W57" s="98">
        <f>IF($H57="",0,IF(AND(W$6&gt;=$H57,W$6&lt;=$I57),$G57,0))</f>
        <v/>
      </c>
      <c r="X57" s="98">
        <f>IF($H57="",0,IF(AND(X$6&gt;=$H57,X$6&lt;=$I57),$G57,0))</f>
        <v/>
      </c>
      <c r="Y57" s="98">
        <f>IF($H57="",0,IF(AND(Y$6&gt;=$H57,Y$6&lt;=$I57),$G57,0))</f>
        <v/>
      </c>
      <c r="Z57" s="98">
        <f>IF($H57="",0,IF(AND(Z$6&gt;=$H57,Z$6&lt;=$I57),$G57,0))</f>
        <v/>
      </c>
      <c r="AA57" s="98">
        <f>IF($H57="",0,IF(AND(AA$6&gt;=$H57,AA$6&lt;=$I57),$G57,0))</f>
        <v/>
      </c>
      <c r="AB57" s="98">
        <f>IF($H57="",0,IF(AND(AB$6&gt;=$H57,AB$6&lt;=$I57),$G57,0))</f>
        <v/>
      </c>
      <c r="AC57" s="98">
        <f>IF($H57="",0,IF(AND(AC$6&gt;=$H57,AC$6&lt;=$I57),$G57,0))</f>
        <v/>
      </c>
      <c r="AD57" s="98">
        <f>IF($H57="",0,IF(AND(AD$6&gt;=$H57,AD$6&lt;=$I57),$G57,0))</f>
        <v/>
      </c>
      <c r="AE57" s="98">
        <f>IF($H57="",0,IF(AND(AE$6&gt;=$H57,AE$6&lt;=$I57),$G57,0))</f>
        <v/>
      </c>
      <c r="AF57" s="98">
        <f>IF($H57="",0,IF(AND(AF$6&gt;=$H57,AF$6&lt;=$I57),$G57,0))</f>
        <v/>
      </c>
      <c r="AG57" s="98">
        <f>IF($H57="",0,IF(AND(AG$6&gt;=$H57,AG$6&lt;=$I57),$G57,0))</f>
        <v/>
      </c>
      <c r="AH57" s="98">
        <f>IF($H57="",0,IF(AND(AH$6&gt;=$H57,AH$6&lt;=$I57),$G57,0))</f>
        <v/>
      </c>
      <c r="AI57" s="98">
        <f>IF($H57="",0,IF(AND(AI$6&gt;=$H57,AI$6&lt;=$I57),$G57,0))</f>
        <v/>
      </c>
      <c r="AJ57" s="98">
        <f>IF($H57="",0,IF(AND(AJ$6&gt;=$H57,AJ$6&lt;=$I57),$G57,0))</f>
        <v/>
      </c>
      <c r="AK57" s="98">
        <f>IF($H57="",0,IF(AND(AK$6&gt;=$H57,AK$6&lt;=$I57),$G57,0))</f>
        <v/>
      </c>
      <c r="AL57" s="98">
        <f>IF($H57="",0,IF(AND(AL$6&gt;=$H57,AL$6&lt;=$I57),$G57,0))</f>
        <v/>
      </c>
      <c r="AM57" s="98">
        <f>IF($H57="",0,IF(AND(AM$6&gt;=$H57,AM$6&lt;=$I57),$G57,0))</f>
        <v/>
      </c>
      <c r="AN57" s="98">
        <f>IF($H57="",0,IF(AND(AN$6&gt;=$H57,AN$6&lt;=$I57),$G57,0))</f>
        <v/>
      </c>
      <c r="AO57" s="98">
        <f>IF($H57="",0,IF(AND(AO$6&gt;=$H57,AO$6&lt;=$I57),$G57,0))</f>
        <v/>
      </c>
      <c r="AP57" s="98">
        <f>IF($H57="",0,IF(AND(AP$6&gt;=$H57,AP$6&lt;=$I57),$G57,0))</f>
        <v/>
      </c>
      <c r="AQ57" s="98">
        <f>IF($H57="",0,IF(AND(AQ$6&gt;=$H57,AQ$6&lt;=$I57),$G57,0))</f>
        <v/>
      </c>
      <c r="AR57" s="98">
        <f>IF($H57="",0,IF(AND(AR$6&gt;=$H57,AR$6&lt;=$I57),$G57,0))</f>
        <v/>
      </c>
      <c r="AS57" s="98">
        <f>IF($H57="",0,IF(AND(AS$6&gt;=$H57,AS$6&lt;=$I57),$G57,0))</f>
        <v/>
      </c>
      <c r="AT57" s="98">
        <f>IF($H57="",0,IF(AND(AT$6&gt;=$H57,AT$6&lt;=$I57),$G57,0))</f>
        <v/>
      </c>
      <c r="AU57" s="98">
        <f>IF($H57="",0,IF(AND(AU$6&gt;=$H57,AU$6&lt;=$I57),$G57,0))</f>
        <v/>
      </c>
      <c r="AV57" s="98">
        <f>IF($H57="",0,IF(AND(AV$6&gt;=$H57,AV$6&lt;=$I57),$G57,0))</f>
        <v/>
      </c>
      <c r="AW57" s="98">
        <f>IF($H57="",0,IF(AND(AW$6&gt;=$H57,AW$6&lt;=$I57),$G57,0))</f>
        <v/>
      </c>
      <c r="AX57" s="98">
        <f>IF($H57="",0,IF(AND(AX$6&gt;=$H57,AX$6&lt;=$I57),$G57,0))</f>
        <v/>
      </c>
      <c r="AY57" s="98">
        <f>IF($H57="",0,IF(AND(AY$6&gt;=$H57,AY$6&lt;=$I57),$G57,0))</f>
        <v/>
      </c>
      <c r="AZ57" s="98">
        <f>IF($H57="",0,IF(AND(AZ$6&gt;=$H57,AZ$6&lt;=$I57),$G57,0))</f>
        <v/>
      </c>
      <c r="BA57" s="98">
        <f>IF($H57="",0,IF(AND(BA$6&gt;=$H57,BA$6&lt;=$I57),$G57,0))</f>
        <v/>
      </c>
      <c r="BB57" s="98">
        <f>IF($H57="",0,IF(AND(BB$6&gt;=$H57,BB$6&lt;=$I57),$G57,0))</f>
        <v/>
      </c>
      <c r="BC57" s="98">
        <f>IF($H57="",0,IF(AND(BC$6&gt;=$H57,BC$6&lt;=$I57),$G57,0))</f>
        <v/>
      </c>
      <c r="BD57" s="98">
        <f>IF($H57="",0,IF(AND(BD$6&gt;=$H57,BD$6&lt;=$I57),$G57,0))</f>
        <v/>
      </c>
      <c r="BE57" s="98">
        <f>IF($H57="",0,IF(AND(BE$6&gt;=$H57,BE$6&lt;=$I57),$G57,0))</f>
        <v/>
      </c>
      <c r="BF57" s="98">
        <f>IF($H57="",0,IF(AND(BF$6&gt;=$H57,BF$6&lt;=$I57),$G57,0))</f>
        <v/>
      </c>
      <c r="BG57" s="98">
        <f>IF($H57="",0,IF(AND(BG$6&gt;=$H57,BG$6&lt;=$I57),$G57,0))</f>
        <v/>
      </c>
      <c r="BH57" s="98">
        <f>IF($H57="",0,IF(AND(BH$6&gt;=$H57,BH$6&lt;=$I57),$G57,0))</f>
        <v/>
      </c>
      <c r="BI57" s="98">
        <f>IF($H57="",0,IF(AND(BI$6&gt;=$H57,BI$6&lt;=$I57),$G57,0))</f>
        <v/>
      </c>
      <c r="BJ57" s="98">
        <f>IF($H57="",0,IF(AND(BJ$6&gt;=$H57,BJ$6&lt;=$I57),$G57,0))</f>
        <v/>
      </c>
      <c r="BK57" s="98">
        <f>IF($H57="",0,IF(AND(BK$6&gt;=$H57,BK$6&lt;=$I57),$G57,0))</f>
        <v/>
      </c>
      <c r="BL57" s="98">
        <f>IF($H57="",0,IF(AND(BL$6&gt;=$H57,BL$6&lt;=$I57),$G57,0))</f>
        <v/>
      </c>
      <c r="BM57" s="98">
        <f>IF($H57="",0,IF(AND(BM$6&gt;=$H57,BM$6&lt;=$I57),$G57,0))</f>
        <v/>
      </c>
      <c r="BN57" s="98">
        <f>IF($H57="",0,IF(AND(BN$6&gt;=$H57,BN$6&lt;=$I57),$G57,0))</f>
        <v/>
      </c>
      <c r="BO57" s="98">
        <f>IF($H57="",0,IF(AND(BO$6&gt;=$H57,BO$6&lt;=$I57),$G57,0))</f>
        <v/>
      </c>
      <c r="BP57" s="98">
        <f>IF($H57="",0,IF(AND(BP$6&gt;=$H57,BP$6&lt;=$I57),$G57,0))</f>
        <v/>
      </c>
      <c r="BQ57" s="98">
        <f>IF($H57="",0,IF(AND(BQ$6&gt;=$H57,BQ$6&lt;=$I57),$G57,0))</f>
        <v/>
      </c>
      <c r="BR57" s="98">
        <f>IF($H57="",0,IF(AND(BR$6&gt;=$H57,BR$6&lt;=$I57),$G57,0))</f>
        <v/>
      </c>
      <c r="BS57" s="98">
        <f>IF($H57="",0,IF(AND(BS$6&gt;=$H57,BS$6&lt;=$I57),$G57,0))</f>
        <v/>
      </c>
      <c r="BT57" s="98">
        <f>IF($H57="",0,IF(AND(BT$6&gt;=$H57,BT$6&lt;=$I57),$G57,0))</f>
        <v/>
      </c>
    </row>
    <row r="58">
      <c r="A58" s="74" t="n"/>
      <c r="B58" s="74" t="n"/>
      <c r="C58" s="74" t="n"/>
      <c r="D58" s="73" t="n"/>
      <c r="E58" s="76" t="n"/>
      <c r="F58" s="90" t="n"/>
      <c r="G58" s="84">
        <f>IF(OR($E58="",N($F58)&lt;=0),0,$E58/$F58)</f>
        <v/>
      </c>
      <c r="H58" s="96">
        <f>IF(OR($A58="",$B58="",$D58="",N($F58)&lt;=0),"",IFERROR(IF(DAY($D58)&gt;INDEX(CARTOES_FECHA,MATCH($B58,LISTA_CARTOES,0)),EDATE(DATE(YEAR($D58),MONTH($D58),1),1),DATE(YEAR($D58),MONTH($D58),1)),""))</f>
        <v/>
      </c>
      <c r="I58" s="96">
        <f>IF($H58="","",EDATE($H58,$F58-1))</f>
        <v/>
      </c>
      <c r="J58" s="97">
        <f>IF($H58="",0,MAX(0,MIN($F58,(YEAR($I58)*12+MONTH($I58))-(ANO_SEL*12+MES_SEL))))</f>
        <v/>
      </c>
      <c r="K58" s="84">
        <f>J58*G58</f>
        <v/>
      </c>
      <c r="M58" s="98">
        <f>IF($H58="",0,IF(AND(M$6&gt;=$H58,M$6&lt;=$I58),$G58,0))</f>
        <v/>
      </c>
      <c r="N58" s="98">
        <f>IF($H58="",0,IF(AND(N$6&gt;=$H58,N$6&lt;=$I58),$G58,0))</f>
        <v/>
      </c>
      <c r="O58" s="98">
        <f>IF($H58="",0,IF(AND(O$6&gt;=$H58,O$6&lt;=$I58),$G58,0))</f>
        <v/>
      </c>
      <c r="P58" s="98">
        <f>IF($H58="",0,IF(AND(P$6&gt;=$H58,P$6&lt;=$I58),$G58,0))</f>
        <v/>
      </c>
      <c r="Q58" s="98">
        <f>IF($H58="",0,IF(AND(Q$6&gt;=$H58,Q$6&lt;=$I58),$G58,0))</f>
        <v/>
      </c>
      <c r="R58" s="98">
        <f>IF($H58="",0,IF(AND(R$6&gt;=$H58,R$6&lt;=$I58),$G58,0))</f>
        <v/>
      </c>
      <c r="S58" s="98">
        <f>IF($H58="",0,IF(AND(S$6&gt;=$H58,S$6&lt;=$I58),$G58,0))</f>
        <v/>
      </c>
      <c r="T58" s="98">
        <f>IF($H58="",0,IF(AND(T$6&gt;=$H58,T$6&lt;=$I58),$G58,0))</f>
        <v/>
      </c>
      <c r="U58" s="98">
        <f>IF($H58="",0,IF(AND(U$6&gt;=$H58,U$6&lt;=$I58),$G58,0))</f>
        <v/>
      </c>
      <c r="V58" s="98">
        <f>IF($H58="",0,IF(AND(V$6&gt;=$H58,V$6&lt;=$I58),$G58,0))</f>
        <v/>
      </c>
      <c r="W58" s="98">
        <f>IF($H58="",0,IF(AND(W$6&gt;=$H58,W$6&lt;=$I58),$G58,0))</f>
        <v/>
      </c>
      <c r="X58" s="98">
        <f>IF($H58="",0,IF(AND(X$6&gt;=$H58,X$6&lt;=$I58),$G58,0))</f>
        <v/>
      </c>
      <c r="Y58" s="98">
        <f>IF($H58="",0,IF(AND(Y$6&gt;=$H58,Y$6&lt;=$I58),$G58,0))</f>
        <v/>
      </c>
      <c r="Z58" s="98">
        <f>IF($H58="",0,IF(AND(Z$6&gt;=$H58,Z$6&lt;=$I58),$G58,0))</f>
        <v/>
      </c>
      <c r="AA58" s="98">
        <f>IF($H58="",0,IF(AND(AA$6&gt;=$H58,AA$6&lt;=$I58),$G58,0))</f>
        <v/>
      </c>
      <c r="AB58" s="98">
        <f>IF($H58="",0,IF(AND(AB$6&gt;=$H58,AB$6&lt;=$I58),$G58,0))</f>
        <v/>
      </c>
      <c r="AC58" s="98">
        <f>IF($H58="",0,IF(AND(AC$6&gt;=$H58,AC$6&lt;=$I58),$G58,0))</f>
        <v/>
      </c>
      <c r="AD58" s="98">
        <f>IF($H58="",0,IF(AND(AD$6&gt;=$H58,AD$6&lt;=$I58),$G58,0))</f>
        <v/>
      </c>
      <c r="AE58" s="98">
        <f>IF($H58="",0,IF(AND(AE$6&gt;=$H58,AE$6&lt;=$I58),$G58,0))</f>
        <v/>
      </c>
      <c r="AF58" s="98">
        <f>IF($H58="",0,IF(AND(AF$6&gt;=$H58,AF$6&lt;=$I58),$G58,0))</f>
        <v/>
      </c>
      <c r="AG58" s="98">
        <f>IF($H58="",0,IF(AND(AG$6&gt;=$H58,AG$6&lt;=$I58),$G58,0))</f>
        <v/>
      </c>
      <c r="AH58" s="98">
        <f>IF($H58="",0,IF(AND(AH$6&gt;=$H58,AH$6&lt;=$I58),$G58,0))</f>
        <v/>
      </c>
      <c r="AI58" s="98">
        <f>IF($H58="",0,IF(AND(AI$6&gt;=$H58,AI$6&lt;=$I58),$G58,0))</f>
        <v/>
      </c>
      <c r="AJ58" s="98">
        <f>IF($H58="",0,IF(AND(AJ$6&gt;=$H58,AJ$6&lt;=$I58),$G58,0))</f>
        <v/>
      </c>
      <c r="AK58" s="98">
        <f>IF($H58="",0,IF(AND(AK$6&gt;=$H58,AK$6&lt;=$I58),$G58,0))</f>
        <v/>
      </c>
      <c r="AL58" s="98">
        <f>IF($H58="",0,IF(AND(AL$6&gt;=$H58,AL$6&lt;=$I58),$G58,0))</f>
        <v/>
      </c>
      <c r="AM58" s="98">
        <f>IF($H58="",0,IF(AND(AM$6&gt;=$H58,AM$6&lt;=$I58),$G58,0))</f>
        <v/>
      </c>
      <c r="AN58" s="98">
        <f>IF($H58="",0,IF(AND(AN$6&gt;=$H58,AN$6&lt;=$I58),$G58,0))</f>
        <v/>
      </c>
      <c r="AO58" s="98">
        <f>IF($H58="",0,IF(AND(AO$6&gt;=$H58,AO$6&lt;=$I58),$G58,0))</f>
        <v/>
      </c>
      <c r="AP58" s="98">
        <f>IF($H58="",0,IF(AND(AP$6&gt;=$H58,AP$6&lt;=$I58),$G58,0))</f>
        <v/>
      </c>
      <c r="AQ58" s="98">
        <f>IF($H58="",0,IF(AND(AQ$6&gt;=$H58,AQ$6&lt;=$I58),$G58,0))</f>
        <v/>
      </c>
      <c r="AR58" s="98">
        <f>IF($H58="",0,IF(AND(AR$6&gt;=$H58,AR$6&lt;=$I58),$G58,0))</f>
        <v/>
      </c>
      <c r="AS58" s="98">
        <f>IF($H58="",0,IF(AND(AS$6&gt;=$H58,AS$6&lt;=$I58),$G58,0))</f>
        <v/>
      </c>
      <c r="AT58" s="98">
        <f>IF($H58="",0,IF(AND(AT$6&gt;=$H58,AT$6&lt;=$I58),$G58,0))</f>
        <v/>
      </c>
      <c r="AU58" s="98">
        <f>IF($H58="",0,IF(AND(AU$6&gt;=$H58,AU$6&lt;=$I58),$G58,0))</f>
        <v/>
      </c>
      <c r="AV58" s="98">
        <f>IF($H58="",0,IF(AND(AV$6&gt;=$H58,AV$6&lt;=$I58),$G58,0))</f>
        <v/>
      </c>
      <c r="AW58" s="98">
        <f>IF($H58="",0,IF(AND(AW$6&gt;=$H58,AW$6&lt;=$I58),$G58,0))</f>
        <v/>
      </c>
      <c r="AX58" s="98">
        <f>IF($H58="",0,IF(AND(AX$6&gt;=$H58,AX$6&lt;=$I58),$G58,0))</f>
        <v/>
      </c>
      <c r="AY58" s="98">
        <f>IF($H58="",0,IF(AND(AY$6&gt;=$H58,AY$6&lt;=$I58),$G58,0))</f>
        <v/>
      </c>
      <c r="AZ58" s="98">
        <f>IF($H58="",0,IF(AND(AZ$6&gt;=$H58,AZ$6&lt;=$I58),$G58,0))</f>
        <v/>
      </c>
      <c r="BA58" s="98">
        <f>IF($H58="",0,IF(AND(BA$6&gt;=$H58,BA$6&lt;=$I58),$G58,0))</f>
        <v/>
      </c>
      <c r="BB58" s="98">
        <f>IF($H58="",0,IF(AND(BB$6&gt;=$H58,BB$6&lt;=$I58),$G58,0))</f>
        <v/>
      </c>
      <c r="BC58" s="98">
        <f>IF($H58="",0,IF(AND(BC$6&gt;=$H58,BC$6&lt;=$I58),$G58,0))</f>
        <v/>
      </c>
      <c r="BD58" s="98">
        <f>IF($H58="",0,IF(AND(BD$6&gt;=$H58,BD$6&lt;=$I58),$G58,0))</f>
        <v/>
      </c>
      <c r="BE58" s="98">
        <f>IF($H58="",0,IF(AND(BE$6&gt;=$H58,BE$6&lt;=$I58),$G58,0))</f>
        <v/>
      </c>
      <c r="BF58" s="98">
        <f>IF($H58="",0,IF(AND(BF$6&gt;=$H58,BF$6&lt;=$I58),$G58,0))</f>
        <v/>
      </c>
      <c r="BG58" s="98">
        <f>IF($H58="",0,IF(AND(BG$6&gt;=$H58,BG$6&lt;=$I58),$G58,0))</f>
        <v/>
      </c>
      <c r="BH58" s="98">
        <f>IF($H58="",0,IF(AND(BH$6&gt;=$H58,BH$6&lt;=$I58),$G58,0))</f>
        <v/>
      </c>
      <c r="BI58" s="98">
        <f>IF($H58="",0,IF(AND(BI$6&gt;=$H58,BI$6&lt;=$I58),$G58,0))</f>
        <v/>
      </c>
      <c r="BJ58" s="98">
        <f>IF($H58="",0,IF(AND(BJ$6&gt;=$H58,BJ$6&lt;=$I58),$G58,0))</f>
        <v/>
      </c>
      <c r="BK58" s="98">
        <f>IF($H58="",0,IF(AND(BK$6&gt;=$H58,BK$6&lt;=$I58),$G58,0))</f>
        <v/>
      </c>
      <c r="BL58" s="98">
        <f>IF($H58="",0,IF(AND(BL$6&gt;=$H58,BL$6&lt;=$I58),$G58,0))</f>
        <v/>
      </c>
      <c r="BM58" s="98">
        <f>IF($H58="",0,IF(AND(BM$6&gt;=$H58,BM$6&lt;=$I58),$G58,0))</f>
        <v/>
      </c>
      <c r="BN58" s="98">
        <f>IF($H58="",0,IF(AND(BN$6&gt;=$H58,BN$6&lt;=$I58),$G58,0))</f>
        <v/>
      </c>
      <c r="BO58" s="98">
        <f>IF($H58="",0,IF(AND(BO$6&gt;=$H58,BO$6&lt;=$I58),$G58,0))</f>
        <v/>
      </c>
      <c r="BP58" s="98">
        <f>IF($H58="",0,IF(AND(BP$6&gt;=$H58,BP$6&lt;=$I58),$G58,0))</f>
        <v/>
      </c>
      <c r="BQ58" s="98">
        <f>IF($H58="",0,IF(AND(BQ$6&gt;=$H58,BQ$6&lt;=$I58),$G58,0))</f>
        <v/>
      </c>
      <c r="BR58" s="98">
        <f>IF($H58="",0,IF(AND(BR$6&gt;=$H58,BR$6&lt;=$I58),$G58,0))</f>
        <v/>
      </c>
      <c r="BS58" s="98">
        <f>IF($H58="",0,IF(AND(BS$6&gt;=$H58,BS$6&lt;=$I58),$G58,0))</f>
        <v/>
      </c>
      <c r="BT58" s="98">
        <f>IF($H58="",0,IF(AND(BT$6&gt;=$H58,BT$6&lt;=$I58),$G58,0))</f>
        <v/>
      </c>
    </row>
    <row r="59">
      <c r="A59" s="74" t="n"/>
      <c r="B59" s="74" t="n"/>
      <c r="C59" s="74" t="n"/>
      <c r="D59" s="73" t="n"/>
      <c r="E59" s="76" t="n"/>
      <c r="F59" s="90" t="n"/>
      <c r="G59" s="84">
        <f>IF(OR($E59="",N($F59)&lt;=0),0,$E59/$F59)</f>
        <v/>
      </c>
      <c r="H59" s="96">
        <f>IF(OR($A59="",$B59="",$D59="",N($F59)&lt;=0),"",IFERROR(IF(DAY($D59)&gt;INDEX(CARTOES_FECHA,MATCH($B59,LISTA_CARTOES,0)),EDATE(DATE(YEAR($D59),MONTH($D59),1),1),DATE(YEAR($D59),MONTH($D59),1)),""))</f>
        <v/>
      </c>
      <c r="I59" s="96">
        <f>IF($H59="","",EDATE($H59,$F59-1))</f>
        <v/>
      </c>
      <c r="J59" s="97">
        <f>IF($H59="",0,MAX(0,MIN($F59,(YEAR($I59)*12+MONTH($I59))-(ANO_SEL*12+MES_SEL))))</f>
        <v/>
      </c>
      <c r="K59" s="84">
        <f>J59*G59</f>
        <v/>
      </c>
      <c r="M59" s="98">
        <f>IF($H59="",0,IF(AND(M$6&gt;=$H59,M$6&lt;=$I59),$G59,0))</f>
        <v/>
      </c>
      <c r="N59" s="98">
        <f>IF($H59="",0,IF(AND(N$6&gt;=$H59,N$6&lt;=$I59),$G59,0))</f>
        <v/>
      </c>
      <c r="O59" s="98">
        <f>IF($H59="",0,IF(AND(O$6&gt;=$H59,O$6&lt;=$I59),$G59,0))</f>
        <v/>
      </c>
      <c r="P59" s="98">
        <f>IF($H59="",0,IF(AND(P$6&gt;=$H59,P$6&lt;=$I59),$G59,0))</f>
        <v/>
      </c>
      <c r="Q59" s="98">
        <f>IF($H59="",0,IF(AND(Q$6&gt;=$H59,Q$6&lt;=$I59),$G59,0))</f>
        <v/>
      </c>
      <c r="R59" s="98">
        <f>IF($H59="",0,IF(AND(R$6&gt;=$H59,R$6&lt;=$I59),$G59,0))</f>
        <v/>
      </c>
      <c r="S59" s="98">
        <f>IF($H59="",0,IF(AND(S$6&gt;=$H59,S$6&lt;=$I59),$G59,0))</f>
        <v/>
      </c>
      <c r="T59" s="98">
        <f>IF($H59="",0,IF(AND(T$6&gt;=$H59,T$6&lt;=$I59),$G59,0))</f>
        <v/>
      </c>
      <c r="U59" s="98">
        <f>IF($H59="",0,IF(AND(U$6&gt;=$H59,U$6&lt;=$I59),$G59,0))</f>
        <v/>
      </c>
      <c r="V59" s="98">
        <f>IF($H59="",0,IF(AND(V$6&gt;=$H59,V$6&lt;=$I59),$G59,0))</f>
        <v/>
      </c>
      <c r="W59" s="98">
        <f>IF($H59="",0,IF(AND(W$6&gt;=$H59,W$6&lt;=$I59),$G59,0))</f>
        <v/>
      </c>
      <c r="X59" s="98">
        <f>IF($H59="",0,IF(AND(X$6&gt;=$H59,X$6&lt;=$I59),$G59,0))</f>
        <v/>
      </c>
      <c r="Y59" s="98">
        <f>IF($H59="",0,IF(AND(Y$6&gt;=$H59,Y$6&lt;=$I59),$G59,0))</f>
        <v/>
      </c>
      <c r="Z59" s="98">
        <f>IF($H59="",0,IF(AND(Z$6&gt;=$H59,Z$6&lt;=$I59),$G59,0))</f>
        <v/>
      </c>
      <c r="AA59" s="98">
        <f>IF($H59="",0,IF(AND(AA$6&gt;=$H59,AA$6&lt;=$I59),$G59,0))</f>
        <v/>
      </c>
      <c r="AB59" s="98">
        <f>IF($H59="",0,IF(AND(AB$6&gt;=$H59,AB$6&lt;=$I59),$G59,0))</f>
        <v/>
      </c>
      <c r="AC59" s="98">
        <f>IF($H59="",0,IF(AND(AC$6&gt;=$H59,AC$6&lt;=$I59),$G59,0))</f>
        <v/>
      </c>
      <c r="AD59" s="98">
        <f>IF($H59="",0,IF(AND(AD$6&gt;=$H59,AD$6&lt;=$I59),$G59,0))</f>
        <v/>
      </c>
      <c r="AE59" s="98">
        <f>IF($H59="",0,IF(AND(AE$6&gt;=$H59,AE$6&lt;=$I59),$G59,0))</f>
        <v/>
      </c>
      <c r="AF59" s="98">
        <f>IF($H59="",0,IF(AND(AF$6&gt;=$H59,AF$6&lt;=$I59),$G59,0))</f>
        <v/>
      </c>
      <c r="AG59" s="98">
        <f>IF($H59="",0,IF(AND(AG$6&gt;=$H59,AG$6&lt;=$I59),$G59,0))</f>
        <v/>
      </c>
      <c r="AH59" s="98">
        <f>IF($H59="",0,IF(AND(AH$6&gt;=$H59,AH$6&lt;=$I59),$G59,0))</f>
        <v/>
      </c>
      <c r="AI59" s="98">
        <f>IF($H59="",0,IF(AND(AI$6&gt;=$H59,AI$6&lt;=$I59),$G59,0))</f>
        <v/>
      </c>
      <c r="AJ59" s="98">
        <f>IF($H59="",0,IF(AND(AJ$6&gt;=$H59,AJ$6&lt;=$I59),$G59,0))</f>
        <v/>
      </c>
      <c r="AK59" s="98">
        <f>IF($H59="",0,IF(AND(AK$6&gt;=$H59,AK$6&lt;=$I59),$G59,0))</f>
        <v/>
      </c>
      <c r="AL59" s="98">
        <f>IF($H59="",0,IF(AND(AL$6&gt;=$H59,AL$6&lt;=$I59),$G59,0))</f>
        <v/>
      </c>
      <c r="AM59" s="98">
        <f>IF($H59="",0,IF(AND(AM$6&gt;=$H59,AM$6&lt;=$I59),$G59,0))</f>
        <v/>
      </c>
      <c r="AN59" s="98">
        <f>IF($H59="",0,IF(AND(AN$6&gt;=$H59,AN$6&lt;=$I59),$G59,0))</f>
        <v/>
      </c>
      <c r="AO59" s="98">
        <f>IF($H59="",0,IF(AND(AO$6&gt;=$H59,AO$6&lt;=$I59),$G59,0))</f>
        <v/>
      </c>
      <c r="AP59" s="98">
        <f>IF($H59="",0,IF(AND(AP$6&gt;=$H59,AP$6&lt;=$I59),$G59,0))</f>
        <v/>
      </c>
      <c r="AQ59" s="98">
        <f>IF($H59="",0,IF(AND(AQ$6&gt;=$H59,AQ$6&lt;=$I59),$G59,0))</f>
        <v/>
      </c>
      <c r="AR59" s="98">
        <f>IF($H59="",0,IF(AND(AR$6&gt;=$H59,AR$6&lt;=$I59),$G59,0))</f>
        <v/>
      </c>
      <c r="AS59" s="98">
        <f>IF($H59="",0,IF(AND(AS$6&gt;=$H59,AS$6&lt;=$I59),$G59,0))</f>
        <v/>
      </c>
      <c r="AT59" s="98">
        <f>IF($H59="",0,IF(AND(AT$6&gt;=$H59,AT$6&lt;=$I59),$G59,0))</f>
        <v/>
      </c>
      <c r="AU59" s="98">
        <f>IF($H59="",0,IF(AND(AU$6&gt;=$H59,AU$6&lt;=$I59),$G59,0))</f>
        <v/>
      </c>
      <c r="AV59" s="98">
        <f>IF($H59="",0,IF(AND(AV$6&gt;=$H59,AV$6&lt;=$I59),$G59,0))</f>
        <v/>
      </c>
      <c r="AW59" s="98">
        <f>IF($H59="",0,IF(AND(AW$6&gt;=$H59,AW$6&lt;=$I59),$G59,0))</f>
        <v/>
      </c>
      <c r="AX59" s="98">
        <f>IF($H59="",0,IF(AND(AX$6&gt;=$H59,AX$6&lt;=$I59),$G59,0))</f>
        <v/>
      </c>
      <c r="AY59" s="98">
        <f>IF($H59="",0,IF(AND(AY$6&gt;=$H59,AY$6&lt;=$I59),$G59,0))</f>
        <v/>
      </c>
      <c r="AZ59" s="98">
        <f>IF($H59="",0,IF(AND(AZ$6&gt;=$H59,AZ$6&lt;=$I59),$G59,0))</f>
        <v/>
      </c>
      <c r="BA59" s="98">
        <f>IF($H59="",0,IF(AND(BA$6&gt;=$H59,BA$6&lt;=$I59),$G59,0))</f>
        <v/>
      </c>
      <c r="BB59" s="98">
        <f>IF($H59="",0,IF(AND(BB$6&gt;=$H59,BB$6&lt;=$I59),$G59,0))</f>
        <v/>
      </c>
      <c r="BC59" s="98">
        <f>IF($H59="",0,IF(AND(BC$6&gt;=$H59,BC$6&lt;=$I59),$G59,0))</f>
        <v/>
      </c>
      <c r="BD59" s="98">
        <f>IF($H59="",0,IF(AND(BD$6&gt;=$H59,BD$6&lt;=$I59),$G59,0))</f>
        <v/>
      </c>
      <c r="BE59" s="98">
        <f>IF($H59="",0,IF(AND(BE$6&gt;=$H59,BE$6&lt;=$I59),$G59,0))</f>
        <v/>
      </c>
      <c r="BF59" s="98">
        <f>IF($H59="",0,IF(AND(BF$6&gt;=$H59,BF$6&lt;=$I59),$G59,0))</f>
        <v/>
      </c>
      <c r="BG59" s="98">
        <f>IF($H59="",0,IF(AND(BG$6&gt;=$H59,BG$6&lt;=$I59),$G59,0))</f>
        <v/>
      </c>
      <c r="BH59" s="98">
        <f>IF($H59="",0,IF(AND(BH$6&gt;=$H59,BH$6&lt;=$I59),$G59,0))</f>
        <v/>
      </c>
      <c r="BI59" s="98">
        <f>IF($H59="",0,IF(AND(BI$6&gt;=$H59,BI$6&lt;=$I59),$G59,0))</f>
        <v/>
      </c>
      <c r="BJ59" s="98">
        <f>IF($H59="",0,IF(AND(BJ$6&gt;=$H59,BJ$6&lt;=$I59),$G59,0))</f>
        <v/>
      </c>
      <c r="BK59" s="98">
        <f>IF($H59="",0,IF(AND(BK$6&gt;=$H59,BK$6&lt;=$I59),$G59,0))</f>
        <v/>
      </c>
      <c r="BL59" s="98">
        <f>IF($H59="",0,IF(AND(BL$6&gt;=$H59,BL$6&lt;=$I59),$G59,0))</f>
        <v/>
      </c>
      <c r="BM59" s="98">
        <f>IF($H59="",0,IF(AND(BM$6&gt;=$H59,BM$6&lt;=$I59),$G59,0))</f>
        <v/>
      </c>
      <c r="BN59" s="98">
        <f>IF($H59="",0,IF(AND(BN$6&gt;=$H59,BN$6&lt;=$I59),$G59,0))</f>
        <v/>
      </c>
      <c r="BO59" s="98">
        <f>IF($H59="",0,IF(AND(BO$6&gt;=$H59,BO$6&lt;=$I59),$G59,0))</f>
        <v/>
      </c>
      <c r="BP59" s="98">
        <f>IF($H59="",0,IF(AND(BP$6&gt;=$H59,BP$6&lt;=$I59),$G59,0))</f>
        <v/>
      </c>
      <c r="BQ59" s="98">
        <f>IF($H59="",0,IF(AND(BQ$6&gt;=$H59,BQ$6&lt;=$I59),$G59,0))</f>
        <v/>
      </c>
      <c r="BR59" s="98">
        <f>IF($H59="",0,IF(AND(BR$6&gt;=$H59,BR$6&lt;=$I59),$G59,0))</f>
        <v/>
      </c>
      <c r="BS59" s="98">
        <f>IF($H59="",0,IF(AND(BS$6&gt;=$H59,BS$6&lt;=$I59),$G59,0))</f>
        <v/>
      </c>
      <c r="BT59" s="98">
        <f>IF($H59="",0,IF(AND(BT$6&gt;=$H59,BT$6&lt;=$I59),$G59,0))</f>
        <v/>
      </c>
    </row>
    <row r="60">
      <c r="A60" s="74" t="n"/>
      <c r="B60" s="74" t="n"/>
      <c r="C60" s="74" t="n"/>
      <c r="D60" s="73" t="n"/>
      <c r="E60" s="76" t="n"/>
      <c r="F60" s="90" t="n"/>
      <c r="G60" s="84">
        <f>IF(OR($E60="",N($F60)&lt;=0),0,$E60/$F60)</f>
        <v/>
      </c>
      <c r="H60" s="96">
        <f>IF(OR($A60="",$B60="",$D60="",N($F60)&lt;=0),"",IFERROR(IF(DAY($D60)&gt;INDEX(CARTOES_FECHA,MATCH($B60,LISTA_CARTOES,0)),EDATE(DATE(YEAR($D60),MONTH($D60),1),1),DATE(YEAR($D60),MONTH($D60),1)),""))</f>
        <v/>
      </c>
      <c r="I60" s="96">
        <f>IF($H60="","",EDATE($H60,$F60-1))</f>
        <v/>
      </c>
      <c r="J60" s="97">
        <f>IF($H60="",0,MAX(0,MIN($F60,(YEAR($I60)*12+MONTH($I60))-(ANO_SEL*12+MES_SEL))))</f>
        <v/>
      </c>
      <c r="K60" s="84">
        <f>J60*G60</f>
        <v/>
      </c>
      <c r="M60" s="98">
        <f>IF($H60="",0,IF(AND(M$6&gt;=$H60,M$6&lt;=$I60),$G60,0))</f>
        <v/>
      </c>
      <c r="N60" s="98">
        <f>IF($H60="",0,IF(AND(N$6&gt;=$H60,N$6&lt;=$I60),$G60,0))</f>
        <v/>
      </c>
      <c r="O60" s="98">
        <f>IF($H60="",0,IF(AND(O$6&gt;=$H60,O$6&lt;=$I60),$G60,0))</f>
        <v/>
      </c>
      <c r="P60" s="98">
        <f>IF($H60="",0,IF(AND(P$6&gt;=$H60,P$6&lt;=$I60),$G60,0))</f>
        <v/>
      </c>
      <c r="Q60" s="98">
        <f>IF($H60="",0,IF(AND(Q$6&gt;=$H60,Q$6&lt;=$I60),$G60,0))</f>
        <v/>
      </c>
      <c r="R60" s="98">
        <f>IF($H60="",0,IF(AND(R$6&gt;=$H60,R$6&lt;=$I60),$G60,0))</f>
        <v/>
      </c>
      <c r="S60" s="98">
        <f>IF($H60="",0,IF(AND(S$6&gt;=$H60,S$6&lt;=$I60),$G60,0))</f>
        <v/>
      </c>
      <c r="T60" s="98">
        <f>IF($H60="",0,IF(AND(T$6&gt;=$H60,T$6&lt;=$I60),$G60,0))</f>
        <v/>
      </c>
      <c r="U60" s="98">
        <f>IF($H60="",0,IF(AND(U$6&gt;=$H60,U$6&lt;=$I60),$G60,0))</f>
        <v/>
      </c>
      <c r="V60" s="98">
        <f>IF($H60="",0,IF(AND(V$6&gt;=$H60,V$6&lt;=$I60),$G60,0))</f>
        <v/>
      </c>
      <c r="W60" s="98">
        <f>IF($H60="",0,IF(AND(W$6&gt;=$H60,W$6&lt;=$I60),$G60,0))</f>
        <v/>
      </c>
      <c r="X60" s="98">
        <f>IF($H60="",0,IF(AND(X$6&gt;=$H60,X$6&lt;=$I60),$G60,0))</f>
        <v/>
      </c>
      <c r="Y60" s="98">
        <f>IF($H60="",0,IF(AND(Y$6&gt;=$H60,Y$6&lt;=$I60),$G60,0))</f>
        <v/>
      </c>
      <c r="Z60" s="98">
        <f>IF($H60="",0,IF(AND(Z$6&gt;=$H60,Z$6&lt;=$I60),$G60,0))</f>
        <v/>
      </c>
      <c r="AA60" s="98">
        <f>IF($H60="",0,IF(AND(AA$6&gt;=$H60,AA$6&lt;=$I60),$G60,0))</f>
        <v/>
      </c>
      <c r="AB60" s="98">
        <f>IF($H60="",0,IF(AND(AB$6&gt;=$H60,AB$6&lt;=$I60),$G60,0))</f>
        <v/>
      </c>
      <c r="AC60" s="98">
        <f>IF($H60="",0,IF(AND(AC$6&gt;=$H60,AC$6&lt;=$I60),$G60,0))</f>
        <v/>
      </c>
      <c r="AD60" s="98">
        <f>IF($H60="",0,IF(AND(AD$6&gt;=$H60,AD$6&lt;=$I60),$G60,0))</f>
        <v/>
      </c>
      <c r="AE60" s="98">
        <f>IF($H60="",0,IF(AND(AE$6&gt;=$H60,AE$6&lt;=$I60),$G60,0))</f>
        <v/>
      </c>
      <c r="AF60" s="98">
        <f>IF($H60="",0,IF(AND(AF$6&gt;=$H60,AF$6&lt;=$I60),$G60,0))</f>
        <v/>
      </c>
      <c r="AG60" s="98">
        <f>IF($H60="",0,IF(AND(AG$6&gt;=$H60,AG$6&lt;=$I60),$G60,0))</f>
        <v/>
      </c>
      <c r="AH60" s="98">
        <f>IF($H60="",0,IF(AND(AH$6&gt;=$H60,AH$6&lt;=$I60),$G60,0))</f>
        <v/>
      </c>
      <c r="AI60" s="98">
        <f>IF($H60="",0,IF(AND(AI$6&gt;=$H60,AI$6&lt;=$I60),$G60,0))</f>
        <v/>
      </c>
      <c r="AJ60" s="98">
        <f>IF($H60="",0,IF(AND(AJ$6&gt;=$H60,AJ$6&lt;=$I60),$G60,0))</f>
        <v/>
      </c>
      <c r="AK60" s="98">
        <f>IF($H60="",0,IF(AND(AK$6&gt;=$H60,AK$6&lt;=$I60),$G60,0))</f>
        <v/>
      </c>
      <c r="AL60" s="98">
        <f>IF($H60="",0,IF(AND(AL$6&gt;=$H60,AL$6&lt;=$I60),$G60,0))</f>
        <v/>
      </c>
      <c r="AM60" s="98">
        <f>IF($H60="",0,IF(AND(AM$6&gt;=$H60,AM$6&lt;=$I60),$G60,0))</f>
        <v/>
      </c>
      <c r="AN60" s="98">
        <f>IF($H60="",0,IF(AND(AN$6&gt;=$H60,AN$6&lt;=$I60),$G60,0))</f>
        <v/>
      </c>
      <c r="AO60" s="98">
        <f>IF($H60="",0,IF(AND(AO$6&gt;=$H60,AO$6&lt;=$I60),$G60,0))</f>
        <v/>
      </c>
      <c r="AP60" s="98">
        <f>IF($H60="",0,IF(AND(AP$6&gt;=$H60,AP$6&lt;=$I60),$G60,0))</f>
        <v/>
      </c>
      <c r="AQ60" s="98">
        <f>IF($H60="",0,IF(AND(AQ$6&gt;=$H60,AQ$6&lt;=$I60),$G60,0))</f>
        <v/>
      </c>
      <c r="AR60" s="98">
        <f>IF($H60="",0,IF(AND(AR$6&gt;=$H60,AR$6&lt;=$I60),$G60,0))</f>
        <v/>
      </c>
      <c r="AS60" s="98">
        <f>IF($H60="",0,IF(AND(AS$6&gt;=$H60,AS$6&lt;=$I60),$G60,0))</f>
        <v/>
      </c>
      <c r="AT60" s="98">
        <f>IF($H60="",0,IF(AND(AT$6&gt;=$H60,AT$6&lt;=$I60),$G60,0))</f>
        <v/>
      </c>
      <c r="AU60" s="98">
        <f>IF($H60="",0,IF(AND(AU$6&gt;=$H60,AU$6&lt;=$I60),$G60,0))</f>
        <v/>
      </c>
      <c r="AV60" s="98">
        <f>IF($H60="",0,IF(AND(AV$6&gt;=$H60,AV$6&lt;=$I60),$G60,0))</f>
        <v/>
      </c>
      <c r="AW60" s="98">
        <f>IF($H60="",0,IF(AND(AW$6&gt;=$H60,AW$6&lt;=$I60),$G60,0))</f>
        <v/>
      </c>
      <c r="AX60" s="98">
        <f>IF($H60="",0,IF(AND(AX$6&gt;=$H60,AX$6&lt;=$I60),$G60,0))</f>
        <v/>
      </c>
      <c r="AY60" s="98">
        <f>IF($H60="",0,IF(AND(AY$6&gt;=$H60,AY$6&lt;=$I60),$G60,0))</f>
        <v/>
      </c>
      <c r="AZ60" s="98">
        <f>IF($H60="",0,IF(AND(AZ$6&gt;=$H60,AZ$6&lt;=$I60),$G60,0))</f>
        <v/>
      </c>
      <c r="BA60" s="98">
        <f>IF($H60="",0,IF(AND(BA$6&gt;=$H60,BA$6&lt;=$I60),$G60,0))</f>
        <v/>
      </c>
      <c r="BB60" s="98">
        <f>IF($H60="",0,IF(AND(BB$6&gt;=$H60,BB$6&lt;=$I60),$G60,0))</f>
        <v/>
      </c>
      <c r="BC60" s="98">
        <f>IF($H60="",0,IF(AND(BC$6&gt;=$H60,BC$6&lt;=$I60),$G60,0))</f>
        <v/>
      </c>
      <c r="BD60" s="98">
        <f>IF($H60="",0,IF(AND(BD$6&gt;=$H60,BD$6&lt;=$I60),$G60,0))</f>
        <v/>
      </c>
      <c r="BE60" s="98">
        <f>IF($H60="",0,IF(AND(BE$6&gt;=$H60,BE$6&lt;=$I60),$G60,0))</f>
        <v/>
      </c>
      <c r="BF60" s="98">
        <f>IF($H60="",0,IF(AND(BF$6&gt;=$H60,BF$6&lt;=$I60),$G60,0))</f>
        <v/>
      </c>
      <c r="BG60" s="98">
        <f>IF($H60="",0,IF(AND(BG$6&gt;=$H60,BG$6&lt;=$I60),$G60,0))</f>
        <v/>
      </c>
      <c r="BH60" s="98">
        <f>IF($H60="",0,IF(AND(BH$6&gt;=$H60,BH$6&lt;=$I60),$G60,0))</f>
        <v/>
      </c>
      <c r="BI60" s="98">
        <f>IF($H60="",0,IF(AND(BI$6&gt;=$H60,BI$6&lt;=$I60),$G60,0))</f>
        <v/>
      </c>
      <c r="BJ60" s="98">
        <f>IF($H60="",0,IF(AND(BJ$6&gt;=$H60,BJ$6&lt;=$I60),$G60,0))</f>
        <v/>
      </c>
      <c r="BK60" s="98">
        <f>IF($H60="",0,IF(AND(BK$6&gt;=$H60,BK$6&lt;=$I60),$G60,0))</f>
        <v/>
      </c>
      <c r="BL60" s="98">
        <f>IF($H60="",0,IF(AND(BL$6&gt;=$H60,BL$6&lt;=$I60),$G60,0))</f>
        <v/>
      </c>
      <c r="BM60" s="98">
        <f>IF($H60="",0,IF(AND(BM$6&gt;=$H60,BM$6&lt;=$I60),$G60,0))</f>
        <v/>
      </c>
      <c r="BN60" s="98">
        <f>IF($H60="",0,IF(AND(BN$6&gt;=$H60,BN$6&lt;=$I60),$G60,0))</f>
        <v/>
      </c>
      <c r="BO60" s="98">
        <f>IF($H60="",0,IF(AND(BO$6&gt;=$H60,BO$6&lt;=$I60),$G60,0))</f>
        <v/>
      </c>
      <c r="BP60" s="98">
        <f>IF($H60="",0,IF(AND(BP$6&gt;=$H60,BP$6&lt;=$I60),$G60,0))</f>
        <v/>
      </c>
      <c r="BQ60" s="98">
        <f>IF($H60="",0,IF(AND(BQ$6&gt;=$H60,BQ$6&lt;=$I60),$G60,0))</f>
        <v/>
      </c>
      <c r="BR60" s="98">
        <f>IF($H60="",0,IF(AND(BR$6&gt;=$H60,BR$6&lt;=$I60),$G60,0))</f>
        <v/>
      </c>
      <c r="BS60" s="98">
        <f>IF($H60="",0,IF(AND(BS$6&gt;=$H60,BS$6&lt;=$I60),$G60,0))</f>
        <v/>
      </c>
      <c r="BT60" s="98">
        <f>IF($H60="",0,IF(AND(BT$6&gt;=$H60,BT$6&lt;=$I60),$G60,0))</f>
        <v/>
      </c>
    </row>
    <row r="61">
      <c r="A61" s="74" t="n"/>
      <c r="B61" s="74" t="n"/>
      <c r="C61" s="74" t="n"/>
      <c r="D61" s="73" t="n"/>
      <c r="E61" s="76" t="n"/>
      <c r="F61" s="90" t="n"/>
      <c r="G61" s="84">
        <f>IF(OR($E61="",N($F61)&lt;=0),0,$E61/$F61)</f>
        <v/>
      </c>
      <c r="H61" s="96">
        <f>IF(OR($A61="",$B61="",$D61="",N($F61)&lt;=0),"",IFERROR(IF(DAY($D61)&gt;INDEX(CARTOES_FECHA,MATCH($B61,LISTA_CARTOES,0)),EDATE(DATE(YEAR($D61),MONTH($D61),1),1),DATE(YEAR($D61),MONTH($D61),1)),""))</f>
        <v/>
      </c>
      <c r="I61" s="96">
        <f>IF($H61="","",EDATE($H61,$F61-1))</f>
        <v/>
      </c>
      <c r="J61" s="97">
        <f>IF($H61="",0,MAX(0,MIN($F61,(YEAR($I61)*12+MONTH($I61))-(ANO_SEL*12+MES_SEL))))</f>
        <v/>
      </c>
      <c r="K61" s="84">
        <f>J61*G61</f>
        <v/>
      </c>
      <c r="M61" s="98">
        <f>IF($H61="",0,IF(AND(M$6&gt;=$H61,M$6&lt;=$I61),$G61,0))</f>
        <v/>
      </c>
      <c r="N61" s="98">
        <f>IF($H61="",0,IF(AND(N$6&gt;=$H61,N$6&lt;=$I61),$G61,0))</f>
        <v/>
      </c>
      <c r="O61" s="98">
        <f>IF($H61="",0,IF(AND(O$6&gt;=$H61,O$6&lt;=$I61),$G61,0))</f>
        <v/>
      </c>
      <c r="P61" s="98">
        <f>IF($H61="",0,IF(AND(P$6&gt;=$H61,P$6&lt;=$I61),$G61,0))</f>
        <v/>
      </c>
      <c r="Q61" s="98">
        <f>IF($H61="",0,IF(AND(Q$6&gt;=$H61,Q$6&lt;=$I61),$G61,0))</f>
        <v/>
      </c>
      <c r="R61" s="98">
        <f>IF($H61="",0,IF(AND(R$6&gt;=$H61,R$6&lt;=$I61),$G61,0))</f>
        <v/>
      </c>
      <c r="S61" s="98">
        <f>IF($H61="",0,IF(AND(S$6&gt;=$H61,S$6&lt;=$I61),$G61,0))</f>
        <v/>
      </c>
      <c r="T61" s="98">
        <f>IF($H61="",0,IF(AND(T$6&gt;=$H61,T$6&lt;=$I61),$G61,0))</f>
        <v/>
      </c>
      <c r="U61" s="98">
        <f>IF($H61="",0,IF(AND(U$6&gt;=$H61,U$6&lt;=$I61),$G61,0))</f>
        <v/>
      </c>
      <c r="V61" s="98">
        <f>IF($H61="",0,IF(AND(V$6&gt;=$H61,V$6&lt;=$I61),$G61,0))</f>
        <v/>
      </c>
      <c r="W61" s="98">
        <f>IF($H61="",0,IF(AND(W$6&gt;=$H61,W$6&lt;=$I61),$G61,0))</f>
        <v/>
      </c>
      <c r="X61" s="98">
        <f>IF($H61="",0,IF(AND(X$6&gt;=$H61,X$6&lt;=$I61),$G61,0))</f>
        <v/>
      </c>
      <c r="Y61" s="98">
        <f>IF($H61="",0,IF(AND(Y$6&gt;=$H61,Y$6&lt;=$I61),$G61,0))</f>
        <v/>
      </c>
      <c r="Z61" s="98">
        <f>IF($H61="",0,IF(AND(Z$6&gt;=$H61,Z$6&lt;=$I61),$G61,0))</f>
        <v/>
      </c>
      <c r="AA61" s="98">
        <f>IF($H61="",0,IF(AND(AA$6&gt;=$H61,AA$6&lt;=$I61),$G61,0))</f>
        <v/>
      </c>
      <c r="AB61" s="98">
        <f>IF($H61="",0,IF(AND(AB$6&gt;=$H61,AB$6&lt;=$I61),$G61,0))</f>
        <v/>
      </c>
      <c r="AC61" s="98">
        <f>IF($H61="",0,IF(AND(AC$6&gt;=$H61,AC$6&lt;=$I61),$G61,0))</f>
        <v/>
      </c>
      <c r="AD61" s="98">
        <f>IF($H61="",0,IF(AND(AD$6&gt;=$H61,AD$6&lt;=$I61),$G61,0))</f>
        <v/>
      </c>
      <c r="AE61" s="98">
        <f>IF($H61="",0,IF(AND(AE$6&gt;=$H61,AE$6&lt;=$I61),$G61,0))</f>
        <v/>
      </c>
      <c r="AF61" s="98">
        <f>IF($H61="",0,IF(AND(AF$6&gt;=$H61,AF$6&lt;=$I61),$G61,0))</f>
        <v/>
      </c>
      <c r="AG61" s="98">
        <f>IF($H61="",0,IF(AND(AG$6&gt;=$H61,AG$6&lt;=$I61),$G61,0))</f>
        <v/>
      </c>
      <c r="AH61" s="98">
        <f>IF($H61="",0,IF(AND(AH$6&gt;=$H61,AH$6&lt;=$I61),$G61,0))</f>
        <v/>
      </c>
      <c r="AI61" s="98">
        <f>IF($H61="",0,IF(AND(AI$6&gt;=$H61,AI$6&lt;=$I61),$G61,0))</f>
        <v/>
      </c>
      <c r="AJ61" s="98">
        <f>IF($H61="",0,IF(AND(AJ$6&gt;=$H61,AJ$6&lt;=$I61),$G61,0))</f>
        <v/>
      </c>
      <c r="AK61" s="98">
        <f>IF($H61="",0,IF(AND(AK$6&gt;=$H61,AK$6&lt;=$I61),$G61,0))</f>
        <v/>
      </c>
      <c r="AL61" s="98">
        <f>IF($H61="",0,IF(AND(AL$6&gt;=$H61,AL$6&lt;=$I61),$G61,0))</f>
        <v/>
      </c>
      <c r="AM61" s="98">
        <f>IF($H61="",0,IF(AND(AM$6&gt;=$H61,AM$6&lt;=$I61),$G61,0))</f>
        <v/>
      </c>
      <c r="AN61" s="98">
        <f>IF($H61="",0,IF(AND(AN$6&gt;=$H61,AN$6&lt;=$I61),$G61,0))</f>
        <v/>
      </c>
      <c r="AO61" s="98">
        <f>IF($H61="",0,IF(AND(AO$6&gt;=$H61,AO$6&lt;=$I61),$G61,0))</f>
        <v/>
      </c>
      <c r="AP61" s="98">
        <f>IF($H61="",0,IF(AND(AP$6&gt;=$H61,AP$6&lt;=$I61),$G61,0))</f>
        <v/>
      </c>
      <c r="AQ61" s="98">
        <f>IF($H61="",0,IF(AND(AQ$6&gt;=$H61,AQ$6&lt;=$I61),$G61,0))</f>
        <v/>
      </c>
      <c r="AR61" s="98">
        <f>IF($H61="",0,IF(AND(AR$6&gt;=$H61,AR$6&lt;=$I61),$G61,0))</f>
        <v/>
      </c>
      <c r="AS61" s="98">
        <f>IF($H61="",0,IF(AND(AS$6&gt;=$H61,AS$6&lt;=$I61),$G61,0))</f>
        <v/>
      </c>
      <c r="AT61" s="98">
        <f>IF($H61="",0,IF(AND(AT$6&gt;=$H61,AT$6&lt;=$I61),$G61,0))</f>
        <v/>
      </c>
      <c r="AU61" s="98">
        <f>IF($H61="",0,IF(AND(AU$6&gt;=$H61,AU$6&lt;=$I61),$G61,0))</f>
        <v/>
      </c>
      <c r="AV61" s="98">
        <f>IF($H61="",0,IF(AND(AV$6&gt;=$H61,AV$6&lt;=$I61),$G61,0))</f>
        <v/>
      </c>
      <c r="AW61" s="98">
        <f>IF($H61="",0,IF(AND(AW$6&gt;=$H61,AW$6&lt;=$I61),$G61,0))</f>
        <v/>
      </c>
      <c r="AX61" s="98">
        <f>IF($H61="",0,IF(AND(AX$6&gt;=$H61,AX$6&lt;=$I61),$G61,0))</f>
        <v/>
      </c>
      <c r="AY61" s="98">
        <f>IF($H61="",0,IF(AND(AY$6&gt;=$H61,AY$6&lt;=$I61),$G61,0))</f>
        <v/>
      </c>
      <c r="AZ61" s="98">
        <f>IF($H61="",0,IF(AND(AZ$6&gt;=$H61,AZ$6&lt;=$I61),$G61,0))</f>
        <v/>
      </c>
      <c r="BA61" s="98">
        <f>IF($H61="",0,IF(AND(BA$6&gt;=$H61,BA$6&lt;=$I61),$G61,0))</f>
        <v/>
      </c>
      <c r="BB61" s="98">
        <f>IF($H61="",0,IF(AND(BB$6&gt;=$H61,BB$6&lt;=$I61),$G61,0))</f>
        <v/>
      </c>
      <c r="BC61" s="98">
        <f>IF($H61="",0,IF(AND(BC$6&gt;=$H61,BC$6&lt;=$I61),$G61,0))</f>
        <v/>
      </c>
      <c r="BD61" s="98">
        <f>IF($H61="",0,IF(AND(BD$6&gt;=$H61,BD$6&lt;=$I61),$G61,0))</f>
        <v/>
      </c>
      <c r="BE61" s="98">
        <f>IF($H61="",0,IF(AND(BE$6&gt;=$H61,BE$6&lt;=$I61),$G61,0))</f>
        <v/>
      </c>
      <c r="BF61" s="98">
        <f>IF($H61="",0,IF(AND(BF$6&gt;=$H61,BF$6&lt;=$I61),$G61,0))</f>
        <v/>
      </c>
      <c r="BG61" s="98">
        <f>IF($H61="",0,IF(AND(BG$6&gt;=$H61,BG$6&lt;=$I61),$G61,0))</f>
        <v/>
      </c>
      <c r="BH61" s="98">
        <f>IF($H61="",0,IF(AND(BH$6&gt;=$H61,BH$6&lt;=$I61),$G61,0))</f>
        <v/>
      </c>
      <c r="BI61" s="98">
        <f>IF($H61="",0,IF(AND(BI$6&gt;=$H61,BI$6&lt;=$I61),$G61,0))</f>
        <v/>
      </c>
      <c r="BJ61" s="98">
        <f>IF($H61="",0,IF(AND(BJ$6&gt;=$H61,BJ$6&lt;=$I61),$G61,0))</f>
        <v/>
      </c>
      <c r="BK61" s="98">
        <f>IF($H61="",0,IF(AND(BK$6&gt;=$H61,BK$6&lt;=$I61),$G61,0))</f>
        <v/>
      </c>
      <c r="BL61" s="98">
        <f>IF($H61="",0,IF(AND(BL$6&gt;=$H61,BL$6&lt;=$I61),$G61,0))</f>
        <v/>
      </c>
      <c r="BM61" s="98">
        <f>IF($H61="",0,IF(AND(BM$6&gt;=$H61,BM$6&lt;=$I61),$G61,0))</f>
        <v/>
      </c>
      <c r="BN61" s="98">
        <f>IF($H61="",0,IF(AND(BN$6&gt;=$H61,BN$6&lt;=$I61),$G61,0))</f>
        <v/>
      </c>
      <c r="BO61" s="98">
        <f>IF($H61="",0,IF(AND(BO$6&gt;=$H61,BO$6&lt;=$I61),$G61,0))</f>
        <v/>
      </c>
      <c r="BP61" s="98">
        <f>IF($H61="",0,IF(AND(BP$6&gt;=$H61,BP$6&lt;=$I61),$G61,0))</f>
        <v/>
      </c>
      <c r="BQ61" s="98">
        <f>IF($H61="",0,IF(AND(BQ$6&gt;=$H61,BQ$6&lt;=$I61),$G61,0))</f>
        <v/>
      </c>
      <c r="BR61" s="98">
        <f>IF($H61="",0,IF(AND(BR$6&gt;=$H61,BR$6&lt;=$I61),$G61,0))</f>
        <v/>
      </c>
      <c r="BS61" s="98">
        <f>IF($H61="",0,IF(AND(BS$6&gt;=$H61,BS$6&lt;=$I61),$G61,0))</f>
        <v/>
      </c>
      <c r="BT61" s="98">
        <f>IF($H61="",0,IF(AND(BT$6&gt;=$H61,BT$6&lt;=$I61),$G61,0))</f>
        <v/>
      </c>
    </row>
    <row r="62">
      <c r="A62" s="74" t="n"/>
      <c r="B62" s="74" t="n"/>
      <c r="C62" s="74" t="n"/>
      <c r="D62" s="73" t="n"/>
      <c r="E62" s="76" t="n"/>
      <c r="F62" s="90" t="n"/>
      <c r="G62" s="84">
        <f>IF(OR($E62="",N($F62)&lt;=0),0,$E62/$F62)</f>
        <v/>
      </c>
      <c r="H62" s="96">
        <f>IF(OR($A62="",$B62="",$D62="",N($F62)&lt;=0),"",IFERROR(IF(DAY($D62)&gt;INDEX(CARTOES_FECHA,MATCH($B62,LISTA_CARTOES,0)),EDATE(DATE(YEAR($D62),MONTH($D62),1),1),DATE(YEAR($D62),MONTH($D62),1)),""))</f>
        <v/>
      </c>
      <c r="I62" s="96">
        <f>IF($H62="","",EDATE($H62,$F62-1))</f>
        <v/>
      </c>
      <c r="J62" s="97">
        <f>IF($H62="",0,MAX(0,MIN($F62,(YEAR($I62)*12+MONTH($I62))-(ANO_SEL*12+MES_SEL))))</f>
        <v/>
      </c>
      <c r="K62" s="84">
        <f>J62*G62</f>
        <v/>
      </c>
      <c r="M62" s="98">
        <f>IF($H62="",0,IF(AND(M$6&gt;=$H62,M$6&lt;=$I62),$G62,0))</f>
        <v/>
      </c>
      <c r="N62" s="98">
        <f>IF($H62="",0,IF(AND(N$6&gt;=$H62,N$6&lt;=$I62),$G62,0))</f>
        <v/>
      </c>
      <c r="O62" s="98">
        <f>IF($H62="",0,IF(AND(O$6&gt;=$H62,O$6&lt;=$I62),$G62,0))</f>
        <v/>
      </c>
      <c r="P62" s="98">
        <f>IF($H62="",0,IF(AND(P$6&gt;=$H62,P$6&lt;=$I62),$G62,0))</f>
        <v/>
      </c>
      <c r="Q62" s="98">
        <f>IF($H62="",0,IF(AND(Q$6&gt;=$H62,Q$6&lt;=$I62),$G62,0))</f>
        <v/>
      </c>
      <c r="R62" s="98">
        <f>IF($H62="",0,IF(AND(R$6&gt;=$H62,R$6&lt;=$I62),$G62,0))</f>
        <v/>
      </c>
      <c r="S62" s="98">
        <f>IF($H62="",0,IF(AND(S$6&gt;=$H62,S$6&lt;=$I62),$G62,0))</f>
        <v/>
      </c>
      <c r="T62" s="98">
        <f>IF($H62="",0,IF(AND(T$6&gt;=$H62,T$6&lt;=$I62),$G62,0))</f>
        <v/>
      </c>
      <c r="U62" s="98">
        <f>IF($H62="",0,IF(AND(U$6&gt;=$H62,U$6&lt;=$I62),$G62,0))</f>
        <v/>
      </c>
      <c r="V62" s="98">
        <f>IF($H62="",0,IF(AND(V$6&gt;=$H62,V$6&lt;=$I62),$G62,0))</f>
        <v/>
      </c>
      <c r="W62" s="98">
        <f>IF($H62="",0,IF(AND(W$6&gt;=$H62,W$6&lt;=$I62),$G62,0))</f>
        <v/>
      </c>
      <c r="X62" s="98">
        <f>IF($H62="",0,IF(AND(X$6&gt;=$H62,X$6&lt;=$I62),$G62,0))</f>
        <v/>
      </c>
      <c r="Y62" s="98">
        <f>IF($H62="",0,IF(AND(Y$6&gt;=$H62,Y$6&lt;=$I62),$G62,0))</f>
        <v/>
      </c>
      <c r="Z62" s="98">
        <f>IF($H62="",0,IF(AND(Z$6&gt;=$H62,Z$6&lt;=$I62),$G62,0))</f>
        <v/>
      </c>
      <c r="AA62" s="98">
        <f>IF($H62="",0,IF(AND(AA$6&gt;=$H62,AA$6&lt;=$I62),$G62,0))</f>
        <v/>
      </c>
      <c r="AB62" s="98">
        <f>IF($H62="",0,IF(AND(AB$6&gt;=$H62,AB$6&lt;=$I62),$G62,0))</f>
        <v/>
      </c>
      <c r="AC62" s="98">
        <f>IF($H62="",0,IF(AND(AC$6&gt;=$H62,AC$6&lt;=$I62),$G62,0))</f>
        <v/>
      </c>
      <c r="AD62" s="98">
        <f>IF($H62="",0,IF(AND(AD$6&gt;=$H62,AD$6&lt;=$I62),$G62,0))</f>
        <v/>
      </c>
      <c r="AE62" s="98">
        <f>IF($H62="",0,IF(AND(AE$6&gt;=$H62,AE$6&lt;=$I62),$G62,0))</f>
        <v/>
      </c>
      <c r="AF62" s="98">
        <f>IF($H62="",0,IF(AND(AF$6&gt;=$H62,AF$6&lt;=$I62),$G62,0))</f>
        <v/>
      </c>
      <c r="AG62" s="98">
        <f>IF($H62="",0,IF(AND(AG$6&gt;=$H62,AG$6&lt;=$I62),$G62,0))</f>
        <v/>
      </c>
      <c r="AH62" s="98">
        <f>IF($H62="",0,IF(AND(AH$6&gt;=$H62,AH$6&lt;=$I62),$G62,0))</f>
        <v/>
      </c>
      <c r="AI62" s="98">
        <f>IF($H62="",0,IF(AND(AI$6&gt;=$H62,AI$6&lt;=$I62),$G62,0))</f>
        <v/>
      </c>
      <c r="AJ62" s="98">
        <f>IF($H62="",0,IF(AND(AJ$6&gt;=$H62,AJ$6&lt;=$I62),$G62,0))</f>
        <v/>
      </c>
      <c r="AK62" s="98">
        <f>IF($H62="",0,IF(AND(AK$6&gt;=$H62,AK$6&lt;=$I62),$G62,0))</f>
        <v/>
      </c>
      <c r="AL62" s="98">
        <f>IF($H62="",0,IF(AND(AL$6&gt;=$H62,AL$6&lt;=$I62),$G62,0))</f>
        <v/>
      </c>
      <c r="AM62" s="98">
        <f>IF($H62="",0,IF(AND(AM$6&gt;=$H62,AM$6&lt;=$I62),$G62,0))</f>
        <v/>
      </c>
      <c r="AN62" s="98">
        <f>IF($H62="",0,IF(AND(AN$6&gt;=$H62,AN$6&lt;=$I62),$G62,0))</f>
        <v/>
      </c>
      <c r="AO62" s="98">
        <f>IF($H62="",0,IF(AND(AO$6&gt;=$H62,AO$6&lt;=$I62),$G62,0))</f>
        <v/>
      </c>
      <c r="AP62" s="98">
        <f>IF($H62="",0,IF(AND(AP$6&gt;=$H62,AP$6&lt;=$I62),$G62,0))</f>
        <v/>
      </c>
      <c r="AQ62" s="98">
        <f>IF($H62="",0,IF(AND(AQ$6&gt;=$H62,AQ$6&lt;=$I62),$G62,0))</f>
        <v/>
      </c>
      <c r="AR62" s="98">
        <f>IF($H62="",0,IF(AND(AR$6&gt;=$H62,AR$6&lt;=$I62),$G62,0))</f>
        <v/>
      </c>
      <c r="AS62" s="98">
        <f>IF($H62="",0,IF(AND(AS$6&gt;=$H62,AS$6&lt;=$I62),$G62,0))</f>
        <v/>
      </c>
      <c r="AT62" s="98">
        <f>IF($H62="",0,IF(AND(AT$6&gt;=$H62,AT$6&lt;=$I62),$G62,0))</f>
        <v/>
      </c>
      <c r="AU62" s="98">
        <f>IF($H62="",0,IF(AND(AU$6&gt;=$H62,AU$6&lt;=$I62),$G62,0))</f>
        <v/>
      </c>
      <c r="AV62" s="98">
        <f>IF($H62="",0,IF(AND(AV$6&gt;=$H62,AV$6&lt;=$I62),$G62,0))</f>
        <v/>
      </c>
      <c r="AW62" s="98">
        <f>IF($H62="",0,IF(AND(AW$6&gt;=$H62,AW$6&lt;=$I62),$G62,0))</f>
        <v/>
      </c>
      <c r="AX62" s="98">
        <f>IF($H62="",0,IF(AND(AX$6&gt;=$H62,AX$6&lt;=$I62),$G62,0))</f>
        <v/>
      </c>
      <c r="AY62" s="98">
        <f>IF($H62="",0,IF(AND(AY$6&gt;=$H62,AY$6&lt;=$I62),$G62,0))</f>
        <v/>
      </c>
      <c r="AZ62" s="98">
        <f>IF($H62="",0,IF(AND(AZ$6&gt;=$H62,AZ$6&lt;=$I62),$G62,0))</f>
        <v/>
      </c>
      <c r="BA62" s="98">
        <f>IF($H62="",0,IF(AND(BA$6&gt;=$H62,BA$6&lt;=$I62),$G62,0))</f>
        <v/>
      </c>
      <c r="BB62" s="98">
        <f>IF($H62="",0,IF(AND(BB$6&gt;=$H62,BB$6&lt;=$I62),$G62,0))</f>
        <v/>
      </c>
      <c r="BC62" s="98">
        <f>IF($H62="",0,IF(AND(BC$6&gt;=$H62,BC$6&lt;=$I62),$G62,0))</f>
        <v/>
      </c>
      <c r="BD62" s="98">
        <f>IF($H62="",0,IF(AND(BD$6&gt;=$H62,BD$6&lt;=$I62),$G62,0))</f>
        <v/>
      </c>
      <c r="BE62" s="98">
        <f>IF($H62="",0,IF(AND(BE$6&gt;=$H62,BE$6&lt;=$I62),$G62,0))</f>
        <v/>
      </c>
      <c r="BF62" s="98">
        <f>IF($H62="",0,IF(AND(BF$6&gt;=$H62,BF$6&lt;=$I62),$G62,0))</f>
        <v/>
      </c>
      <c r="BG62" s="98">
        <f>IF($H62="",0,IF(AND(BG$6&gt;=$H62,BG$6&lt;=$I62),$G62,0))</f>
        <v/>
      </c>
      <c r="BH62" s="98">
        <f>IF($H62="",0,IF(AND(BH$6&gt;=$H62,BH$6&lt;=$I62),$G62,0))</f>
        <v/>
      </c>
      <c r="BI62" s="98">
        <f>IF($H62="",0,IF(AND(BI$6&gt;=$H62,BI$6&lt;=$I62),$G62,0))</f>
        <v/>
      </c>
      <c r="BJ62" s="98">
        <f>IF($H62="",0,IF(AND(BJ$6&gt;=$H62,BJ$6&lt;=$I62),$G62,0))</f>
        <v/>
      </c>
      <c r="BK62" s="98">
        <f>IF($H62="",0,IF(AND(BK$6&gt;=$H62,BK$6&lt;=$I62),$G62,0))</f>
        <v/>
      </c>
      <c r="BL62" s="98">
        <f>IF($H62="",0,IF(AND(BL$6&gt;=$H62,BL$6&lt;=$I62),$G62,0))</f>
        <v/>
      </c>
      <c r="BM62" s="98">
        <f>IF($H62="",0,IF(AND(BM$6&gt;=$H62,BM$6&lt;=$I62),$G62,0))</f>
        <v/>
      </c>
      <c r="BN62" s="98">
        <f>IF($H62="",0,IF(AND(BN$6&gt;=$H62,BN$6&lt;=$I62),$G62,0))</f>
        <v/>
      </c>
      <c r="BO62" s="98">
        <f>IF($H62="",0,IF(AND(BO$6&gt;=$H62,BO$6&lt;=$I62),$G62,0))</f>
        <v/>
      </c>
      <c r="BP62" s="98">
        <f>IF($H62="",0,IF(AND(BP$6&gt;=$H62,BP$6&lt;=$I62),$G62,0))</f>
        <v/>
      </c>
      <c r="BQ62" s="98">
        <f>IF($H62="",0,IF(AND(BQ$6&gt;=$H62,BQ$6&lt;=$I62),$G62,0))</f>
        <v/>
      </c>
      <c r="BR62" s="98">
        <f>IF($H62="",0,IF(AND(BR$6&gt;=$H62,BR$6&lt;=$I62),$G62,0))</f>
        <v/>
      </c>
      <c r="BS62" s="98">
        <f>IF($H62="",0,IF(AND(BS$6&gt;=$H62,BS$6&lt;=$I62),$G62,0))</f>
        <v/>
      </c>
      <c r="BT62" s="98">
        <f>IF($H62="",0,IF(AND(BT$6&gt;=$H62,BT$6&lt;=$I62),$G62,0))</f>
        <v/>
      </c>
    </row>
    <row r="63">
      <c r="A63" s="74" t="n"/>
      <c r="B63" s="74" t="n"/>
      <c r="C63" s="74" t="n"/>
      <c r="D63" s="73" t="n"/>
      <c r="E63" s="76" t="n"/>
      <c r="F63" s="90" t="n"/>
      <c r="G63" s="84">
        <f>IF(OR($E63="",N($F63)&lt;=0),0,$E63/$F63)</f>
        <v/>
      </c>
      <c r="H63" s="96">
        <f>IF(OR($A63="",$B63="",$D63="",N($F63)&lt;=0),"",IFERROR(IF(DAY($D63)&gt;INDEX(CARTOES_FECHA,MATCH($B63,LISTA_CARTOES,0)),EDATE(DATE(YEAR($D63),MONTH($D63),1),1),DATE(YEAR($D63),MONTH($D63),1)),""))</f>
        <v/>
      </c>
      <c r="I63" s="96">
        <f>IF($H63="","",EDATE($H63,$F63-1))</f>
        <v/>
      </c>
      <c r="J63" s="97">
        <f>IF($H63="",0,MAX(0,MIN($F63,(YEAR($I63)*12+MONTH($I63))-(ANO_SEL*12+MES_SEL))))</f>
        <v/>
      </c>
      <c r="K63" s="84">
        <f>J63*G63</f>
        <v/>
      </c>
      <c r="M63" s="98">
        <f>IF($H63="",0,IF(AND(M$6&gt;=$H63,M$6&lt;=$I63),$G63,0))</f>
        <v/>
      </c>
      <c r="N63" s="98">
        <f>IF($H63="",0,IF(AND(N$6&gt;=$H63,N$6&lt;=$I63),$G63,0))</f>
        <v/>
      </c>
      <c r="O63" s="98">
        <f>IF($H63="",0,IF(AND(O$6&gt;=$H63,O$6&lt;=$I63),$G63,0))</f>
        <v/>
      </c>
      <c r="P63" s="98">
        <f>IF($H63="",0,IF(AND(P$6&gt;=$H63,P$6&lt;=$I63),$G63,0))</f>
        <v/>
      </c>
      <c r="Q63" s="98">
        <f>IF($H63="",0,IF(AND(Q$6&gt;=$H63,Q$6&lt;=$I63),$G63,0))</f>
        <v/>
      </c>
      <c r="R63" s="98">
        <f>IF($H63="",0,IF(AND(R$6&gt;=$H63,R$6&lt;=$I63),$G63,0))</f>
        <v/>
      </c>
      <c r="S63" s="98">
        <f>IF($H63="",0,IF(AND(S$6&gt;=$H63,S$6&lt;=$I63),$G63,0))</f>
        <v/>
      </c>
      <c r="T63" s="98">
        <f>IF($H63="",0,IF(AND(T$6&gt;=$H63,T$6&lt;=$I63),$G63,0))</f>
        <v/>
      </c>
      <c r="U63" s="98">
        <f>IF($H63="",0,IF(AND(U$6&gt;=$H63,U$6&lt;=$I63),$G63,0))</f>
        <v/>
      </c>
      <c r="V63" s="98">
        <f>IF($H63="",0,IF(AND(V$6&gt;=$H63,V$6&lt;=$I63),$G63,0))</f>
        <v/>
      </c>
      <c r="W63" s="98">
        <f>IF($H63="",0,IF(AND(W$6&gt;=$H63,W$6&lt;=$I63),$G63,0))</f>
        <v/>
      </c>
      <c r="X63" s="98">
        <f>IF($H63="",0,IF(AND(X$6&gt;=$H63,X$6&lt;=$I63),$G63,0))</f>
        <v/>
      </c>
      <c r="Y63" s="98">
        <f>IF($H63="",0,IF(AND(Y$6&gt;=$H63,Y$6&lt;=$I63),$G63,0))</f>
        <v/>
      </c>
      <c r="Z63" s="98">
        <f>IF($H63="",0,IF(AND(Z$6&gt;=$H63,Z$6&lt;=$I63),$G63,0))</f>
        <v/>
      </c>
      <c r="AA63" s="98">
        <f>IF($H63="",0,IF(AND(AA$6&gt;=$H63,AA$6&lt;=$I63),$G63,0))</f>
        <v/>
      </c>
      <c r="AB63" s="98">
        <f>IF($H63="",0,IF(AND(AB$6&gt;=$H63,AB$6&lt;=$I63),$G63,0))</f>
        <v/>
      </c>
      <c r="AC63" s="98">
        <f>IF($H63="",0,IF(AND(AC$6&gt;=$H63,AC$6&lt;=$I63),$G63,0))</f>
        <v/>
      </c>
      <c r="AD63" s="98">
        <f>IF($H63="",0,IF(AND(AD$6&gt;=$H63,AD$6&lt;=$I63),$G63,0))</f>
        <v/>
      </c>
      <c r="AE63" s="98">
        <f>IF($H63="",0,IF(AND(AE$6&gt;=$H63,AE$6&lt;=$I63),$G63,0))</f>
        <v/>
      </c>
      <c r="AF63" s="98">
        <f>IF($H63="",0,IF(AND(AF$6&gt;=$H63,AF$6&lt;=$I63),$G63,0))</f>
        <v/>
      </c>
      <c r="AG63" s="98">
        <f>IF($H63="",0,IF(AND(AG$6&gt;=$H63,AG$6&lt;=$I63),$G63,0))</f>
        <v/>
      </c>
      <c r="AH63" s="98">
        <f>IF($H63="",0,IF(AND(AH$6&gt;=$H63,AH$6&lt;=$I63),$G63,0))</f>
        <v/>
      </c>
      <c r="AI63" s="98">
        <f>IF($H63="",0,IF(AND(AI$6&gt;=$H63,AI$6&lt;=$I63),$G63,0))</f>
        <v/>
      </c>
      <c r="AJ63" s="98">
        <f>IF($H63="",0,IF(AND(AJ$6&gt;=$H63,AJ$6&lt;=$I63),$G63,0))</f>
        <v/>
      </c>
      <c r="AK63" s="98">
        <f>IF($H63="",0,IF(AND(AK$6&gt;=$H63,AK$6&lt;=$I63),$G63,0))</f>
        <v/>
      </c>
      <c r="AL63" s="98">
        <f>IF($H63="",0,IF(AND(AL$6&gt;=$H63,AL$6&lt;=$I63),$G63,0))</f>
        <v/>
      </c>
      <c r="AM63" s="98">
        <f>IF($H63="",0,IF(AND(AM$6&gt;=$H63,AM$6&lt;=$I63),$G63,0))</f>
        <v/>
      </c>
      <c r="AN63" s="98">
        <f>IF($H63="",0,IF(AND(AN$6&gt;=$H63,AN$6&lt;=$I63),$G63,0))</f>
        <v/>
      </c>
      <c r="AO63" s="98">
        <f>IF($H63="",0,IF(AND(AO$6&gt;=$H63,AO$6&lt;=$I63),$G63,0))</f>
        <v/>
      </c>
      <c r="AP63" s="98">
        <f>IF($H63="",0,IF(AND(AP$6&gt;=$H63,AP$6&lt;=$I63),$G63,0))</f>
        <v/>
      </c>
      <c r="AQ63" s="98">
        <f>IF($H63="",0,IF(AND(AQ$6&gt;=$H63,AQ$6&lt;=$I63),$G63,0))</f>
        <v/>
      </c>
      <c r="AR63" s="98">
        <f>IF($H63="",0,IF(AND(AR$6&gt;=$H63,AR$6&lt;=$I63),$G63,0))</f>
        <v/>
      </c>
      <c r="AS63" s="98">
        <f>IF($H63="",0,IF(AND(AS$6&gt;=$H63,AS$6&lt;=$I63),$G63,0))</f>
        <v/>
      </c>
      <c r="AT63" s="98">
        <f>IF($H63="",0,IF(AND(AT$6&gt;=$H63,AT$6&lt;=$I63),$G63,0))</f>
        <v/>
      </c>
      <c r="AU63" s="98">
        <f>IF($H63="",0,IF(AND(AU$6&gt;=$H63,AU$6&lt;=$I63),$G63,0))</f>
        <v/>
      </c>
      <c r="AV63" s="98">
        <f>IF($H63="",0,IF(AND(AV$6&gt;=$H63,AV$6&lt;=$I63),$G63,0))</f>
        <v/>
      </c>
      <c r="AW63" s="98">
        <f>IF($H63="",0,IF(AND(AW$6&gt;=$H63,AW$6&lt;=$I63),$G63,0))</f>
        <v/>
      </c>
      <c r="AX63" s="98">
        <f>IF($H63="",0,IF(AND(AX$6&gt;=$H63,AX$6&lt;=$I63),$G63,0))</f>
        <v/>
      </c>
      <c r="AY63" s="98">
        <f>IF($H63="",0,IF(AND(AY$6&gt;=$H63,AY$6&lt;=$I63),$G63,0))</f>
        <v/>
      </c>
      <c r="AZ63" s="98">
        <f>IF($H63="",0,IF(AND(AZ$6&gt;=$H63,AZ$6&lt;=$I63),$G63,0))</f>
        <v/>
      </c>
      <c r="BA63" s="98">
        <f>IF($H63="",0,IF(AND(BA$6&gt;=$H63,BA$6&lt;=$I63),$G63,0))</f>
        <v/>
      </c>
      <c r="BB63" s="98">
        <f>IF($H63="",0,IF(AND(BB$6&gt;=$H63,BB$6&lt;=$I63),$G63,0))</f>
        <v/>
      </c>
      <c r="BC63" s="98">
        <f>IF($H63="",0,IF(AND(BC$6&gt;=$H63,BC$6&lt;=$I63),$G63,0))</f>
        <v/>
      </c>
      <c r="BD63" s="98">
        <f>IF($H63="",0,IF(AND(BD$6&gt;=$H63,BD$6&lt;=$I63),$G63,0))</f>
        <v/>
      </c>
      <c r="BE63" s="98">
        <f>IF($H63="",0,IF(AND(BE$6&gt;=$H63,BE$6&lt;=$I63),$G63,0))</f>
        <v/>
      </c>
      <c r="BF63" s="98">
        <f>IF($H63="",0,IF(AND(BF$6&gt;=$H63,BF$6&lt;=$I63),$G63,0))</f>
        <v/>
      </c>
      <c r="BG63" s="98">
        <f>IF($H63="",0,IF(AND(BG$6&gt;=$H63,BG$6&lt;=$I63),$G63,0))</f>
        <v/>
      </c>
      <c r="BH63" s="98">
        <f>IF($H63="",0,IF(AND(BH$6&gt;=$H63,BH$6&lt;=$I63),$G63,0))</f>
        <v/>
      </c>
      <c r="BI63" s="98">
        <f>IF($H63="",0,IF(AND(BI$6&gt;=$H63,BI$6&lt;=$I63),$G63,0))</f>
        <v/>
      </c>
      <c r="BJ63" s="98">
        <f>IF($H63="",0,IF(AND(BJ$6&gt;=$H63,BJ$6&lt;=$I63),$G63,0))</f>
        <v/>
      </c>
      <c r="BK63" s="98">
        <f>IF($H63="",0,IF(AND(BK$6&gt;=$H63,BK$6&lt;=$I63),$G63,0))</f>
        <v/>
      </c>
      <c r="BL63" s="98">
        <f>IF($H63="",0,IF(AND(BL$6&gt;=$H63,BL$6&lt;=$I63),$G63,0))</f>
        <v/>
      </c>
      <c r="BM63" s="98">
        <f>IF($H63="",0,IF(AND(BM$6&gt;=$H63,BM$6&lt;=$I63),$G63,0))</f>
        <v/>
      </c>
      <c r="BN63" s="98">
        <f>IF($H63="",0,IF(AND(BN$6&gt;=$H63,BN$6&lt;=$I63),$G63,0))</f>
        <v/>
      </c>
      <c r="BO63" s="98">
        <f>IF($H63="",0,IF(AND(BO$6&gt;=$H63,BO$6&lt;=$I63),$G63,0))</f>
        <v/>
      </c>
      <c r="BP63" s="98">
        <f>IF($H63="",0,IF(AND(BP$6&gt;=$H63,BP$6&lt;=$I63),$G63,0))</f>
        <v/>
      </c>
      <c r="BQ63" s="98">
        <f>IF($H63="",0,IF(AND(BQ$6&gt;=$H63,BQ$6&lt;=$I63),$G63,0))</f>
        <v/>
      </c>
      <c r="BR63" s="98">
        <f>IF($H63="",0,IF(AND(BR$6&gt;=$H63,BR$6&lt;=$I63),$G63,0))</f>
        <v/>
      </c>
      <c r="BS63" s="98">
        <f>IF($H63="",0,IF(AND(BS$6&gt;=$H63,BS$6&lt;=$I63),$G63,0))</f>
        <v/>
      </c>
      <c r="BT63" s="98">
        <f>IF($H63="",0,IF(AND(BT$6&gt;=$H63,BT$6&lt;=$I63),$G63,0))</f>
        <v/>
      </c>
    </row>
    <row r="64">
      <c r="A64" s="74" t="n"/>
      <c r="B64" s="74" t="n"/>
      <c r="C64" s="74" t="n"/>
      <c r="D64" s="73" t="n"/>
      <c r="E64" s="76" t="n"/>
      <c r="F64" s="90" t="n"/>
      <c r="G64" s="84">
        <f>IF(OR($E64="",N($F64)&lt;=0),0,$E64/$F64)</f>
        <v/>
      </c>
      <c r="H64" s="96">
        <f>IF(OR($A64="",$B64="",$D64="",N($F64)&lt;=0),"",IFERROR(IF(DAY($D64)&gt;INDEX(CARTOES_FECHA,MATCH($B64,LISTA_CARTOES,0)),EDATE(DATE(YEAR($D64),MONTH($D64),1),1),DATE(YEAR($D64),MONTH($D64),1)),""))</f>
        <v/>
      </c>
      <c r="I64" s="96">
        <f>IF($H64="","",EDATE($H64,$F64-1))</f>
        <v/>
      </c>
      <c r="J64" s="97">
        <f>IF($H64="",0,MAX(0,MIN($F64,(YEAR($I64)*12+MONTH($I64))-(ANO_SEL*12+MES_SEL))))</f>
        <v/>
      </c>
      <c r="K64" s="84">
        <f>J64*G64</f>
        <v/>
      </c>
      <c r="M64" s="98">
        <f>IF($H64="",0,IF(AND(M$6&gt;=$H64,M$6&lt;=$I64),$G64,0))</f>
        <v/>
      </c>
      <c r="N64" s="98">
        <f>IF($H64="",0,IF(AND(N$6&gt;=$H64,N$6&lt;=$I64),$G64,0))</f>
        <v/>
      </c>
      <c r="O64" s="98">
        <f>IF($H64="",0,IF(AND(O$6&gt;=$H64,O$6&lt;=$I64),$G64,0))</f>
        <v/>
      </c>
      <c r="P64" s="98">
        <f>IF($H64="",0,IF(AND(P$6&gt;=$H64,P$6&lt;=$I64),$G64,0))</f>
        <v/>
      </c>
      <c r="Q64" s="98">
        <f>IF($H64="",0,IF(AND(Q$6&gt;=$H64,Q$6&lt;=$I64),$G64,0))</f>
        <v/>
      </c>
      <c r="R64" s="98">
        <f>IF($H64="",0,IF(AND(R$6&gt;=$H64,R$6&lt;=$I64),$G64,0))</f>
        <v/>
      </c>
      <c r="S64" s="98">
        <f>IF($H64="",0,IF(AND(S$6&gt;=$H64,S$6&lt;=$I64),$G64,0))</f>
        <v/>
      </c>
      <c r="T64" s="98">
        <f>IF($H64="",0,IF(AND(T$6&gt;=$H64,T$6&lt;=$I64),$G64,0))</f>
        <v/>
      </c>
      <c r="U64" s="98">
        <f>IF($H64="",0,IF(AND(U$6&gt;=$H64,U$6&lt;=$I64),$G64,0))</f>
        <v/>
      </c>
      <c r="V64" s="98">
        <f>IF($H64="",0,IF(AND(V$6&gt;=$H64,V$6&lt;=$I64),$G64,0))</f>
        <v/>
      </c>
      <c r="W64" s="98">
        <f>IF($H64="",0,IF(AND(W$6&gt;=$H64,W$6&lt;=$I64),$G64,0))</f>
        <v/>
      </c>
      <c r="X64" s="98">
        <f>IF($H64="",0,IF(AND(X$6&gt;=$H64,X$6&lt;=$I64),$G64,0))</f>
        <v/>
      </c>
      <c r="Y64" s="98">
        <f>IF($H64="",0,IF(AND(Y$6&gt;=$H64,Y$6&lt;=$I64),$G64,0))</f>
        <v/>
      </c>
      <c r="Z64" s="98">
        <f>IF($H64="",0,IF(AND(Z$6&gt;=$H64,Z$6&lt;=$I64),$G64,0))</f>
        <v/>
      </c>
      <c r="AA64" s="98">
        <f>IF($H64="",0,IF(AND(AA$6&gt;=$H64,AA$6&lt;=$I64),$G64,0))</f>
        <v/>
      </c>
      <c r="AB64" s="98">
        <f>IF($H64="",0,IF(AND(AB$6&gt;=$H64,AB$6&lt;=$I64),$G64,0))</f>
        <v/>
      </c>
      <c r="AC64" s="98">
        <f>IF($H64="",0,IF(AND(AC$6&gt;=$H64,AC$6&lt;=$I64),$G64,0))</f>
        <v/>
      </c>
      <c r="AD64" s="98">
        <f>IF($H64="",0,IF(AND(AD$6&gt;=$H64,AD$6&lt;=$I64),$G64,0))</f>
        <v/>
      </c>
      <c r="AE64" s="98">
        <f>IF($H64="",0,IF(AND(AE$6&gt;=$H64,AE$6&lt;=$I64),$G64,0))</f>
        <v/>
      </c>
      <c r="AF64" s="98">
        <f>IF($H64="",0,IF(AND(AF$6&gt;=$H64,AF$6&lt;=$I64),$G64,0))</f>
        <v/>
      </c>
      <c r="AG64" s="98">
        <f>IF($H64="",0,IF(AND(AG$6&gt;=$H64,AG$6&lt;=$I64),$G64,0))</f>
        <v/>
      </c>
      <c r="AH64" s="98">
        <f>IF($H64="",0,IF(AND(AH$6&gt;=$H64,AH$6&lt;=$I64),$G64,0))</f>
        <v/>
      </c>
      <c r="AI64" s="98">
        <f>IF($H64="",0,IF(AND(AI$6&gt;=$H64,AI$6&lt;=$I64),$G64,0))</f>
        <v/>
      </c>
      <c r="AJ64" s="98">
        <f>IF($H64="",0,IF(AND(AJ$6&gt;=$H64,AJ$6&lt;=$I64),$G64,0))</f>
        <v/>
      </c>
      <c r="AK64" s="98">
        <f>IF($H64="",0,IF(AND(AK$6&gt;=$H64,AK$6&lt;=$I64),$G64,0))</f>
        <v/>
      </c>
      <c r="AL64" s="98">
        <f>IF($H64="",0,IF(AND(AL$6&gt;=$H64,AL$6&lt;=$I64),$G64,0))</f>
        <v/>
      </c>
      <c r="AM64" s="98">
        <f>IF($H64="",0,IF(AND(AM$6&gt;=$H64,AM$6&lt;=$I64),$G64,0))</f>
        <v/>
      </c>
      <c r="AN64" s="98">
        <f>IF($H64="",0,IF(AND(AN$6&gt;=$H64,AN$6&lt;=$I64),$G64,0))</f>
        <v/>
      </c>
      <c r="AO64" s="98">
        <f>IF($H64="",0,IF(AND(AO$6&gt;=$H64,AO$6&lt;=$I64),$G64,0))</f>
        <v/>
      </c>
      <c r="AP64" s="98">
        <f>IF($H64="",0,IF(AND(AP$6&gt;=$H64,AP$6&lt;=$I64),$G64,0))</f>
        <v/>
      </c>
      <c r="AQ64" s="98">
        <f>IF($H64="",0,IF(AND(AQ$6&gt;=$H64,AQ$6&lt;=$I64),$G64,0))</f>
        <v/>
      </c>
      <c r="AR64" s="98">
        <f>IF($H64="",0,IF(AND(AR$6&gt;=$H64,AR$6&lt;=$I64),$G64,0))</f>
        <v/>
      </c>
      <c r="AS64" s="98">
        <f>IF($H64="",0,IF(AND(AS$6&gt;=$H64,AS$6&lt;=$I64),$G64,0))</f>
        <v/>
      </c>
      <c r="AT64" s="98">
        <f>IF($H64="",0,IF(AND(AT$6&gt;=$H64,AT$6&lt;=$I64),$G64,0))</f>
        <v/>
      </c>
      <c r="AU64" s="98">
        <f>IF($H64="",0,IF(AND(AU$6&gt;=$H64,AU$6&lt;=$I64),$G64,0))</f>
        <v/>
      </c>
      <c r="AV64" s="98">
        <f>IF($H64="",0,IF(AND(AV$6&gt;=$H64,AV$6&lt;=$I64),$G64,0))</f>
        <v/>
      </c>
      <c r="AW64" s="98">
        <f>IF($H64="",0,IF(AND(AW$6&gt;=$H64,AW$6&lt;=$I64),$G64,0))</f>
        <v/>
      </c>
      <c r="AX64" s="98">
        <f>IF($H64="",0,IF(AND(AX$6&gt;=$H64,AX$6&lt;=$I64),$G64,0))</f>
        <v/>
      </c>
      <c r="AY64" s="98">
        <f>IF($H64="",0,IF(AND(AY$6&gt;=$H64,AY$6&lt;=$I64),$G64,0))</f>
        <v/>
      </c>
      <c r="AZ64" s="98">
        <f>IF($H64="",0,IF(AND(AZ$6&gt;=$H64,AZ$6&lt;=$I64),$G64,0))</f>
        <v/>
      </c>
      <c r="BA64" s="98">
        <f>IF($H64="",0,IF(AND(BA$6&gt;=$H64,BA$6&lt;=$I64),$G64,0))</f>
        <v/>
      </c>
      <c r="BB64" s="98">
        <f>IF($H64="",0,IF(AND(BB$6&gt;=$H64,BB$6&lt;=$I64),$G64,0))</f>
        <v/>
      </c>
      <c r="BC64" s="98">
        <f>IF($H64="",0,IF(AND(BC$6&gt;=$H64,BC$6&lt;=$I64),$G64,0))</f>
        <v/>
      </c>
      <c r="BD64" s="98">
        <f>IF($H64="",0,IF(AND(BD$6&gt;=$H64,BD$6&lt;=$I64),$G64,0))</f>
        <v/>
      </c>
      <c r="BE64" s="98">
        <f>IF($H64="",0,IF(AND(BE$6&gt;=$H64,BE$6&lt;=$I64),$G64,0))</f>
        <v/>
      </c>
      <c r="BF64" s="98">
        <f>IF($H64="",0,IF(AND(BF$6&gt;=$H64,BF$6&lt;=$I64),$G64,0))</f>
        <v/>
      </c>
      <c r="BG64" s="98">
        <f>IF($H64="",0,IF(AND(BG$6&gt;=$H64,BG$6&lt;=$I64),$G64,0))</f>
        <v/>
      </c>
      <c r="BH64" s="98">
        <f>IF($H64="",0,IF(AND(BH$6&gt;=$H64,BH$6&lt;=$I64),$G64,0))</f>
        <v/>
      </c>
      <c r="BI64" s="98">
        <f>IF($H64="",0,IF(AND(BI$6&gt;=$H64,BI$6&lt;=$I64),$G64,0))</f>
        <v/>
      </c>
      <c r="BJ64" s="98">
        <f>IF($H64="",0,IF(AND(BJ$6&gt;=$H64,BJ$6&lt;=$I64),$G64,0))</f>
        <v/>
      </c>
      <c r="BK64" s="98">
        <f>IF($H64="",0,IF(AND(BK$6&gt;=$H64,BK$6&lt;=$I64),$G64,0))</f>
        <v/>
      </c>
      <c r="BL64" s="98">
        <f>IF($H64="",0,IF(AND(BL$6&gt;=$H64,BL$6&lt;=$I64),$G64,0))</f>
        <v/>
      </c>
      <c r="BM64" s="98">
        <f>IF($H64="",0,IF(AND(BM$6&gt;=$H64,BM$6&lt;=$I64),$G64,0))</f>
        <v/>
      </c>
      <c r="BN64" s="98">
        <f>IF($H64="",0,IF(AND(BN$6&gt;=$H64,BN$6&lt;=$I64),$G64,0))</f>
        <v/>
      </c>
      <c r="BO64" s="98">
        <f>IF($H64="",0,IF(AND(BO$6&gt;=$H64,BO$6&lt;=$I64),$G64,0))</f>
        <v/>
      </c>
      <c r="BP64" s="98">
        <f>IF($H64="",0,IF(AND(BP$6&gt;=$H64,BP$6&lt;=$I64),$G64,0))</f>
        <v/>
      </c>
      <c r="BQ64" s="98">
        <f>IF($H64="",0,IF(AND(BQ$6&gt;=$H64,BQ$6&lt;=$I64),$G64,0))</f>
        <v/>
      </c>
      <c r="BR64" s="98">
        <f>IF($H64="",0,IF(AND(BR$6&gt;=$H64,BR$6&lt;=$I64),$G64,0))</f>
        <v/>
      </c>
      <c r="BS64" s="98">
        <f>IF($H64="",0,IF(AND(BS$6&gt;=$H64,BS$6&lt;=$I64),$G64,0))</f>
        <v/>
      </c>
      <c r="BT64" s="98">
        <f>IF($H64="",0,IF(AND(BT$6&gt;=$H64,BT$6&lt;=$I64),$G64,0))</f>
        <v/>
      </c>
    </row>
    <row r="65">
      <c r="A65" s="74" t="n"/>
      <c r="B65" s="74" t="n"/>
      <c r="C65" s="74" t="n"/>
      <c r="D65" s="73" t="n"/>
      <c r="E65" s="76" t="n"/>
      <c r="F65" s="90" t="n"/>
      <c r="G65" s="84">
        <f>IF(OR($E65="",N($F65)&lt;=0),0,$E65/$F65)</f>
        <v/>
      </c>
      <c r="H65" s="96">
        <f>IF(OR($A65="",$B65="",$D65="",N($F65)&lt;=0),"",IFERROR(IF(DAY($D65)&gt;INDEX(CARTOES_FECHA,MATCH($B65,LISTA_CARTOES,0)),EDATE(DATE(YEAR($D65),MONTH($D65),1),1),DATE(YEAR($D65),MONTH($D65),1)),""))</f>
        <v/>
      </c>
      <c r="I65" s="96">
        <f>IF($H65="","",EDATE($H65,$F65-1))</f>
        <v/>
      </c>
      <c r="J65" s="97">
        <f>IF($H65="",0,MAX(0,MIN($F65,(YEAR($I65)*12+MONTH($I65))-(ANO_SEL*12+MES_SEL))))</f>
        <v/>
      </c>
      <c r="K65" s="84">
        <f>J65*G65</f>
        <v/>
      </c>
      <c r="M65" s="98">
        <f>IF($H65="",0,IF(AND(M$6&gt;=$H65,M$6&lt;=$I65),$G65,0))</f>
        <v/>
      </c>
      <c r="N65" s="98">
        <f>IF($H65="",0,IF(AND(N$6&gt;=$H65,N$6&lt;=$I65),$G65,0))</f>
        <v/>
      </c>
      <c r="O65" s="98">
        <f>IF($H65="",0,IF(AND(O$6&gt;=$H65,O$6&lt;=$I65),$G65,0))</f>
        <v/>
      </c>
      <c r="P65" s="98">
        <f>IF($H65="",0,IF(AND(P$6&gt;=$H65,P$6&lt;=$I65),$G65,0))</f>
        <v/>
      </c>
      <c r="Q65" s="98">
        <f>IF($H65="",0,IF(AND(Q$6&gt;=$H65,Q$6&lt;=$I65),$G65,0))</f>
        <v/>
      </c>
      <c r="R65" s="98">
        <f>IF($H65="",0,IF(AND(R$6&gt;=$H65,R$6&lt;=$I65),$G65,0))</f>
        <v/>
      </c>
      <c r="S65" s="98">
        <f>IF($H65="",0,IF(AND(S$6&gt;=$H65,S$6&lt;=$I65),$G65,0))</f>
        <v/>
      </c>
      <c r="T65" s="98">
        <f>IF($H65="",0,IF(AND(T$6&gt;=$H65,T$6&lt;=$I65),$G65,0))</f>
        <v/>
      </c>
      <c r="U65" s="98">
        <f>IF($H65="",0,IF(AND(U$6&gt;=$H65,U$6&lt;=$I65),$G65,0))</f>
        <v/>
      </c>
      <c r="V65" s="98">
        <f>IF($H65="",0,IF(AND(V$6&gt;=$H65,V$6&lt;=$I65),$G65,0))</f>
        <v/>
      </c>
      <c r="W65" s="98">
        <f>IF($H65="",0,IF(AND(W$6&gt;=$H65,W$6&lt;=$I65),$G65,0))</f>
        <v/>
      </c>
      <c r="X65" s="98">
        <f>IF($H65="",0,IF(AND(X$6&gt;=$H65,X$6&lt;=$I65),$G65,0))</f>
        <v/>
      </c>
      <c r="Y65" s="98">
        <f>IF($H65="",0,IF(AND(Y$6&gt;=$H65,Y$6&lt;=$I65),$G65,0))</f>
        <v/>
      </c>
      <c r="Z65" s="98">
        <f>IF($H65="",0,IF(AND(Z$6&gt;=$H65,Z$6&lt;=$I65),$G65,0))</f>
        <v/>
      </c>
      <c r="AA65" s="98">
        <f>IF($H65="",0,IF(AND(AA$6&gt;=$H65,AA$6&lt;=$I65),$G65,0))</f>
        <v/>
      </c>
      <c r="AB65" s="98">
        <f>IF($H65="",0,IF(AND(AB$6&gt;=$H65,AB$6&lt;=$I65),$G65,0))</f>
        <v/>
      </c>
      <c r="AC65" s="98">
        <f>IF($H65="",0,IF(AND(AC$6&gt;=$H65,AC$6&lt;=$I65),$G65,0))</f>
        <v/>
      </c>
      <c r="AD65" s="98">
        <f>IF($H65="",0,IF(AND(AD$6&gt;=$H65,AD$6&lt;=$I65),$G65,0))</f>
        <v/>
      </c>
      <c r="AE65" s="98">
        <f>IF($H65="",0,IF(AND(AE$6&gt;=$H65,AE$6&lt;=$I65),$G65,0))</f>
        <v/>
      </c>
      <c r="AF65" s="98">
        <f>IF($H65="",0,IF(AND(AF$6&gt;=$H65,AF$6&lt;=$I65),$G65,0))</f>
        <v/>
      </c>
      <c r="AG65" s="98">
        <f>IF($H65="",0,IF(AND(AG$6&gt;=$H65,AG$6&lt;=$I65),$G65,0))</f>
        <v/>
      </c>
      <c r="AH65" s="98">
        <f>IF($H65="",0,IF(AND(AH$6&gt;=$H65,AH$6&lt;=$I65),$G65,0))</f>
        <v/>
      </c>
      <c r="AI65" s="98">
        <f>IF($H65="",0,IF(AND(AI$6&gt;=$H65,AI$6&lt;=$I65),$G65,0))</f>
        <v/>
      </c>
      <c r="AJ65" s="98">
        <f>IF($H65="",0,IF(AND(AJ$6&gt;=$H65,AJ$6&lt;=$I65),$G65,0))</f>
        <v/>
      </c>
      <c r="AK65" s="98">
        <f>IF($H65="",0,IF(AND(AK$6&gt;=$H65,AK$6&lt;=$I65),$G65,0))</f>
        <v/>
      </c>
      <c r="AL65" s="98">
        <f>IF($H65="",0,IF(AND(AL$6&gt;=$H65,AL$6&lt;=$I65),$G65,0))</f>
        <v/>
      </c>
      <c r="AM65" s="98">
        <f>IF($H65="",0,IF(AND(AM$6&gt;=$H65,AM$6&lt;=$I65),$G65,0))</f>
        <v/>
      </c>
      <c r="AN65" s="98">
        <f>IF($H65="",0,IF(AND(AN$6&gt;=$H65,AN$6&lt;=$I65),$G65,0))</f>
        <v/>
      </c>
      <c r="AO65" s="98">
        <f>IF($H65="",0,IF(AND(AO$6&gt;=$H65,AO$6&lt;=$I65),$G65,0))</f>
        <v/>
      </c>
      <c r="AP65" s="98">
        <f>IF($H65="",0,IF(AND(AP$6&gt;=$H65,AP$6&lt;=$I65),$G65,0))</f>
        <v/>
      </c>
      <c r="AQ65" s="98">
        <f>IF($H65="",0,IF(AND(AQ$6&gt;=$H65,AQ$6&lt;=$I65),$G65,0))</f>
        <v/>
      </c>
      <c r="AR65" s="98">
        <f>IF($H65="",0,IF(AND(AR$6&gt;=$H65,AR$6&lt;=$I65),$G65,0))</f>
        <v/>
      </c>
      <c r="AS65" s="98">
        <f>IF($H65="",0,IF(AND(AS$6&gt;=$H65,AS$6&lt;=$I65),$G65,0))</f>
        <v/>
      </c>
      <c r="AT65" s="98">
        <f>IF($H65="",0,IF(AND(AT$6&gt;=$H65,AT$6&lt;=$I65),$G65,0))</f>
        <v/>
      </c>
      <c r="AU65" s="98">
        <f>IF($H65="",0,IF(AND(AU$6&gt;=$H65,AU$6&lt;=$I65),$G65,0))</f>
        <v/>
      </c>
      <c r="AV65" s="98">
        <f>IF($H65="",0,IF(AND(AV$6&gt;=$H65,AV$6&lt;=$I65),$G65,0))</f>
        <v/>
      </c>
      <c r="AW65" s="98">
        <f>IF($H65="",0,IF(AND(AW$6&gt;=$H65,AW$6&lt;=$I65),$G65,0))</f>
        <v/>
      </c>
      <c r="AX65" s="98">
        <f>IF($H65="",0,IF(AND(AX$6&gt;=$H65,AX$6&lt;=$I65),$G65,0))</f>
        <v/>
      </c>
      <c r="AY65" s="98">
        <f>IF($H65="",0,IF(AND(AY$6&gt;=$H65,AY$6&lt;=$I65),$G65,0))</f>
        <v/>
      </c>
      <c r="AZ65" s="98">
        <f>IF($H65="",0,IF(AND(AZ$6&gt;=$H65,AZ$6&lt;=$I65),$G65,0))</f>
        <v/>
      </c>
      <c r="BA65" s="98">
        <f>IF($H65="",0,IF(AND(BA$6&gt;=$H65,BA$6&lt;=$I65),$G65,0))</f>
        <v/>
      </c>
      <c r="BB65" s="98">
        <f>IF($H65="",0,IF(AND(BB$6&gt;=$H65,BB$6&lt;=$I65),$G65,0))</f>
        <v/>
      </c>
      <c r="BC65" s="98">
        <f>IF($H65="",0,IF(AND(BC$6&gt;=$H65,BC$6&lt;=$I65),$G65,0))</f>
        <v/>
      </c>
      <c r="BD65" s="98">
        <f>IF($H65="",0,IF(AND(BD$6&gt;=$H65,BD$6&lt;=$I65),$G65,0))</f>
        <v/>
      </c>
      <c r="BE65" s="98">
        <f>IF($H65="",0,IF(AND(BE$6&gt;=$H65,BE$6&lt;=$I65),$G65,0))</f>
        <v/>
      </c>
      <c r="BF65" s="98">
        <f>IF($H65="",0,IF(AND(BF$6&gt;=$H65,BF$6&lt;=$I65),$G65,0))</f>
        <v/>
      </c>
      <c r="BG65" s="98">
        <f>IF($H65="",0,IF(AND(BG$6&gt;=$H65,BG$6&lt;=$I65),$G65,0))</f>
        <v/>
      </c>
      <c r="BH65" s="98">
        <f>IF($H65="",0,IF(AND(BH$6&gt;=$H65,BH$6&lt;=$I65),$G65,0))</f>
        <v/>
      </c>
      <c r="BI65" s="98">
        <f>IF($H65="",0,IF(AND(BI$6&gt;=$H65,BI$6&lt;=$I65),$G65,0))</f>
        <v/>
      </c>
      <c r="BJ65" s="98">
        <f>IF($H65="",0,IF(AND(BJ$6&gt;=$H65,BJ$6&lt;=$I65),$G65,0))</f>
        <v/>
      </c>
      <c r="BK65" s="98">
        <f>IF($H65="",0,IF(AND(BK$6&gt;=$H65,BK$6&lt;=$I65),$G65,0))</f>
        <v/>
      </c>
      <c r="BL65" s="98">
        <f>IF($H65="",0,IF(AND(BL$6&gt;=$H65,BL$6&lt;=$I65),$G65,0))</f>
        <v/>
      </c>
      <c r="BM65" s="98">
        <f>IF($H65="",0,IF(AND(BM$6&gt;=$H65,BM$6&lt;=$I65),$G65,0))</f>
        <v/>
      </c>
      <c r="BN65" s="98">
        <f>IF($H65="",0,IF(AND(BN$6&gt;=$H65,BN$6&lt;=$I65),$G65,0))</f>
        <v/>
      </c>
      <c r="BO65" s="98">
        <f>IF($H65="",0,IF(AND(BO$6&gt;=$H65,BO$6&lt;=$I65),$G65,0))</f>
        <v/>
      </c>
      <c r="BP65" s="98">
        <f>IF($H65="",0,IF(AND(BP$6&gt;=$H65,BP$6&lt;=$I65),$G65,0))</f>
        <v/>
      </c>
      <c r="BQ65" s="98">
        <f>IF($H65="",0,IF(AND(BQ$6&gt;=$H65,BQ$6&lt;=$I65),$G65,0))</f>
        <v/>
      </c>
      <c r="BR65" s="98">
        <f>IF($H65="",0,IF(AND(BR$6&gt;=$H65,BR$6&lt;=$I65),$G65,0))</f>
        <v/>
      </c>
      <c r="BS65" s="98">
        <f>IF($H65="",0,IF(AND(BS$6&gt;=$H65,BS$6&lt;=$I65),$G65,0))</f>
        <v/>
      </c>
      <c r="BT65" s="98">
        <f>IF($H65="",0,IF(AND(BT$6&gt;=$H65,BT$6&lt;=$I65),$G65,0))</f>
        <v/>
      </c>
    </row>
    <row r="66">
      <c r="A66" s="74" t="n"/>
      <c r="B66" s="74" t="n"/>
      <c r="C66" s="74" t="n"/>
      <c r="D66" s="73" t="n"/>
      <c r="E66" s="76" t="n"/>
      <c r="F66" s="90" t="n"/>
      <c r="G66" s="84">
        <f>IF(OR($E66="",N($F66)&lt;=0),0,$E66/$F66)</f>
        <v/>
      </c>
      <c r="H66" s="96">
        <f>IF(OR($A66="",$B66="",$D66="",N($F66)&lt;=0),"",IFERROR(IF(DAY($D66)&gt;INDEX(CARTOES_FECHA,MATCH($B66,LISTA_CARTOES,0)),EDATE(DATE(YEAR($D66),MONTH($D66),1),1),DATE(YEAR($D66),MONTH($D66),1)),""))</f>
        <v/>
      </c>
      <c r="I66" s="96">
        <f>IF($H66="","",EDATE($H66,$F66-1))</f>
        <v/>
      </c>
      <c r="J66" s="97">
        <f>IF($H66="",0,MAX(0,MIN($F66,(YEAR($I66)*12+MONTH($I66))-(ANO_SEL*12+MES_SEL))))</f>
        <v/>
      </c>
      <c r="K66" s="84">
        <f>J66*G66</f>
        <v/>
      </c>
      <c r="M66" s="98">
        <f>IF($H66="",0,IF(AND(M$6&gt;=$H66,M$6&lt;=$I66),$G66,0))</f>
        <v/>
      </c>
      <c r="N66" s="98">
        <f>IF($H66="",0,IF(AND(N$6&gt;=$H66,N$6&lt;=$I66),$G66,0))</f>
        <v/>
      </c>
      <c r="O66" s="98">
        <f>IF($H66="",0,IF(AND(O$6&gt;=$H66,O$6&lt;=$I66),$G66,0))</f>
        <v/>
      </c>
      <c r="P66" s="98">
        <f>IF($H66="",0,IF(AND(P$6&gt;=$H66,P$6&lt;=$I66),$G66,0))</f>
        <v/>
      </c>
      <c r="Q66" s="98">
        <f>IF($H66="",0,IF(AND(Q$6&gt;=$H66,Q$6&lt;=$I66),$G66,0))</f>
        <v/>
      </c>
      <c r="R66" s="98">
        <f>IF($H66="",0,IF(AND(R$6&gt;=$H66,R$6&lt;=$I66),$G66,0))</f>
        <v/>
      </c>
      <c r="S66" s="98">
        <f>IF($H66="",0,IF(AND(S$6&gt;=$H66,S$6&lt;=$I66),$G66,0))</f>
        <v/>
      </c>
      <c r="T66" s="98">
        <f>IF($H66="",0,IF(AND(T$6&gt;=$H66,T$6&lt;=$I66),$G66,0))</f>
        <v/>
      </c>
      <c r="U66" s="98">
        <f>IF($H66="",0,IF(AND(U$6&gt;=$H66,U$6&lt;=$I66),$G66,0))</f>
        <v/>
      </c>
      <c r="V66" s="98">
        <f>IF($H66="",0,IF(AND(V$6&gt;=$H66,V$6&lt;=$I66),$G66,0))</f>
        <v/>
      </c>
      <c r="W66" s="98">
        <f>IF($H66="",0,IF(AND(W$6&gt;=$H66,W$6&lt;=$I66),$G66,0))</f>
        <v/>
      </c>
      <c r="X66" s="98">
        <f>IF($H66="",0,IF(AND(X$6&gt;=$H66,X$6&lt;=$I66),$G66,0))</f>
        <v/>
      </c>
      <c r="Y66" s="98">
        <f>IF($H66="",0,IF(AND(Y$6&gt;=$H66,Y$6&lt;=$I66),$G66,0))</f>
        <v/>
      </c>
      <c r="Z66" s="98">
        <f>IF($H66="",0,IF(AND(Z$6&gt;=$H66,Z$6&lt;=$I66),$G66,0))</f>
        <v/>
      </c>
      <c r="AA66" s="98">
        <f>IF($H66="",0,IF(AND(AA$6&gt;=$H66,AA$6&lt;=$I66),$G66,0))</f>
        <v/>
      </c>
      <c r="AB66" s="98">
        <f>IF($H66="",0,IF(AND(AB$6&gt;=$H66,AB$6&lt;=$I66),$G66,0))</f>
        <v/>
      </c>
      <c r="AC66" s="98">
        <f>IF($H66="",0,IF(AND(AC$6&gt;=$H66,AC$6&lt;=$I66),$G66,0))</f>
        <v/>
      </c>
      <c r="AD66" s="98">
        <f>IF($H66="",0,IF(AND(AD$6&gt;=$H66,AD$6&lt;=$I66),$G66,0))</f>
        <v/>
      </c>
      <c r="AE66" s="98">
        <f>IF($H66="",0,IF(AND(AE$6&gt;=$H66,AE$6&lt;=$I66),$G66,0))</f>
        <v/>
      </c>
      <c r="AF66" s="98">
        <f>IF($H66="",0,IF(AND(AF$6&gt;=$H66,AF$6&lt;=$I66),$G66,0))</f>
        <v/>
      </c>
      <c r="AG66" s="98">
        <f>IF($H66="",0,IF(AND(AG$6&gt;=$H66,AG$6&lt;=$I66),$G66,0))</f>
        <v/>
      </c>
      <c r="AH66" s="98">
        <f>IF($H66="",0,IF(AND(AH$6&gt;=$H66,AH$6&lt;=$I66),$G66,0))</f>
        <v/>
      </c>
      <c r="AI66" s="98">
        <f>IF($H66="",0,IF(AND(AI$6&gt;=$H66,AI$6&lt;=$I66),$G66,0))</f>
        <v/>
      </c>
      <c r="AJ66" s="98">
        <f>IF($H66="",0,IF(AND(AJ$6&gt;=$H66,AJ$6&lt;=$I66),$G66,0))</f>
        <v/>
      </c>
      <c r="AK66" s="98">
        <f>IF($H66="",0,IF(AND(AK$6&gt;=$H66,AK$6&lt;=$I66),$G66,0))</f>
        <v/>
      </c>
      <c r="AL66" s="98">
        <f>IF($H66="",0,IF(AND(AL$6&gt;=$H66,AL$6&lt;=$I66),$G66,0))</f>
        <v/>
      </c>
      <c r="AM66" s="98">
        <f>IF($H66="",0,IF(AND(AM$6&gt;=$H66,AM$6&lt;=$I66),$G66,0))</f>
        <v/>
      </c>
      <c r="AN66" s="98">
        <f>IF($H66="",0,IF(AND(AN$6&gt;=$H66,AN$6&lt;=$I66),$G66,0))</f>
        <v/>
      </c>
      <c r="AO66" s="98">
        <f>IF($H66="",0,IF(AND(AO$6&gt;=$H66,AO$6&lt;=$I66),$G66,0))</f>
        <v/>
      </c>
      <c r="AP66" s="98">
        <f>IF($H66="",0,IF(AND(AP$6&gt;=$H66,AP$6&lt;=$I66),$G66,0))</f>
        <v/>
      </c>
      <c r="AQ66" s="98">
        <f>IF($H66="",0,IF(AND(AQ$6&gt;=$H66,AQ$6&lt;=$I66),$G66,0))</f>
        <v/>
      </c>
      <c r="AR66" s="98">
        <f>IF($H66="",0,IF(AND(AR$6&gt;=$H66,AR$6&lt;=$I66),$G66,0))</f>
        <v/>
      </c>
      <c r="AS66" s="98">
        <f>IF($H66="",0,IF(AND(AS$6&gt;=$H66,AS$6&lt;=$I66),$G66,0))</f>
        <v/>
      </c>
      <c r="AT66" s="98">
        <f>IF($H66="",0,IF(AND(AT$6&gt;=$H66,AT$6&lt;=$I66),$G66,0))</f>
        <v/>
      </c>
      <c r="AU66" s="98">
        <f>IF($H66="",0,IF(AND(AU$6&gt;=$H66,AU$6&lt;=$I66),$G66,0))</f>
        <v/>
      </c>
      <c r="AV66" s="98">
        <f>IF($H66="",0,IF(AND(AV$6&gt;=$H66,AV$6&lt;=$I66),$G66,0))</f>
        <v/>
      </c>
      <c r="AW66" s="98">
        <f>IF($H66="",0,IF(AND(AW$6&gt;=$H66,AW$6&lt;=$I66),$G66,0))</f>
        <v/>
      </c>
      <c r="AX66" s="98">
        <f>IF($H66="",0,IF(AND(AX$6&gt;=$H66,AX$6&lt;=$I66),$G66,0))</f>
        <v/>
      </c>
      <c r="AY66" s="98">
        <f>IF($H66="",0,IF(AND(AY$6&gt;=$H66,AY$6&lt;=$I66),$G66,0))</f>
        <v/>
      </c>
      <c r="AZ66" s="98">
        <f>IF($H66="",0,IF(AND(AZ$6&gt;=$H66,AZ$6&lt;=$I66),$G66,0))</f>
        <v/>
      </c>
      <c r="BA66" s="98">
        <f>IF($H66="",0,IF(AND(BA$6&gt;=$H66,BA$6&lt;=$I66),$G66,0))</f>
        <v/>
      </c>
      <c r="BB66" s="98">
        <f>IF($H66="",0,IF(AND(BB$6&gt;=$H66,BB$6&lt;=$I66),$G66,0))</f>
        <v/>
      </c>
      <c r="BC66" s="98">
        <f>IF($H66="",0,IF(AND(BC$6&gt;=$H66,BC$6&lt;=$I66),$G66,0))</f>
        <v/>
      </c>
      <c r="BD66" s="98">
        <f>IF($H66="",0,IF(AND(BD$6&gt;=$H66,BD$6&lt;=$I66),$G66,0))</f>
        <v/>
      </c>
      <c r="BE66" s="98">
        <f>IF($H66="",0,IF(AND(BE$6&gt;=$H66,BE$6&lt;=$I66),$G66,0))</f>
        <v/>
      </c>
      <c r="BF66" s="98">
        <f>IF($H66="",0,IF(AND(BF$6&gt;=$H66,BF$6&lt;=$I66),$G66,0))</f>
        <v/>
      </c>
      <c r="BG66" s="98">
        <f>IF($H66="",0,IF(AND(BG$6&gt;=$H66,BG$6&lt;=$I66),$G66,0))</f>
        <v/>
      </c>
      <c r="BH66" s="98">
        <f>IF($H66="",0,IF(AND(BH$6&gt;=$H66,BH$6&lt;=$I66),$G66,0))</f>
        <v/>
      </c>
      <c r="BI66" s="98">
        <f>IF($H66="",0,IF(AND(BI$6&gt;=$H66,BI$6&lt;=$I66),$G66,0))</f>
        <v/>
      </c>
      <c r="BJ66" s="98">
        <f>IF($H66="",0,IF(AND(BJ$6&gt;=$H66,BJ$6&lt;=$I66),$G66,0))</f>
        <v/>
      </c>
      <c r="BK66" s="98">
        <f>IF($H66="",0,IF(AND(BK$6&gt;=$H66,BK$6&lt;=$I66),$G66,0))</f>
        <v/>
      </c>
      <c r="BL66" s="98">
        <f>IF($H66="",0,IF(AND(BL$6&gt;=$H66,BL$6&lt;=$I66),$G66,0))</f>
        <v/>
      </c>
      <c r="BM66" s="98">
        <f>IF($H66="",0,IF(AND(BM$6&gt;=$H66,BM$6&lt;=$I66),$G66,0))</f>
        <v/>
      </c>
      <c r="BN66" s="98">
        <f>IF($H66="",0,IF(AND(BN$6&gt;=$H66,BN$6&lt;=$I66),$G66,0))</f>
        <v/>
      </c>
      <c r="BO66" s="98">
        <f>IF($H66="",0,IF(AND(BO$6&gt;=$H66,BO$6&lt;=$I66),$G66,0))</f>
        <v/>
      </c>
      <c r="BP66" s="98">
        <f>IF($H66="",0,IF(AND(BP$6&gt;=$H66,BP$6&lt;=$I66),$G66,0))</f>
        <v/>
      </c>
      <c r="BQ66" s="98">
        <f>IF($H66="",0,IF(AND(BQ$6&gt;=$H66,BQ$6&lt;=$I66),$G66,0))</f>
        <v/>
      </c>
      <c r="BR66" s="98">
        <f>IF($H66="",0,IF(AND(BR$6&gt;=$H66,BR$6&lt;=$I66),$G66,0))</f>
        <v/>
      </c>
      <c r="BS66" s="98">
        <f>IF($H66="",0,IF(AND(BS$6&gt;=$H66,BS$6&lt;=$I66),$G66,0))</f>
        <v/>
      </c>
      <c r="BT66" s="98">
        <f>IF($H66="",0,IF(AND(BT$6&gt;=$H66,BT$6&lt;=$I66),$G66,0))</f>
        <v/>
      </c>
    </row>
    <row r="67">
      <c r="A67" s="87" t="inlineStr">
        <is>
          <t>Total</t>
        </is>
      </c>
      <c r="B67" s="88" t="n"/>
      <c r="C67" s="88" t="n"/>
      <c r="D67" s="88" t="n"/>
      <c r="E67" s="88">
        <f>SUM(E7:E66)</f>
        <v/>
      </c>
      <c r="F67" s="88" t="n"/>
      <c r="G67" s="88" t="n"/>
      <c r="H67" s="88" t="n"/>
      <c r="I67" s="88" t="n"/>
      <c r="J67" s="88" t="n"/>
      <c r="K67" s="88">
        <f>SUM(K7:K66)</f>
        <v/>
      </c>
      <c r="L67" s="99" t="n"/>
      <c r="M67" s="88">
        <f>SUM(M7:M66)</f>
        <v/>
      </c>
      <c r="N67" s="88">
        <f>SUM(N7:N66)</f>
        <v/>
      </c>
      <c r="O67" s="88">
        <f>SUM(O7:O66)</f>
        <v/>
      </c>
      <c r="P67" s="88">
        <f>SUM(P7:P66)</f>
        <v/>
      </c>
      <c r="Q67" s="88">
        <f>SUM(Q7:Q66)</f>
        <v/>
      </c>
      <c r="R67" s="88">
        <f>SUM(R7:R66)</f>
        <v/>
      </c>
      <c r="S67" s="88">
        <f>SUM(S7:S66)</f>
        <v/>
      </c>
      <c r="T67" s="88">
        <f>SUM(T7:T66)</f>
        <v/>
      </c>
      <c r="U67" s="88">
        <f>SUM(U7:U66)</f>
        <v/>
      </c>
      <c r="V67" s="88">
        <f>SUM(V7:V66)</f>
        <v/>
      </c>
      <c r="W67" s="88">
        <f>SUM(W7:W66)</f>
        <v/>
      </c>
      <c r="X67" s="88">
        <f>SUM(X7:X66)</f>
        <v/>
      </c>
      <c r="Y67" s="88">
        <f>SUM(Y7:Y66)</f>
        <v/>
      </c>
      <c r="Z67" s="88">
        <f>SUM(Z7:Z66)</f>
        <v/>
      </c>
      <c r="AA67" s="88">
        <f>SUM(AA7:AA66)</f>
        <v/>
      </c>
      <c r="AB67" s="88">
        <f>SUM(AB7:AB66)</f>
        <v/>
      </c>
      <c r="AC67" s="88">
        <f>SUM(AC7:AC66)</f>
        <v/>
      </c>
      <c r="AD67" s="88">
        <f>SUM(AD7:AD66)</f>
        <v/>
      </c>
      <c r="AE67" s="88">
        <f>SUM(AE7:AE66)</f>
        <v/>
      </c>
      <c r="AF67" s="88">
        <f>SUM(AF7:AF66)</f>
        <v/>
      </c>
      <c r="AG67" s="88">
        <f>SUM(AG7:AG66)</f>
        <v/>
      </c>
      <c r="AH67" s="88">
        <f>SUM(AH7:AH66)</f>
        <v/>
      </c>
      <c r="AI67" s="88">
        <f>SUM(AI7:AI66)</f>
        <v/>
      </c>
      <c r="AJ67" s="88">
        <f>SUM(AJ7:AJ66)</f>
        <v/>
      </c>
      <c r="AK67" s="88">
        <f>SUM(AK7:AK66)</f>
        <v/>
      </c>
      <c r="AL67" s="88">
        <f>SUM(AL7:AL66)</f>
        <v/>
      </c>
      <c r="AM67" s="88">
        <f>SUM(AM7:AM66)</f>
        <v/>
      </c>
      <c r="AN67" s="88">
        <f>SUM(AN7:AN66)</f>
        <v/>
      </c>
      <c r="AO67" s="88">
        <f>SUM(AO7:AO66)</f>
        <v/>
      </c>
      <c r="AP67" s="88">
        <f>SUM(AP7:AP66)</f>
        <v/>
      </c>
      <c r="AQ67" s="88">
        <f>SUM(AQ7:AQ66)</f>
        <v/>
      </c>
      <c r="AR67" s="88">
        <f>SUM(AR7:AR66)</f>
        <v/>
      </c>
      <c r="AS67" s="88">
        <f>SUM(AS7:AS66)</f>
        <v/>
      </c>
      <c r="AT67" s="88">
        <f>SUM(AT7:AT66)</f>
        <v/>
      </c>
      <c r="AU67" s="88">
        <f>SUM(AU7:AU66)</f>
        <v/>
      </c>
      <c r="AV67" s="88">
        <f>SUM(AV7:AV66)</f>
        <v/>
      </c>
      <c r="AW67" s="88">
        <f>SUM(AW7:AW66)</f>
        <v/>
      </c>
      <c r="AX67" s="88">
        <f>SUM(AX7:AX66)</f>
        <v/>
      </c>
      <c r="AY67" s="88">
        <f>SUM(AY7:AY66)</f>
        <v/>
      </c>
      <c r="AZ67" s="88">
        <f>SUM(AZ7:AZ66)</f>
        <v/>
      </c>
      <c r="BA67" s="88">
        <f>SUM(BA7:BA66)</f>
        <v/>
      </c>
      <c r="BB67" s="88">
        <f>SUM(BB7:BB66)</f>
        <v/>
      </c>
      <c r="BC67" s="88">
        <f>SUM(BC7:BC66)</f>
        <v/>
      </c>
      <c r="BD67" s="88">
        <f>SUM(BD7:BD66)</f>
        <v/>
      </c>
      <c r="BE67" s="88">
        <f>SUM(BE7:BE66)</f>
        <v/>
      </c>
      <c r="BF67" s="88">
        <f>SUM(BF7:BF66)</f>
        <v/>
      </c>
      <c r="BG67" s="88">
        <f>SUM(BG7:BG66)</f>
        <v/>
      </c>
      <c r="BH67" s="88">
        <f>SUM(BH7:BH66)</f>
        <v/>
      </c>
      <c r="BI67" s="88">
        <f>SUM(BI7:BI66)</f>
        <v/>
      </c>
      <c r="BJ67" s="88">
        <f>SUM(BJ7:BJ66)</f>
        <v/>
      </c>
      <c r="BK67" s="88">
        <f>SUM(BK7:BK66)</f>
        <v/>
      </c>
      <c r="BL67" s="88">
        <f>SUM(BL7:BL66)</f>
        <v/>
      </c>
      <c r="BM67" s="88">
        <f>SUM(BM7:BM66)</f>
        <v/>
      </c>
      <c r="BN67" s="88">
        <f>SUM(BN7:BN66)</f>
        <v/>
      </c>
      <c r="BO67" s="88">
        <f>SUM(BO7:BO66)</f>
        <v/>
      </c>
      <c r="BP67" s="88">
        <f>SUM(BP7:BP66)</f>
        <v/>
      </c>
      <c r="BQ67" s="88">
        <f>SUM(BQ7:BQ66)</f>
        <v/>
      </c>
      <c r="BR67" s="88">
        <f>SUM(BR7:BR66)</f>
        <v/>
      </c>
      <c r="BS67" s="88">
        <f>SUM(BS7:BS66)</f>
        <v/>
      </c>
      <c r="BT67" s="88">
        <f>SUM(BT7:BT66)</f>
        <v/>
      </c>
    </row>
    <row r="68">
      <c r="M68" s="59" t="inlineStr">
        <is>
          <t>Total de parcelas em cada mês</t>
        </is>
      </c>
    </row>
  </sheetData>
  <conditionalFormatting sqref="A7:K66">
    <cfRule type="expression" priority="1" dxfId="16">
      <formula>AND($A7&lt;&gt;"",$H7="")</formula>
    </cfRule>
  </conditionalFormatting>
  <conditionalFormatting sqref="M6:BT6">
    <cfRule type="expression" priority="2" dxfId="17">
      <formula>M$6=INI_MES</formula>
    </cfRule>
  </conditionalFormatting>
  <conditionalFormatting sqref="M7:BT66">
    <cfRule type="expression" priority="3" dxfId="18">
      <formula>M7&gt;0</formula>
    </cfRule>
  </conditionalFormatting>
  <dataValidations count="5">
    <dataValidation sqref="B7:B66" showDropDown="0" showInputMessage="0" showErrorMessage="1" allowBlank="1" errorTitle="Cartão não cadastrado" error="Cadastre o cartão na aba Cartões primeiro." type="list">
      <formula1>='Cartões'!$A$7:$A$12</formula1>
    </dataValidation>
    <dataValidation sqref="C7:C66" showDropDown="0" showInputMessage="0" showErrorMessage="1" allowBlank="1" errorTitle="Categoria inválida" error="Escolha uma categoria da lista (Configurações)." type="list">
      <formula1>='Configurações'!$A$14:$A$61</formula1>
    </dataValidation>
    <dataValidation sqref="D7:D66" showDropDown="0" showInputMessage="0" showErrorMessage="1" allowBlank="1" errorTitle="Data inválida" error="Informe a data da compra (dd/mm/aaaa)." type="date" operator="greaterThan">
      <formula1>36526</formula1>
    </dataValidation>
    <dataValidation sqref="E7:E66" showDropDown="0" showInputMessage="0" showErrorMessage="1" allowBlank="1" errorTitle="Valor inválido" error="Digite o valor TOTAL da compra (maior que zero)." type="decimal" operator="greaterThan">
      <formula1>0</formula1>
    </dataValidation>
    <dataValidation sqref="F7:F66" showDropDown="0" showInputMessage="0" showErrorMessage="1" allowBlank="1" errorTitle="Parcelas inválidas" error="Informe um número de parcelas de 1 a 60." type="whole" operator="between">
      <formula1>1</formula1>
      <formula2>60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C2410C"/>
    <outlinePr summaryBelow="1" summaryRight="1"/>
    <pageSetUpPr fitToPage="1"/>
  </sheetPr>
  <dimension ref="A1:S238"/>
  <sheetViews>
    <sheetView showGridLines="0" zoomScale="10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6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5" customWidth="1" min="18" max="18"/>
    <col width="12" customWidth="1" min="19" max="19"/>
  </cols>
  <sheetData>
    <row r="1" ht="30" customHeight="1">
      <c r="A1" s="64" t="inlineStr">
        <is>
          <t>Orçamento: planejado x realizado</t>
        </is>
      </c>
    </row>
    <row r="2">
      <c r="A2" s="65" t="inlineStr">
        <is>
          <t>Defina quanto pretende gastar em cada categoria e compare com o que realmente saiu, mês a mês. Amarelo = você preenche.</t>
        </is>
      </c>
    </row>
    <row r="3">
      <c r="A3" s="59" t="inlineStr">
        <is>
          <t>Ir para:</t>
        </is>
      </c>
      <c r="B3" s="19" t="inlineStr">
        <is>
          <t>Mês analisado</t>
        </is>
      </c>
      <c r="C3" s="19" t="inlineStr">
        <is>
          <t>Plano do ano</t>
        </is>
      </c>
      <c r="D3" s="19" t="inlineStr">
        <is>
          <t>Realizado no ano</t>
        </is>
      </c>
      <c r="E3" s="19" t="inlineStr">
        <is>
          <t>Variação no ano</t>
        </is>
      </c>
    </row>
    <row r="4">
      <c r="A4" s="5" t="inlineStr">
        <is>
          <t>Atalhos e metas por grupo</t>
        </is>
      </c>
    </row>
    <row r="5">
      <c r="A5" s="12" t="inlineStr">
        <is>
          <t>Renda mensal de referência (R$)</t>
        </is>
      </c>
      <c r="B5" s="76">
        <f>IFERROR(ROUND(SUMPRODUCT((FLUXO_MES_NUM&lt;=MES_SEL)*(FLUXO_MES_NUM&gt;MES_SEL-3)*FLUXO_RECEITAS)/SUMPRODUCT((FLUXO_MES_NUM&lt;=MES_SEL)*(FLUXO_MES_NUM&gt;MES_SEL-3)*FLUXO_N_MESES),2),0)</f>
        <v/>
      </c>
      <c r="C5" s="59" t="inlineStr">
        <is>
          <t>Padrão: média das receitas dos últimos 3 meses com movimento. Pode digitar a sua renda.</t>
        </is>
      </c>
    </row>
    <row r="6">
      <c r="A6" s="12" t="inlineStr">
        <is>
          <t>Atalho (divisão da renda)</t>
        </is>
      </c>
      <c r="B6" s="74" t="inlineStr">
        <is>
          <t>50/30/20 (clássico)</t>
        </is>
      </c>
      <c r="C6" s="59" t="inlineStr">
        <is>
          <t>Escolha um atalho; os percentuais ficam editáveis em Configurações (linha Personalizado).</t>
        </is>
      </c>
    </row>
    <row r="7">
      <c r="A7" s="12" t="inlineStr">
        <is>
          <t>Usar as sugestões do atalho no plano?</t>
        </is>
      </c>
      <c r="B7" s="74" t="inlineStr">
        <is>
          <t>Não</t>
        </is>
      </c>
      <c r="C7" s="59" t="inlineStr">
        <is>
          <t>Sim: o plano de cada categoria passa a ser a sugestão (meta do grupo repartida pelo seu histórico). Não: vale o que você digitou.</t>
        </is>
      </c>
    </row>
    <row r="9" ht="34" customHeight="1">
      <c r="A9" s="44" t="inlineStr">
        <is>
          <t>Grupo</t>
        </is>
      </c>
      <c r="B9" s="44" t="inlineStr">
        <is>
          <t>% da renda</t>
        </is>
      </c>
      <c r="C9" s="44" t="inlineStr">
        <is>
          <t>Meta (R$/mês)</t>
        </is>
      </c>
      <c r="D9" s="44" t="inlineStr">
        <is>
          <t>Planejado no mês</t>
        </is>
      </c>
      <c r="E9" s="44" t="inlineStr">
        <is>
          <t>Realizado no mês</t>
        </is>
      </c>
      <c r="F9" s="44" t="inlineStr">
        <is>
          <t>Diferença (R$)</t>
        </is>
      </c>
      <c r="G9" s="44" t="inlineStr">
        <is>
          <t>Situação</t>
        </is>
      </c>
    </row>
    <row r="10">
      <c r="A10" s="100" t="inlineStr">
        <is>
          <t>Necessidades (gastos essenciais)</t>
        </is>
      </c>
      <c r="B10" s="101">
        <f>IFERROR(INDEX(PRESETS,MATCH($B$6,LISTA_PRESETS,0),2),0)</f>
        <v/>
      </c>
      <c r="C10" s="84">
        <f>$B$5*B10</f>
        <v/>
      </c>
      <c r="D10" s="84">
        <f>SUMIFS($C$19:$C$66,$B$19:$B$66,"Necessidade")</f>
        <v/>
      </c>
      <c r="E10" s="84">
        <f>SUMIFS($D$19:$D$66,$B$19:$B$66,"Necessidade")</f>
        <v/>
      </c>
      <c r="F10" s="84">
        <f>C10-E10</f>
        <v/>
      </c>
      <c r="G10" s="102">
        <f>IF($B$5=0,"-",IF(E10&lt;=C10,"Dentro da meta","Acima da meta"))</f>
        <v/>
      </c>
    </row>
    <row r="11">
      <c r="A11" s="100" t="inlineStr">
        <is>
          <t>Desejos (gastos não essenciais)</t>
        </is>
      </c>
      <c r="B11" s="101">
        <f>IFERROR(INDEX(PRESETS,MATCH($B$6,LISTA_PRESETS,0),3),0)</f>
        <v/>
      </c>
      <c r="C11" s="84">
        <f>$B$5*B11</f>
        <v/>
      </c>
      <c r="D11" s="84">
        <f>SUMIFS($C$19:$C$66,$B$19:$B$66,"Desejo")</f>
        <v/>
      </c>
      <c r="E11" s="84">
        <f>SUMIFS($D$19:$D$66,$B$19:$B$66,"Desejo")</f>
        <v/>
      </c>
      <c r="F11" s="84">
        <f>C11-E11</f>
        <v/>
      </c>
      <c r="G11" s="102">
        <f>IF($B$5=0,"-",IF(E11&lt;=C11,"Dentro da meta","Acima da meta"))</f>
        <v/>
      </c>
    </row>
    <row r="12">
      <c r="A12" s="100" t="inlineStr">
        <is>
          <t>Poupança (o que sobrou: receitas - despesas)</t>
        </is>
      </c>
      <c r="B12" s="101">
        <f>IFERROR(INDEX(PRESETS,MATCH($B$6,LISTA_PRESETS,0),4),0)</f>
        <v/>
      </c>
      <c r="C12" s="84">
        <f>$B$5*B12</f>
        <v/>
      </c>
      <c r="D12" s="84">
        <f>SUMIFS($C$19:$C$66,$B$19:$B$66,"Poupança")</f>
        <v/>
      </c>
      <c r="E12" s="84">
        <f>INDEX(FLUXO_SALDO,MES_SEL)</f>
        <v/>
      </c>
      <c r="F12" s="84">
        <f>E12-C12</f>
        <v/>
      </c>
      <c r="G12" s="102">
        <f>IF($B$5=0,"-",IF(E12&gt;=C12,"Meta atingida","Abaixo da meta"))</f>
        <v/>
      </c>
    </row>
    <row r="13">
      <c r="A13" s="87" t="inlineStr">
        <is>
          <t>Total</t>
        </is>
      </c>
      <c r="B13" s="103">
        <f>SUM(B10:B12)</f>
        <v/>
      </c>
      <c r="C13" s="88">
        <f>SUM(C10:C12)</f>
        <v/>
      </c>
      <c r="D13" s="88">
        <f>SUM(D10:D12)</f>
        <v/>
      </c>
      <c r="E13" s="88">
        <f>SUM(E10:E12)</f>
        <v/>
      </c>
      <c r="F13" s="104" t="n"/>
      <c r="G13" s="58">
        <f>IF(ROUND(B13,4)=1,"100% da renda","Soma diferente de 100%")</f>
        <v/>
      </c>
    </row>
    <row r="14">
      <c r="A14" s="12" t="inlineStr">
        <is>
          <t>Sobra a alocar (renda - plano do mês)</t>
        </is>
      </c>
      <c r="C14" s="85">
        <f>$B$5-D13</f>
        <v/>
      </c>
      <c r="D14" s="59" t="inlineStr">
        <is>
          <t>Orçamento base zero: ajuste o plano até esta sobra chegar a R$ 0,00 (cada real com destino).</t>
        </is>
      </c>
    </row>
    <row r="17">
      <c r="A17" s="5" t="inlineStr">
        <is>
          <t>Mês analisado: planejado x realizado por categoria</t>
        </is>
      </c>
      <c r="D17" s="12">
        <f>"Período: "&amp;PERIODO</f>
        <v/>
      </c>
    </row>
    <row r="18" ht="30" customHeight="1">
      <c r="A18" s="44" t="inlineStr">
        <is>
          <t>Categoria</t>
        </is>
      </c>
      <c r="B18" s="44" t="inlineStr">
        <is>
          <t>Grupo</t>
        </is>
      </c>
      <c r="C18" s="44" t="inlineStr">
        <is>
          <t>Planejado</t>
        </is>
      </c>
      <c r="D18" s="44" t="inlineStr">
        <is>
          <t>Realizado</t>
        </is>
      </c>
      <c r="E18" s="44" t="inlineStr">
        <is>
          <t>Variação (R$)</t>
        </is>
      </c>
      <c r="F18" s="44" t="inlineStr">
        <is>
          <t>Variação (%)</t>
        </is>
      </c>
      <c r="G18" s="44" t="inlineStr">
        <is>
          <t>Uso da meta</t>
        </is>
      </c>
      <c r="H18" s="44" t="inlineStr">
        <is>
          <t>Situação</t>
        </is>
      </c>
      <c r="I18" s="31" t="inlineStr">
        <is>
          <t>chave top</t>
        </is>
      </c>
      <c r="J18" s="31" t="inlineStr">
        <is>
          <t>variação vs. mês anterior</t>
        </is>
      </c>
      <c r="K18" s="31" t="inlineStr">
        <is>
          <t>chave variação</t>
        </is>
      </c>
    </row>
    <row r="19">
      <c r="A19" s="75">
        <f>IF('Fluxo anual'!A28="","",'Fluxo anual'!A28)</f>
        <v/>
      </c>
      <c r="B19" s="75">
        <f>IF($A19="","",'Fluxo anual'!B28)</f>
        <v/>
      </c>
      <c r="C19" s="84">
        <f>IF($A19="","",IF(OR($B19="Necessidade",$B19="Desejo",$B19="Poupança"),N(INDEX($F75:$Q75,MES_SEL)),""))</f>
        <v/>
      </c>
      <c r="D19" s="84">
        <f>IF($A19="","",IF(OR($B19="Necessidade",$B19="Desejo",$B19="Poupança"),INDEX('Fluxo anual'!$C28:$N28,MES_SEL),""))</f>
        <v/>
      </c>
      <c r="E19" s="84">
        <f>IF(OR($C19="",$D19=""),"",IF($B19="Poupança",D19-C19,C19-D19))</f>
        <v/>
      </c>
      <c r="F19" s="86">
        <f>IF(OR($C19="",$D19=""),"",IF($C19=0,"",E19/C19))</f>
        <v/>
      </c>
      <c r="G19" s="101">
        <f>IF(OR($C19="",$D19=""),"",IF($C19=0,"",D19/C19))</f>
        <v/>
      </c>
      <c r="H19" s="102">
        <f>IF(OR($C19="",$D19=""),"",IF(AND(C19=0,D19=0),"-",IF(C19=0,"Sem meta",IF($B19="Poupança",IF(D19&gt;=C19,"Meta atingida","Abaixo da meta"),IF(D19&gt;C19,"Estourou",IF(D19&gt;=0.9*C19,"Atenção","Dentro"))))))</f>
        <v/>
      </c>
      <c r="I19" s="105">
        <f>IF(AND(ISNUMBER($D19),OR($B19="Necessidade",$B19="Desejo")),IF($D19&gt;0,ROUND($D19,2)+ROW()/10000000,""),"")</f>
        <v/>
      </c>
      <c r="J19" s="106">
        <f>IF(AND(ISNUMBER($D19),OR($B19="Necessidade",$B19="Desejo"),MES_SEL&gt;1),$D19-INDEX('Fluxo anual'!$C28:$N28,MAX(1,MES_SEL-1)),"")</f>
        <v/>
      </c>
      <c r="K19" s="105">
        <f>IF(ISNUMBER($J19),IF($J19&gt;0.005,ROUND($J19,2)+ROW()/10000000,""),"")</f>
        <v/>
      </c>
    </row>
    <row r="20">
      <c r="A20" s="75">
        <f>IF('Fluxo anual'!A29="","",'Fluxo anual'!A29)</f>
        <v/>
      </c>
      <c r="B20" s="75">
        <f>IF($A20="","",'Fluxo anual'!B29)</f>
        <v/>
      </c>
      <c r="C20" s="84">
        <f>IF($A20="","",IF(OR($B20="Necessidade",$B20="Desejo",$B20="Poupança"),N(INDEX($F76:$Q76,MES_SEL)),""))</f>
        <v/>
      </c>
      <c r="D20" s="84">
        <f>IF($A20="","",IF(OR($B20="Necessidade",$B20="Desejo",$B20="Poupança"),INDEX('Fluxo anual'!$C29:$N29,MES_SEL),""))</f>
        <v/>
      </c>
      <c r="E20" s="84">
        <f>IF(OR($C20="",$D20=""),"",IF($B20="Poupança",D20-C20,C20-D20))</f>
        <v/>
      </c>
      <c r="F20" s="86">
        <f>IF(OR($C20="",$D20=""),"",IF($C20=0,"",E20/C20))</f>
        <v/>
      </c>
      <c r="G20" s="101">
        <f>IF(OR($C20="",$D20=""),"",IF($C20=0,"",D20/C20))</f>
        <v/>
      </c>
      <c r="H20" s="102">
        <f>IF(OR($C20="",$D20=""),"",IF(AND(C20=0,D20=0),"-",IF(C20=0,"Sem meta",IF($B20="Poupança",IF(D20&gt;=C20,"Meta atingida","Abaixo da meta"),IF(D20&gt;C20,"Estourou",IF(D20&gt;=0.9*C20,"Atenção","Dentro"))))))</f>
        <v/>
      </c>
      <c r="I20" s="105">
        <f>IF(AND(ISNUMBER($D20),OR($B20="Necessidade",$B20="Desejo")),IF($D20&gt;0,ROUND($D20,2)+ROW()/10000000,""),"")</f>
        <v/>
      </c>
      <c r="J20" s="106">
        <f>IF(AND(ISNUMBER($D20),OR($B20="Necessidade",$B20="Desejo"),MES_SEL&gt;1),$D20-INDEX('Fluxo anual'!$C29:$N29,MAX(1,MES_SEL-1)),"")</f>
        <v/>
      </c>
      <c r="K20" s="105">
        <f>IF(ISNUMBER($J20),IF($J20&gt;0.005,ROUND($J20,2)+ROW()/10000000,""),"")</f>
        <v/>
      </c>
    </row>
    <row r="21">
      <c r="A21" s="75">
        <f>IF('Fluxo anual'!A30="","",'Fluxo anual'!A30)</f>
        <v/>
      </c>
      <c r="B21" s="75">
        <f>IF($A21="","",'Fluxo anual'!B30)</f>
        <v/>
      </c>
      <c r="C21" s="84">
        <f>IF($A21="","",IF(OR($B21="Necessidade",$B21="Desejo",$B21="Poupança"),N(INDEX($F77:$Q77,MES_SEL)),""))</f>
        <v/>
      </c>
      <c r="D21" s="84">
        <f>IF($A21="","",IF(OR($B21="Necessidade",$B21="Desejo",$B21="Poupança"),INDEX('Fluxo anual'!$C30:$N30,MES_SEL),""))</f>
        <v/>
      </c>
      <c r="E21" s="84">
        <f>IF(OR($C21="",$D21=""),"",IF($B21="Poupança",D21-C21,C21-D21))</f>
        <v/>
      </c>
      <c r="F21" s="86">
        <f>IF(OR($C21="",$D21=""),"",IF($C21=0,"",E21/C21))</f>
        <v/>
      </c>
      <c r="G21" s="101">
        <f>IF(OR($C21="",$D21=""),"",IF($C21=0,"",D21/C21))</f>
        <v/>
      </c>
      <c r="H21" s="102">
        <f>IF(OR($C21="",$D21=""),"",IF(AND(C21=0,D21=0),"-",IF(C21=0,"Sem meta",IF($B21="Poupança",IF(D21&gt;=C21,"Meta atingida","Abaixo da meta"),IF(D21&gt;C21,"Estourou",IF(D21&gt;=0.9*C21,"Atenção","Dentro"))))))</f>
        <v/>
      </c>
      <c r="I21" s="105">
        <f>IF(AND(ISNUMBER($D21),OR($B21="Necessidade",$B21="Desejo")),IF($D21&gt;0,ROUND($D21,2)+ROW()/10000000,""),"")</f>
        <v/>
      </c>
      <c r="J21" s="106">
        <f>IF(AND(ISNUMBER($D21),OR($B21="Necessidade",$B21="Desejo"),MES_SEL&gt;1),$D21-INDEX('Fluxo anual'!$C30:$N30,MAX(1,MES_SEL-1)),"")</f>
        <v/>
      </c>
      <c r="K21" s="105">
        <f>IF(ISNUMBER($J21),IF($J21&gt;0.005,ROUND($J21,2)+ROW()/10000000,""),"")</f>
        <v/>
      </c>
    </row>
    <row r="22">
      <c r="A22" s="75">
        <f>IF('Fluxo anual'!A31="","",'Fluxo anual'!A31)</f>
        <v/>
      </c>
      <c r="B22" s="75">
        <f>IF($A22="","",'Fluxo anual'!B31)</f>
        <v/>
      </c>
      <c r="C22" s="84">
        <f>IF($A22="","",IF(OR($B22="Necessidade",$B22="Desejo",$B22="Poupança"),N(INDEX($F78:$Q78,MES_SEL)),""))</f>
        <v/>
      </c>
      <c r="D22" s="84">
        <f>IF($A22="","",IF(OR($B22="Necessidade",$B22="Desejo",$B22="Poupança"),INDEX('Fluxo anual'!$C31:$N31,MES_SEL),""))</f>
        <v/>
      </c>
      <c r="E22" s="84">
        <f>IF(OR($C22="",$D22=""),"",IF($B22="Poupança",D22-C22,C22-D22))</f>
        <v/>
      </c>
      <c r="F22" s="86">
        <f>IF(OR($C22="",$D22=""),"",IF($C22=0,"",E22/C22))</f>
        <v/>
      </c>
      <c r="G22" s="101">
        <f>IF(OR($C22="",$D22=""),"",IF($C22=0,"",D22/C22))</f>
        <v/>
      </c>
      <c r="H22" s="102">
        <f>IF(OR($C22="",$D22=""),"",IF(AND(C22=0,D22=0),"-",IF(C22=0,"Sem meta",IF($B22="Poupança",IF(D22&gt;=C22,"Meta atingida","Abaixo da meta"),IF(D22&gt;C22,"Estourou",IF(D22&gt;=0.9*C22,"Atenção","Dentro"))))))</f>
        <v/>
      </c>
      <c r="I22" s="105">
        <f>IF(AND(ISNUMBER($D22),OR($B22="Necessidade",$B22="Desejo")),IF($D22&gt;0,ROUND($D22,2)+ROW()/10000000,""),"")</f>
        <v/>
      </c>
      <c r="J22" s="106">
        <f>IF(AND(ISNUMBER($D22),OR($B22="Necessidade",$B22="Desejo"),MES_SEL&gt;1),$D22-INDEX('Fluxo anual'!$C31:$N31,MAX(1,MES_SEL-1)),"")</f>
        <v/>
      </c>
      <c r="K22" s="105">
        <f>IF(ISNUMBER($J22),IF($J22&gt;0.005,ROUND($J22,2)+ROW()/10000000,""),"")</f>
        <v/>
      </c>
    </row>
    <row r="23">
      <c r="A23" s="75">
        <f>IF('Fluxo anual'!A32="","",'Fluxo anual'!A32)</f>
        <v/>
      </c>
      <c r="B23" s="75">
        <f>IF($A23="","",'Fluxo anual'!B32)</f>
        <v/>
      </c>
      <c r="C23" s="84">
        <f>IF($A23="","",IF(OR($B23="Necessidade",$B23="Desejo",$B23="Poupança"),N(INDEX($F79:$Q79,MES_SEL)),""))</f>
        <v/>
      </c>
      <c r="D23" s="84">
        <f>IF($A23="","",IF(OR($B23="Necessidade",$B23="Desejo",$B23="Poupança"),INDEX('Fluxo anual'!$C32:$N32,MES_SEL),""))</f>
        <v/>
      </c>
      <c r="E23" s="84">
        <f>IF(OR($C23="",$D23=""),"",IF($B23="Poupança",D23-C23,C23-D23))</f>
        <v/>
      </c>
      <c r="F23" s="86">
        <f>IF(OR($C23="",$D23=""),"",IF($C23=0,"",E23/C23))</f>
        <v/>
      </c>
      <c r="G23" s="101">
        <f>IF(OR($C23="",$D23=""),"",IF($C23=0,"",D23/C23))</f>
        <v/>
      </c>
      <c r="H23" s="102">
        <f>IF(OR($C23="",$D23=""),"",IF(AND(C23=0,D23=0),"-",IF(C23=0,"Sem meta",IF($B23="Poupança",IF(D23&gt;=C23,"Meta atingida","Abaixo da meta"),IF(D23&gt;C23,"Estourou",IF(D23&gt;=0.9*C23,"Atenção","Dentro"))))))</f>
        <v/>
      </c>
      <c r="I23" s="105">
        <f>IF(AND(ISNUMBER($D23),OR($B23="Necessidade",$B23="Desejo")),IF($D23&gt;0,ROUND($D23,2)+ROW()/10000000,""),"")</f>
        <v/>
      </c>
      <c r="J23" s="106">
        <f>IF(AND(ISNUMBER($D23),OR($B23="Necessidade",$B23="Desejo"),MES_SEL&gt;1),$D23-INDEX('Fluxo anual'!$C32:$N32,MAX(1,MES_SEL-1)),"")</f>
        <v/>
      </c>
      <c r="K23" s="105">
        <f>IF(ISNUMBER($J23),IF($J23&gt;0.005,ROUND($J23,2)+ROW()/10000000,""),"")</f>
        <v/>
      </c>
    </row>
    <row r="24">
      <c r="A24" s="75">
        <f>IF('Fluxo anual'!A33="","",'Fluxo anual'!A33)</f>
        <v/>
      </c>
      <c r="B24" s="75">
        <f>IF($A24="","",'Fluxo anual'!B33)</f>
        <v/>
      </c>
      <c r="C24" s="84">
        <f>IF($A24="","",IF(OR($B24="Necessidade",$B24="Desejo",$B24="Poupança"),N(INDEX($F80:$Q80,MES_SEL)),""))</f>
        <v/>
      </c>
      <c r="D24" s="84">
        <f>IF($A24="","",IF(OR($B24="Necessidade",$B24="Desejo",$B24="Poupança"),INDEX('Fluxo anual'!$C33:$N33,MES_SEL),""))</f>
        <v/>
      </c>
      <c r="E24" s="84">
        <f>IF(OR($C24="",$D24=""),"",IF($B24="Poupança",D24-C24,C24-D24))</f>
        <v/>
      </c>
      <c r="F24" s="86">
        <f>IF(OR($C24="",$D24=""),"",IF($C24=0,"",E24/C24))</f>
        <v/>
      </c>
      <c r="G24" s="101">
        <f>IF(OR($C24="",$D24=""),"",IF($C24=0,"",D24/C24))</f>
        <v/>
      </c>
      <c r="H24" s="102">
        <f>IF(OR($C24="",$D24=""),"",IF(AND(C24=0,D24=0),"-",IF(C24=0,"Sem meta",IF($B24="Poupança",IF(D24&gt;=C24,"Meta atingida","Abaixo da meta"),IF(D24&gt;C24,"Estourou",IF(D24&gt;=0.9*C24,"Atenção","Dentro"))))))</f>
        <v/>
      </c>
      <c r="I24" s="105">
        <f>IF(AND(ISNUMBER($D24),OR($B24="Necessidade",$B24="Desejo")),IF($D24&gt;0,ROUND($D24,2)+ROW()/10000000,""),"")</f>
        <v/>
      </c>
      <c r="J24" s="106">
        <f>IF(AND(ISNUMBER($D24),OR($B24="Necessidade",$B24="Desejo"),MES_SEL&gt;1),$D24-INDEX('Fluxo anual'!$C33:$N33,MAX(1,MES_SEL-1)),"")</f>
        <v/>
      </c>
      <c r="K24" s="105">
        <f>IF(ISNUMBER($J24),IF($J24&gt;0.005,ROUND($J24,2)+ROW()/10000000,""),"")</f>
        <v/>
      </c>
    </row>
    <row r="25">
      <c r="A25" s="75">
        <f>IF('Fluxo anual'!A34="","",'Fluxo anual'!A34)</f>
        <v/>
      </c>
      <c r="B25" s="75">
        <f>IF($A25="","",'Fluxo anual'!B34)</f>
        <v/>
      </c>
      <c r="C25" s="84">
        <f>IF($A25="","",IF(OR($B25="Necessidade",$B25="Desejo",$B25="Poupança"),N(INDEX($F81:$Q81,MES_SEL)),""))</f>
        <v/>
      </c>
      <c r="D25" s="84">
        <f>IF($A25="","",IF(OR($B25="Necessidade",$B25="Desejo",$B25="Poupança"),INDEX('Fluxo anual'!$C34:$N34,MES_SEL),""))</f>
        <v/>
      </c>
      <c r="E25" s="84">
        <f>IF(OR($C25="",$D25=""),"",IF($B25="Poupança",D25-C25,C25-D25))</f>
        <v/>
      </c>
      <c r="F25" s="86">
        <f>IF(OR($C25="",$D25=""),"",IF($C25=0,"",E25/C25))</f>
        <v/>
      </c>
      <c r="G25" s="101">
        <f>IF(OR($C25="",$D25=""),"",IF($C25=0,"",D25/C25))</f>
        <v/>
      </c>
      <c r="H25" s="102">
        <f>IF(OR($C25="",$D25=""),"",IF(AND(C25=0,D25=0),"-",IF(C25=0,"Sem meta",IF($B25="Poupança",IF(D25&gt;=C25,"Meta atingida","Abaixo da meta"),IF(D25&gt;C25,"Estourou",IF(D25&gt;=0.9*C25,"Atenção","Dentro"))))))</f>
        <v/>
      </c>
      <c r="I25" s="105">
        <f>IF(AND(ISNUMBER($D25),OR($B25="Necessidade",$B25="Desejo")),IF($D25&gt;0,ROUND($D25,2)+ROW()/10000000,""),"")</f>
        <v/>
      </c>
      <c r="J25" s="106">
        <f>IF(AND(ISNUMBER($D25),OR($B25="Necessidade",$B25="Desejo"),MES_SEL&gt;1),$D25-INDEX('Fluxo anual'!$C34:$N34,MAX(1,MES_SEL-1)),"")</f>
        <v/>
      </c>
      <c r="K25" s="105">
        <f>IF(ISNUMBER($J25),IF($J25&gt;0.005,ROUND($J25,2)+ROW()/10000000,""),"")</f>
        <v/>
      </c>
    </row>
    <row r="26">
      <c r="A26" s="75">
        <f>IF('Fluxo anual'!A35="","",'Fluxo anual'!A35)</f>
        <v/>
      </c>
      <c r="B26" s="75">
        <f>IF($A26="","",'Fluxo anual'!B35)</f>
        <v/>
      </c>
      <c r="C26" s="84">
        <f>IF($A26="","",IF(OR($B26="Necessidade",$B26="Desejo",$B26="Poupança"),N(INDEX($F82:$Q82,MES_SEL)),""))</f>
        <v/>
      </c>
      <c r="D26" s="84">
        <f>IF($A26="","",IF(OR($B26="Necessidade",$B26="Desejo",$B26="Poupança"),INDEX('Fluxo anual'!$C35:$N35,MES_SEL),""))</f>
        <v/>
      </c>
      <c r="E26" s="84">
        <f>IF(OR($C26="",$D26=""),"",IF($B26="Poupança",D26-C26,C26-D26))</f>
        <v/>
      </c>
      <c r="F26" s="86">
        <f>IF(OR($C26="",$D26=""),"",IF($C26=0,"",E26/C26))</f>
        <v/>
      </c>
      <c r="G26" s="101">
        <f>IF(OR($C26="",$D26=""),"",IF($C26=0,"",D26/C26))</f>
        <v/>
      </c>
      <c r="H26" s="102">
        <f>IF(OR($C26="",$D26=""),"",IF(AND(C26=0,D26=0),"-",IF(C26=0,"Sem meta",IF($B26="Poupança",IF(D26&gt;=C26,"Meta atingida","Abaixo da meta"),IF(D26&gt;C26,"Estourou",IF(D26&gt;=0.9*C26,"Atenção","Dentro"))))))</f>
        <v/>
      </c>
      <c r="I26" s="105">
        <f>IF(AND(ISNUMBER($D26),OR($B26="Necessidade",$B26="Desejo")),IF($D26&gt;0,ROUND($D26,2)+ROW()/10000000,""),"")</f>
        <v/>
      </c>
      <c r="J26" s="106">
        <f>IF(AND(ISNUMBER($D26),OR($B26="Necessidade",$B26="Desejo"),MES_SEL&gt;1),$D26-INDEX('Fluxo anual'!$C35:$N35,MAX(1,MES_SEL-1)),"")</f>
        <v/>
      </c>
      <c r="K26" s="105">
        <f>IF(ISNUMBER($J26),IF($J26&gt;0.005,ROUND($J26,2)+ROW()/10000000,""),"")</f>
        <v/>
      </c>
    </row>
    <row r="27">
      <c r="A27" s="75">
        <f>IF('Fluxo anual'!A36="","",'Fluxo anual'!A36)</f>
        <v/>
      </c>
      <c r="B27" s="75">
        <f>IF($A27="","",'Fluxo anual'!B36)</f>
        <v/>
      </c>
      <c r="C27" s="84">
        <f>IF($A27="","",IF(OR($B27="Necessidade",$B27="Desejo",$B27="Poupança"),N(INDEX($F83:$Q83,MES_SEL)),""))</f>
        <v/>
      </c>
      <c r="D27" s="84">
        <f>IF($A27="","",IF(OR($B27="Necessidade",$B27="Desejo",$B27="Poupança"),INDEX('Fluxo anual'!$C36:$N36,MES_SEL),""))</f>
        <v/>
      </c>
      <c r="E27" s="84">
        <f>IF(OR($C27="",$D27=""),"",IF($B27="Poupança",D27-C27,C27-D27))</f>
        <v/>
      </c>
      <c r="F27" s="86">
        <f>IF(OR($C27="",$D27=""),"",IF($C27=0,"",E27/C27))</f>
        <v/>
      </c>
      <c r="G27" s="101">
        <f>IF(OR($C27="",$D27=""),"",IF($C27=0,"",D27/C27))</f>
        <v/>
      </c>
      <c r="H27" s="102">
        <f>IF(OR($C27="",$D27=""),"",IF(AND(C27=0,D27=0),"-",IF(C27=0,"Sem meta",IF($B27="Poupança",IF(D27&gt;=C27,"Meta atingida","Abaixo da meta"),IF(D27&gt;C27,"Estourou",IF(D27&gt;=0.9*C27,"Atenção","Dentro"))))))</f>
        <v/>
      </c>
      <c r="I27" s="105">
        <f>IF(AND(ISNUMBER($D27),OR($B27="Necessidade",$B27="Desejo")),IF($D27&gt;0,ROUND($D27,2)+ROW()/10000000,""),"")</f>
        <v/>
      </c>
      <c r="J27" s="106">
        <f>IF(AND(ISNUMBER($D27),OR($B27="Necessidade",$B27="Desejo"),MES_SEL&gt;1),$D27-INDEX('Fluxo anual'!$C36:$N36,MAX(1,MES_SEL-1)),"")</f>
        <v/>
      </c>
      <c r="K27" s="105">
        <f>IF(ISNUMBER($J27),IF($J27&gt;0.005,ROUND($J27,2)+ROW()/10000000,""),"")</f>
        <v/>
      </c>
    </row>
    <row r="28">
      <c r="A28" s="75">
        <f>IF('Fluxo anual'!A37="","",'Fluxo anual'!A37)</f>
        <v/>
      </c>
      <c r="B28" s="75">
        <f>IF($A28="","",'Fluxo anual'!B37)</f>
        <v/>
      </c>
      <c r="C28" s="84">
        <f>IF($A28="","",IF(OR($B28="Necessidade",$B28="Desejo",$B28="Poupança"),N(INDEX($F84:$Q84,MES_SEL)),""))</f>
        <v/>
      </c>
      <c r="D28" s="84">
        <f>IF($A28="","",IF(OR($B28="Necessidade",$B28="Desejo",$B28="Poupança"),INDEX('Fluxo anual'!$C37:$N37,MES_SEL),""))</f>
        <v/>
      </c>
      <c r="E28" s="84">
        <f>IF(OR($C28="",$D28=""),"",IF($B28="Poupança",D28-C28,C28-D28))</f>
        <v/>
      </c>
      <c r="F28" s="86">
        <f>IF(OR($C28="",$D28=""),"",IF($C28=0,"",E28/C28))</f>
        <v/>
      </c>
      <c r="G28" s="101">
        <f>IF(OR($C28="",$D28=""),"",IF($C28=0,"",D28/C28))</f>
        <v/>
      </c>
      <c r="H28" s="102">
        <f>IF(OR($C28="",$D28=""),"",IF(AND(C28=0,D28=0),"-",IF(C28=0,"Sem meta",IF($B28="Poupança",IF(D28&gt;=C28,"Meta atingida","Abaixo da meta"),IF(D28&gt;C28,"Estourou",IF(D28&gt;=0.9*C28,"Atenção","Dentro"))))))</f>
        <v/>
      </c>
      <c r="I28" s="105">
        <f>IF(AND(ISNUMBER($D28),OR($B28="Necessidade",$B28="Desejo")),IF($D28&gt;0,ROUND($D28,2)+ROW()/10000000,""),"")</f>
        <v/>
      </c>
      <c r="J28" s="106">
        <f>IF(AND(ISNUMBER($D28),OR($B28="Necessidade",$B28="Desejo"),MES_SEL&gt;1),$D28-INDEX('Fluxo anual'!$C37:$N37,MAX(1,MES_SEL-1)),"")</f>
        <v/>
      </c>
      <c r="K28" s="105">
        <f>IF(ISNUMBER($J28),IF($J28&gt;0.005,ROUND($J28,2)+ROW()/10000000,""),"")</f>
        <v/>
      </c>
    </row>
    <row r="29">
      <c r="A29" s="75">
        <f>IF('Fluxo anual'!A38="","",'Fluxo anual'!A38)</f>
        <v/>
      </c>
      <c r="B29" s="75">
        <f>IF($A29="","",'Fluxo anual'!B38)</f>
        <v/>
      </c>
      <c r="C29" s="84">
        <f>IF($A29="","",IF(OR($B29="Necessidade",$B29="Desejo",$B29="Poupança"),N(INDEX($F85:$Q85,MES_SEL)),""))</f>
        <v/>
      </c>
      <c r="D29" s="84">
        <f>IF($A29="","",IF(OR($B29="Necessidade",$B29="Desejo",$B29="Poupança"),INDEX('Fluxo anual'!$C38:$N38,MES_SEL),""))</f>
        <v/>
      </c>
      <c r="E29" s="84">
        <f>IF(OR($C29="",$D29=""),"",IF($B29="Poupança",D29-C29,C29-D29))</f>
        <v/>
      </c>
      <c r="F29" s="86">
        <f>IF(OR($C29="",$D29=""),"",IF($C29=0,"",E29/C29))</f>
        <v/>
      </c>
      <c r="G29" s="101">
        <f>IF(OR($C29="",$D29=""),"",IF($C29=0,"",D29/C29))</f>
        <v/>
      </c>
      <c r="H29" s="102">
        <f>IF(OR($C29="",$D29=""),"",IF(AND(C29=0,D29=0),"-",IF(C29=0,"Sem meta",IF($B29="Poupança",IF(D29&gt;=C29,"Meta atingida","Abaixo da meta"),IF(D29&gt;C29,"Estourou",IF(D29&gt;=0.9*C29,"Atenção","Dentro"))))))</f>
        <v/>
      </c>
      <c r="I29" s="105">
        <f>IF(AND(ISNUMBER($D29),OR($B29="Necessidade",$B29="Desejo")),IF($D29&gt;0,ROUND($D29,2)+ROW()/10000000,""),"")</f>
        <v/>
      </c>
      <c r="J29" s="106">
        <f>IF(AND(ISNUMBER($D29),OR($B29="Necessidade",$B29="Desejo"),MES_SEL&gt;1),$D29-INDEX('Fluxo anual'!$C38:$N38,MAX(1,MES_SEL-1)),"")</f>
        <v/>
      </c>
      <c r="K29" s="105">
        <f>IF(ISNUMBER($J29),IF($J29&gt;0.005,ROUND($J29,2)+ROW()/10000000,""),"")</f>
        <v/>
      </c>
    </row>
    <row r="30">
      <c r="A30" s="75">
        <f>IF('Fluxo anual'!A39="","",'Fluxo anual'!A39)</f>
        <v/>
      </c>
      <c r="B30" s="75">
        <f>IF($A30="","",'Fluxo anual'!B39)</f>
        <v/>
      </c>
      <c r="C30" s="84">
        <f>IF($A30="","",IF(OR($B30="Necessidade",$B30="Desejo",$B30="Poupança"),N(INDEX($F86:$Q86,MES_SEL)),""))</f>
        <v/>
      </c>
      <c r="D30" s="84">
        <f>IF($A30="","",IF(OR($B30="Necessidade",$B30="Desejo",$B30="Poupança"),INDEX('Fluxo anual'!$C39:$N39,MES_SEL),""))</f>
        <v/>
      </c>
      <c r="E30" s="84">
        <f>IF(OR($C30="",$D30=""),"",IF($B30="Poupança",D30-C30,C30-D30))</f>
        <v/>
      </c>
      <c r="F30" s="86">
        <f>IF(OR($C30="",$D30=""),"",IF($C30=0,"",E30/C30))</f>
        <v/>
      </c>
      <c r="G30" s="101">
        <f>IF(OR($C30="",$D30=""),"",IF($C30=0,"",D30/C30))</f>
        <v/>
      </c>
      <c r="H30" s="102">
        <f>IF(OR($C30="",$D30=""),"",IF(AND(C30=0,D30=0),"-",IF(C30=0,"Sem meta",IF($B30="Poupança",IF(D30&gt;=C30,"Meta atingida","Abaixo da meta"),IF(D30&gt;C30,"Estourou",IF(D30&gt;=0.9*C30,"Atenção","Dentro"))))))</f>
        <v/>
      </c>
      <c r="I30" s="105">
        <f>IF(AND(ISNUMBER($D30),OR($B30="Necessidade",$B30="Desejo")),IF($D30&gt;0,ROUND($D30,2)+ROW()/10000000,""),"")</f>
        <v/>
      </c>
      <c r="J30" s="106">
        <f>IF(AND(ISNUMBER($D30),OR($B30="Necessidade",$B30="Desejo"),MES_SEL&gt;1),$D30-INDEX('Fluxo anual'!$C39:$N39,MAX(1,MES_SEL-1)),"")</f>
        <v/>
      </c>
      <c r="K30" s="105">
        <f>IF(ISNUMBER($J30),IF($J30&gt;0.005,ROUND($J30,2)+ROW()/10000000,""),"")</f>
        <v/>
      </c>
    </row>
    <row r="31">
      <c r="A31" s="75">
        <f>IF('Fluxo anual'!A40="","",'Fluxo anual'!A40)</f>
        <v/>
      </c>
      <c r="B31" s="75">
        <f>IF($A31="","",'Fluxo anual'!B40)</f>
        <v/>
      </c>
      <c r="C31" s="84">
        <f>IF($A31="","",IF(OR($B31="Necessidade",$B31="Desejo",$B31="Poupança"),N(INDEX($F87:$Q87,MES_SEL)),""))</f>
        <v/>
      </c>
      <c r="D31" s="84">
        <f>IF($A31="","",IF(OR($B31="Necessidade",$B31="Desejo",$B31="Poupança"),INDEX('Fluxo anual'!$C40:$N40,MES_SEL),""))</f>
        <v/>
      </c>
      <c r="E31" s="84">
        <f>IF(OR($C31="",$D31=""),"",IF($B31="Poupança",D31-C31,C31-D31))</f>
        <v/>
      </c>
      <c r="F31" s="86">
        <f>IF(OR($C31="",$D31=""),"",IF($C31=0,"",E31/C31))</f>
        <v/>
      </c>
      <c r="G31" s="101">
        <f>IF(OR($C31="",$D31=""),"",IF($C31=0,"",D31/C31))</f>
        <v/>
      </c>
      <c r="H31" s="102">
        <f>IF(OR($C31="",$D31=""),"",IF(AND(C31=0,D31=0),"-",IF(C31=0,"Sem meta",IF($B31="Poupança",IF(D31&gt;=C31,"Meta atingida","Abaixo da meta"),IF(D31&gt;C31,"Estourou",IF(D31&gt;=0.9*C31,"Atenção","Dentro"))))))</f>
        <v/>
      </c>
      <c r="I31" s="105">
        <f>IF(AND(ISNUMBER($D31),OR($B31="Necessidade",$B31="Desejo")),IF($D31&gt;0,ROUND($D31,2)+ROW()/10000000,""),"")</f>
        <v/>
      </c>
      <c r="J31" s="106">
        <f>IF(AND(ISNUMBER($D31),OR($B31="Necessidade",$B31="Desejo"),MES_SEL&gt;1),$D31-INDEX('Fluxo anual'!$C40:$N40,MAX(1,MES_SEL-1)),"")</f>
        <v/>
      </c>
      <c r="K31" s="105">
        <f>IF(ISNUMBER($J31),IF($J31&gt;0.005,ROUND($J31,2)+ROW()/10000000,""),"")</f>
        <v/>
      </c>
    </row>
    <row r="32">
      <c r="A32" s="75">
        <f>IF('Fluxo anual'!A41="","",'Fluxo anual'!A41)</f>
        <v/>
      </c>
      <c r="B32" s="75">
        <f>IF($A32="","",'Fluxo anual'!B41)</f>
        <v/>
      </c>
      <c r="C32" s="84">
        <f>IF($A32="","",IF(OR($B32="Necessidade",$B32="Desejo",$B32="Poupança"),N(INDEX($F88:$Q88,MES_SEL)),""))</f>
        <v/>
      </c>
      <c r="D32" s="84">
        <f>IF($A32="","",IF(OR($B32="Necessidade",$B32="Desejo",$B32="Poupança"),INDEX('Fluxo anual'!$C41:$N41,MES_SEL),""))</f>
        <v/>
      </c>
      <c r="E32" s="84">
        <f>IF(OR($C32="",$D32=""),"",IF($B32="Poupança",D32-C32,C32-D32))</f>
        <v/>
      </c>
      <c r="F32" s="86">
        <f>IF(OR($C32="",$D32=""),"",IF($C32=0,"",E32/C32))</f>
        <v/>
      </c>
      <c r="G32" s="101">
        <f>IF(OR($C32="",$D32=""),"",IF($C32=0,"",D32/C32))</f>
        <v/>
      </c>
      <c r="H32" s="102">
        <f>IF(OR($C32="",$D32=""),"",IF(AND(C32=0,D32=0),"-",IF(C32=0,"Sem meta",IF($B32="Poupança",IF(D32&gt;=C32,"Meta atingida","Abaixo da meta"),IF(D32&gt;C32,"Estourou",IF(D32&gt;=0.9*C32,"Atenção","Dentro"))))))</f>
        <v/>
      </c>
      <c r="I32" s="105">
        <f>IF(AND(ISNUMBER($D32),OR($B32="Necessidade",$B32="Desejo")),IF($D32&gt;0,ROUND($D32,2)+ROW()/10000000,""),"")</f>
        <v/>
      </c>
      <c r="J32" s="106">
        <f>IF(AND(ISNUMBER($D32),OR($B32="Necessidade",$B32="Desejo"),MES_SEL&gt;1),$D32-INDEX('Fluxo anual'!$C41:$N41,MAX(1,MES_SEL-1)),"")</f>
        <v/>
      </c>
      <c r="K32" s="105">
        <f>IF(ISNUMBER($J32),IF($J32&gt;0.005,ROUND($J32,2)+ROW()/10000000,""),"")</f>
        <v/>
      </c>
    </row>
    <row r="33">
      <c r="A33" s="75">
        <f>IF('Fluxo anual'!A42="","",'Fluxo anual'!A42)</f>
        <v/>
      </c>
      <c r="B33" s="75">
        <f>IF($A33="","",'Fluxo anual'!B42)</f>
        <v/>
      </c>
      <c r="C33" s="84">
        <f>IF($A33="","",IF(OR($B33="Necessidade",$B33="Desejo",$B33="Poupança"),N(INDEX($F89:$Q89,MES_SEL)),""))</f>
        <v/>
      </c>
      <c r="D33" s="84">
        <f>IF($A33="","",IF(OR($B33="Necessidade",$B33="Desejo",$B33="Poupança"),INDEX('Fluxo anual'!$C42:$N42,MES_SEL),""))</f>
        <v/>
      </c>
      <c r="E33" s="84">
        <f>IF(OR($C33="",$D33=""),"",IF($B33="Poupança",D33-C33,C33-D33))</f>
        <v/>
      </c>
      <c r="F33" s="86">
        <f>IF(OR($C33="",$D33=""),"",IF($C33=0,"",E33/C33))</f>
        <v/>
      </c>
      <c r="G33" s="101">
        <f>IF(OR($C33="",$D33=""),"",IF($C33=0,"",D33/C33))</f>
        <v/>
      </c>
      <c r="H33" s="102">
        <f>IF(OR($C33="",$D33=""),"",IF(AND(C33=0,D33=0),"-",IF(C33=0,"Sem meta",IF($B33="Poupança",IF(D33&gt;=C33,"Meta atingida","Abaixo da meta"),IF(D33&gt;C33,"Estourou",IF(D33&gt;=0.9*C33,"Atenção","Dentro"))))))</f>
        <v/>
      </c>
      <c r="I33" s="105">
        <f>IF(AND(ISNUMBER($D33),OR($B33="Necessidade",$B33="Desejo")),IF($D33&gt;0,ROUND($D33,2)+ROW()/10000000,""),"")</f>
        <v/>
      </c>
      <c r="J33" s="106">
        <f>IF(AND(ISNUMBER($D33),OR($B33="Necessidade",$B33="Desejo"),MES_SEL&gt;1),$D33-INDEX('Fluxo anual'!$C42:$N42,MAX(1,MES_SEL-1)),"")</f>
        <v/>
      </c>
      <c r="K33" s="105">
        <f>IF(ISNUMBER($J33),IF($J33&gt;0.005,ROUND($J33,2)+ROW()/10000000,""),"")</f>
        <v/>
      </c>
    </row>
    <row r="34">
      <c r="A34" s="75">
        <f>IF('Fluxo anual'!A43="","",'Fluxo anual'!A43)</f>
        <v/>
      </c>
      <c r="B34" s="75">
        <f>IF($A34="","",'Fluxo anual'!B43)</f>
        <v/>
      </c>
      <c r="C34" s="84">
        <f>IF($A34="","",IF(OR($B34="Necessidade",$B34="Desejo",$B34="Poupança"),N(INDEX($F90:$Q90,MES_SEL)),""))</f>
        <v/>
      </c>
      <c r="D34" s="84">
        <f>IF($A34="","",IF(OR($B34="Necessidade",$B34="Desejo",$B34="Poupança"),INDEX('Fluxo anual'!$C43:$N43,MES_SEL),""))</f>
        <v/>
      </c>
      <c r="E34" s="84">
        <f>IF(OR($C34="",$D34=""),"",IF($B34="Poupança",D34-C34,C34-D34))</f>
        <v/>
      </c>
      <c r="F34" s="86">
        <f>IF(OR($C34="",$D34=""),"",IF($C34=0,"",E34/C34))</f>
        <v/>
      </c>
      <c r="G34" s="101">
        <f>IF(OR($C34="",$D34=""),"",IF($C34=0,"",D34/C34))</f>
        <v/>
      </c>
      <c r="H34" s="102">
        <f>IF(OR($C34="",$D34=""),"",IF(AND(C34=0,D34=0),"-",IF(C34=0,"Sem meta",IF($B34="Poupança",IF(D34&gt;=C34,"Meta atingida","Abaixo da meta"),IF(D34&gt;C34,"Estourou",IF(D34&gt;=0.9*C34,"Atenção","Dentro"))))))</f>
        <v/>
      </c>
      <c r="I34" s="105">
        <f>IF(AND(ISNUMBER($D34),OR($B34="Necessidade",$B34="Desejo")),IF($D34&gt;0,ROUND($D34,2)+ROW()/10000000,""),"")</f>
        <v/>
      </c>
      <c r="J34" s="106">
        <f>IF(AND(ISNUMBER($D34),OR($B34="Necessidade",$B34="Desejo"),MES_SEL&gt;1),$D34-INDEX('Fluxo anual'!$C43:$N43,MAX(1,MES_SEL-1)),"")</f>
        <v/>
      </c>
      <c r="K34" s="105">
        <f>IF(ISNUMBER($J34),IF($J34&gt;0.005,ROUND($J34,2)+ROW()/10000000,""),"")</f>
        <v/>
      </c>
    </row>
    <row r="35">
      <c r="A35" s="75">
        <f>IF('Fluxo anual'!A44="","",'Fluxo anual'!A44)</f>
        <v/>
      </c>
      <c r="B35" s="75">
        <f>IF($A35="","",'Fluxo anual'!B44)</f>
        <v/>
      </c>
      <c r="C35" s="84">
        <f>IF($A35="","",IF(OR($B35="Necessidade",$B35="Desejo",$B35="Poupança"),N(INDEX($F91:$Q91,MES_SEL)),""))</f>
        <v/>
      </c>
      <c r="D35" s="84">
        <f>IF($A35="","",IF(OR($B35="Necessidade",$B35="Desejo",$B35="Poupança"),INDEX('Fluxo anual'!$C44:$N44,MES_SEL),""))</f>
        <v/>
      </c>
      <c r="E35" s="84">
        <f>IF(OR($C35="",$D35=""),"",IF($B35="Poupança",D35-C35,C35-D35))</f>
        <v/>
      </c>
      <c r="F35" s="86">
        <f>IF(OR($C35="",$D35=""),"",IF($C35=0,"",E35/C35))</f>
        <v/>
      </c>
      <c r="G35" s="101">
        <f>IF(OR($C35="",$D35=""),"",IF($C35=0,"",D35/C35))</f>
        <v/>
      </c>
      <c r="H35" s="102">
        <f>IF(OR($C35="",$D35=""),"",IF(AND(C35=0,D35=0),"-",IF(C35=0,"Sem meta",IF($B35="Poupança",IF(D35&gt;=C35,"Meta atingida","Abaixo da meta"),IF(D35&gt;C35,"Estourou",IF(D35&gt;=0.9*C35,"Atenção","Dentro"))))))</f>
        <v/>
      </c>
      <c r="I35" s="105">
        <f>IF(AND(ISNUMBER($D35),OR($B35="Necessidade",$B35="Desejo")),IF($D35&gt;0,ROUND($D35,2)+ROW()/10000000,""),"")</f>
        <v/>
      </c>
      <c r="J35" s="106">
        <f>IF(AND(ISNUMBER($D35),OR($B35="Necessidade",$B35="Desejo"),MES_SEL&gt;1),$D35-INDEX('Fluxo anual'!$C44:$N44,MAX(1,MES_SEL-1)),"")</f>
        <v/>
      </c>
      <c r="K35" s="105">
        <f>IF(ISNUMBER($J35),IF($J35&gt;0.005,ROUND($J35,2)+ROW()/10000000,""),"")</f>
        <v/>
      </c>
    </row>
    <row r="36">
      <c r="A36" s="75">
        <f>IF('Fluxo anual'!A45="","",'Fluxo anual'!A45)</f>
        <v/>
      </c>
      <c r="B36" s="75">
        <f>IF($A36="","",'Fluxo anual'!B45)</f>
        <v/>
      </c>
      <c r="C36" s="84">
        <f>IF($A36="","",IF(OR($B36="Necessidade",$B36="Desejo",$B36="Poupança"),N(INDEX($F92:$Q92,MES_SEL)),""))</f>
        <v/>
      </c>
      <c r="D36" s="84">
        <f>IF($A36="","",IF(OR($B36="Necessidade",$B36="Desejo",$B36="Poupança"),INDEX('Fluxo anual'!$C45:$N45,MES_SEL),""))</f>
        <v/>
      </c>
      <c r="E36" s="84">
        <f>IF(OR($C36="",$D36=""),"",IF($B36="Poupança",D36-C36,C36-D36))</f>
        <v/>
      </c>
      <c r="F36" s="86">
        <f>IF(OR($C36="",$D36=""),"",IF($C36=0,"",E36/C36))</f>
        <v/>
      </c>
      <c r="G36" s="101">
        <f>IF(OR($C36="",$D36=""),"",IF($C36=0,"",D36/C36))</f>
        <v/>
      </c>
      <c r="H36" s="102">
        <f>IF(OR($C36="",$D36=""),"",IF(AND(C36=0,D36=0),"-",IF(C36=0,"Sem meta",IF($B36="Poupança",IF(D36&gt;=C36,"Meta atingida","Abaixo da meta"),IF(D36&gt;C36,"Estourou",IF(D36&gt;=0.9*C36,"Atenção","Dentro"))))))</f>
        <v/>
      </c>
      <c r="I36" s="105">
        <f>IF(AND(ISNUMBER($D36),OR($B36="Necessidade",$B36="Desejo")),IF($D36&gt;0,ROUND($D36,2)+ROW()/10000000,""),"")</f>
        <v/>
      </c>
      <c r="J36" s="106">
        <f>IF(AND(ISNUMBER($D36),OR($B36="Necessidade",$B36="Desejo"),MES_SEL&gt;1),$D36-INDEX('Fluxo anual'!$C45:$N45,MAX(1,MES_SEL-1)),"")</f>
        <v/>
      </c>
      <c r="K36" s="105">
        <f>IF(ISNUMBER($J36),IF($J36&gt;0.005,ROUND($J36,2)+ROW()/10000000,""),"")</f>
        <v/>
      </c>
    </row>
    <row r="37">
      <c r="A37" s="75">
        <f>IF('Fluxo anual'!A46="","",'Fluxo anual'!A46)</f>
        <v/>
      </c>
      <c r="B37" s="75">
        <f>IF($A37="","",'Fluxo anual'!B46)</f>
        <v/>
      </c>
      <c r="C37" s="84">
        <f>IF($A37="","",IF(OR($B37="Necessidade",$B37="Desejo",$B37="Poupança"),N(INDEX($F93:$Q93,MES_SEL)),""))</f>
        <v/>
      </c>
      <c r="D37" s="84">
        <f>IF($A37="","",IF(OR($B37="Necessidade",$B37="Desejo",$B37="Poupança"),INDEX('Fluxo anual'!$C46:$N46,MES_SEL),""))</f>
        <v/>
      </c>
      <c r="E37" s="84">
        <f>IF(OR($C37="",$D37=""),"",IF($B37="Poupança",D37-C37,C37-D37))</f>
        <v/>
      </c>
      <c r="F37" s="86">
        <f>IF(OR($C37="",$D37=""),"",IF($C37=0,"",E37/C37))</f>
        <v/>
      </c>
      <c r="G37" s="101">
        <f>IF(OR($C37="",$D37=""),"",IF($C37=0,"",D37/C37))</f>
        <v/>
      </c>
      <c r="H37" s="102">
        <f>IF(OR($C37="",$D37=""),"",IF(AND(C37=0,D37=0),"-",IF(C37=0,"Sem meta",IF($B37="Poupança",IF(D37&gt;=C37,"Meta atingida","Abaixo da meta"),IF(D37&gt;C37,"Estourou",IF(D37&gt;=0.9*C37,"Atenção","Dentro"))))))</f>
        <v/>
      </c>
      <c r="I37" s="105">
        <f>IF(AND(ISNUMBER($D37),OR($B37="Necessidade",$B37="Desejo")),IF($D37&gt;0,ROUND($D37,2)+ROW()/10000000,""),"")</f>
        <v/>
      </c>
      <c r="J37" s="106">
        <f>IF(AND(ISNUMBER($D37),OR($B37="Necessidade",$B37="Desejo"),MES_SEL&gt;1),$D37-INDEX('Fluxo anual'!$C46:$N46,MAX(1,MES_SEL-1)),"")</f>
        <v/>
      </c>
      <c r="K37" s="105">
        <f>IF(ISNUMBER($J37),IF($J37&gt;0.005,ROUND($J37,2)+ROW()/10000000,""),"")</f>
        <v/>
      </c>
    </row>
    <row r="38">
      <c r="A38" s="75">
        <f>IF('Fluxo anual'!A47="","",'Fluxo anual'!A47)</f>
        <v/>
      </c>
      <c r="B38" s="75">
        <f>IF($A38="","",'Fluxo anual'!B47)</f>
        <v/>
      </c>
      <c r="C38" s="84">
        <f>IF($A38="","",IF(OR($B38="Necessidade",$B38="Desejo",$B38="Poupança"),N(INDEX($F94:$Q94,MES_SEL)),""))</f>
        <v/>
      </c>
      <c r="D38" s="84">
        <f>IF($A38="","",IF(OR($B38="Necessidade",$B38="Desejo",$B38="Poupança"),INDEX('Fluxo anual'!$C47:$N47,MES_SEL),""))</f>
        <v/>
      </c>
      <c r="E38" s="84">
        <f>IF(OR($C38="",$D38=""),"",IF($B38="Poupança",D38-C38,C38-D38))</f>
        <v/>
      </c>
      <c r="F38" s="86">
        <f>IF(OR($C38="",$D38=""),"",IF($C38=0,"",E38/C38))</f>
        <v/>
      </c>
      <c r="G38" s="101">
        <f>IF(OR($C38="",$D38=""),"",IF($C38=0,"",D38/C38))</f>
        <v/>
      </c>
      <c r="H38" s="102">
        <f>IF(OR($C38="",$D38=""),"",IF(AND(C38=0,D38=0),"-",IF(C38=0,"Sem meta",IF($B38="Poupança",IF(D38&gt;=C38,"Meta atingida","Abaixo da meta"),IF(D38&gt;C38,"Estourou",IF(D38&gt;=0.9*C38,"Atenção","Dentro"))))))</f>
        <v/>
      </c>
      <c r="I38" s="105">
        <f>IF(AND(ISNUMBER($D38),OR($B38="Necessidade",$B38="Desejo")),IF($D38&gt;0,ROUND($D38,2)+ROW()/10000000,""),"")</f>
        <v/>
      </c>
      <c r="J38" s="106">
        <f>IF(AND(ISNUMBER($D38),OR($B38="Necessidade",$B38="Desejo"),MES_SEL&gt;1),$D38-INDEX('Fluxo anual'!$C47:$N47,MAX(1,MES_SEL-1)),"")</f>
        <v/>
      </c>
      <c r="K38" s="105">
        <f>IF(ISNUMBER($J38),IF($J38&gt;0.005,ROUND($J38,2)+ROW()/10000000,""),"")</f>
        <v/>
      </c>
    </row>
    <row r="39">
      <c r="A39" s="75">
        <f>IF('Fluxo anual'!A48="","",'Fluxo anual'!A48)</f>
        <v/>
      </c>
      <c r="B39" s="75">
        <f>IF($A39="","",'Fluxo anual'!B48)</f>
        <v/>
      </c>
      <c r="C39" s="84">
        <f>IF($A39="","",IF(OR($B39="Necessidade",$B39="Desejo",$B39="Poupança"),N(INDEX($F95:$Q95,MES_SEL)),""))</f>
        <v/>
      </c>
      <c r="D39" s="84">
        <f>IF($A39="","",IF(OR($B39="Necessidade",$B39="Desejo",$B39="Poupança"),INDEX('Fluxo anual'!$C48:$N48,MES_SEL),""))</f>
        <v/>
      </c>
      <c r="E39" s="84">
        <f>IF(OR($C39="",$D39=""),"",IF($B39="Poupança",D39-C39,C39-D39))</f>
        <v/>
      </c>
      <c r="F39" s="86">
        <f>IF(OR($C39="",$D39=""),"",IF($C39=0,"",E39/C39))</f>
        <v/>
      </c>
      <c r="G39" s="101">
        <f>IF(OR($C39="",$D39=""),"",IF($C39=0,"",D39/C39))</f>
        <v/>
      </c>
      <c r="H39" s="102">
        <f>IF(OR($C39="",$D39=""),"",IF(AND(C39=0,D39=0),"-",IF(C39=0,"Sem meta",IF($B39="Poupança",IF(D39&gt;=C39,"Meta atingida","Abaixo da meta"),IF(D39&gt;C39,"Estourou",IF(D39&gt;=0.9*C39,"Atenção","Dentro"))))))</f>
        <v/>
      </c>
      <c r="I39" s="105">
        <f>IF(AND(ISNUMBER($D39),OR($B39="Necessidade",$B39="Desejo")),IF($D39&gt;0,ROUND($D39,2)+ROW()/10000000,""),"")</f>
        <v/>
      </c>
      <c r="J39" s="106">
        <f>IF(AND(ISNUMBER($D39),OR($B39="Necessidade",$B39="Desejo"),MES_SEL&gt;1),$D39-INDEX('Fluxo anual'!$C48:$N48,MAX(1,MES_SEL-1)),"")</f>
        <v/>
      </c>
      <c r="K39" s="105">
        <f>IF(ISNUMBER($J39),IF($J39&gt;0.005,ROUND($J39,2)+ROW()/10000000,""),"")</f>
        <v/>
      </c>
    </row>
    <row r="40">
      <c r="A40" s="75">
        <f>IF('Fluxo anual'!A49="","",'Fluxo anual'!A49)</f>
        <v/>
      </c>
      <c r="B40" s="75">
        <f>IF($A40="","",'Fluxo anual'!B49)</f>
        <v/>
      </c>
      <c r="C40" s="84">
        <f>IF($A40="","",IF(OR($B40="Necessidade",$B40="Desejo",$B40="Poupança"),N(INDEX($F96:$Q96,MES_SEL)),""))</f>
        <v/>
      </c>
      <c r="D40" s="84">
        <f>IF($A40="","",IF(OR($B40="Necessidade",$B40="Desejo",$B40="Poupança"),INDEX('Fluxo anual'!$C49:$N49,MES_SEL),""))</f>
        <v/>
      </c>
      <c r="E40" s="84">
        <f>IF(OR($C40="",$D40=""),"",IF($B40="Poupança",D40-C40,C40-D40))</f>
        <v/>
      </c>
      <c r="F40" s="86">
        <f>IF(OR($C40="",$D40=""),"",IF($C40=0,"",E40/C40))</f>
        <v/>
      </c>
      <c r="G40" s="101">
        <f>IF(OR($C40="",$D40=""),"",IF($C40=0,"",D40/C40))</f>
        <v/>
      </c>
      <c r="H40" s="102">
        <f>IF(OR($C40="",$D40=""),"",IF(AND(C40=0,D40=0),"-",IF(C40=0,"Sem meta",IF($B40="Poupança",IF(D40&gt;=C40,"Meta atingida","Abaixo da meta"),IF(D40&gt;C40,"Estourou",IF(D40&gt;=0.9*C40,"Atenção","Dentro"))))))</f>
        <v/>
      </c>
      <c r="I40" s="105">
        <f>IF(AND(ISNUMBER($D40),OR($B40="Necessidade",$B40="Desejo")),IF($D40&gt;0,ROUND($D40,2)+ROW()/10000000,""),"")</f>
        <v/>
      </c>
      <c r="J40" s="106">
        <f>IF(AND(ISNUMBER($D40),OR($B40="Necessidade",$B40="Desejo"),MES_SEL&gt;1),$D40-INDEX('Fluxo anual'!$C49:$N49,MAX(1,MES_SEL-1)),"")</f>
        <v/>
      </c>
      <c r="K40" s="105">
        <f>IF(ISNUMBER($J40),IF($J40&gt;0.005,ROUND($J40,2)+ROW()/10000000,""),"")</f>
        <v/>
      </c>
    </row>
    <row r="41">
      <c r="A41" s="75">
        <f>IF('Fluxo anual'!A50="","",'Fluxo anual'!A50)</f>
        <v/>
      </c>
      <c r="B41" s="75">
        <f>IF($A41="","",'Fluxo anual'!B50)</f>
        <v/>
      </c>
      <c r="C41" s="84">
        <f>IF($A41="","",IF(OR($B41="Necessidade",$B41="Desejo",$B41="Poupança"),N(INDEX($F97:$Q97,MES_SEL)),""))</f>
        <v/>
      </c>
      <c r="D41" s="84">
        <f>IF($A41="","",IF(OR($B41="Necessidade",$B41="Desejo",$B41="Poupança"),INDEX('Fluxo anual'!$C50:$N50,MES_SEL),""))</f>
        <v/>
      </c>
      <c r="E41" s="84">
        <f>IF(OR($C41="",$D41=""),"",IF($B41="Poupança",D41-C41,C41-D41))</f>
        <v/>
      </c>
      <c r="F41" s="86">
        <f>IF(OR($C41="",$D41=""),"",IF($C41=0,"",E41/C41))</f>
        <v/>
      </c>
      <c r="G41" s="101">
        <f>IF(OR($C41="",$D41=""),"",IF($C41=0,"",D41/C41))</f>
        <v/>
      </c>
      <c r="H41" s="102">
        <f>IF(OR($C41="",$D41=""),"",IF(AND(C41=0,D41=0),"-",IF(C41=0,"Sem meta",IF($B41="Poupança",IF(D41&gt;=C41,"Meta atingida","Abaixo da meta"),IF(D41&gt;C41,"Estourou",IF(D41&gt;=0.9*C41,"Atenção","Dentro"))))))</f>
        <v/>
      </c>
      <c r="I41" s="105">
        <f>IF(AND(ISNUMBER($D41),OR($B41="Necessidade",$B41="Desejo")),IF($D41&gt;0,ROUND($D41,2)+ROW()/10000000,""),"")</f>
        <v/>
      </c>
      <c r="J41" s="106">
        <f>IF(AND(ISNUMBER($D41),OR($B41="Necessidade",$B41="Desejo"),MES_SEL&gt;1),$D41-INDEX('Fluxo anual'!$C50:$N50,MAX(1,MES_SEL-1)),"")</f>
        <v/>
      </c>
      <c r="K41" s="105">
        <f>IF(ISNUMBER($J41),IF($J41&gt;0.005,ROUND($J41,2)+ROW()/10000000,""),"")</f>
        <v/>
      </c>
    </row>
    <row r="42">
      <c r="A42" s="75">
        <f>IF('Fluxo anual'!A51="","",'Fluxo anual'!A51)</f>
        <v/>
      </c>
      <c r="B42" s="75">
        <f>IF($A42="","",'Fluxo anual'!B51)</f>
        <v/>
      </c>
      <c r="C42" s="84">
        <f>IF($A42="","",IF(OR($B42="Necessidade",$B42="Desejo",$B42="Poupança"),N(INDEX($F98:$Q98,MES_SEL)),""))</f>
        <v/>
      </c>
      <c r="D42" s="84">
        <f>IF($A42="","",IF(OR($B42="Necessidade",$B42="Desejo",$B42="Poupança"),INDEX('Fluxo anual'!$C51:$N51,MES_SEL),""))</f>
        <v/>
      </c>
      <c r="E42" s="84">
        <f>IF(OR($C42="",$D42=""),"",IF($B42="Poupança",D42-C42,C42-D42))</f>
        <v/>
      </c>
      <c r="F42" s="86">
        <f>IF(OR($C42="",$D42=""),"",IF($C42=0,"",E42/C42))</f>
        <v/>
      </c>
      <c r="G42" s="101">
        <f>IF(OR($C42="",$D42=""),"",IF($C42=0,"",D42/C42))</f>
        <v/>
      </c>
      <c r="H42" s="102">
        <f>IF(OR($C42="",$D42=""),"",IF(AND(C42=0,D42=0),"-",IF(C42=0,"Sem meta",IF($B42="Poupança",IF(D42&gt;=C42,"Meta atingida","Abaixo da meta"),IF(D42&gt;C42,"Estourou",IF(D42&gt;=0.9*C42,"Atenção","Dentro"))))))</f>
        <v/>
      </c>
      <c r="I42" s="105">
        <f>IF(AND(ISNUMBER($D42),OR($B42="Necessidade",$B42="Desejo")),IF($D42&gt;0,ROUND($D42,2)+ROW()/10000000,""),"")</f>
        <v/>
      </c>
      <c r="J42" s="106">
        <f>IF(AND(ISNUMBER($D42),OR($B42="Necessidade",$B42="Desejo"),MES_SEL&gt;1),$D42-INDEX('Fluxo anual'!$C51:$N51,MAX(1,MES_SEL-1)),"")</f>
        <v/>
      </c>
      <c r="K42" s="105">
        <f>IF(ISNUMBER($J42),IF($J42&gt;0.005,ROUND($J42,2)+ROW()/10000000,""),"")</f>
        <v/>
      </c>
    </row>
    <row r="43">
      <c r="A43" s="75">
        <f>IF('Fluxo anual'!A52="","",'Fluxo anual'!A52)</f>
        <v/>
      </c>
      <c r="B43" s="75">
        <f>IF($A43="","",'Fluxo anual'!B52)</f>
        <v/>
      </c>
      <c r="C43" s="84">
        <f>IF($A43="","",IF(OR($B43="Necessidade",$B43="Desejo",$B43="Poupança"),N(INDEX($F99:$Q99,MES_SEL)),""))</f>
        <v/>
      </c>
      <c r="D43" s="84">
        <f>IF($A43="","",IF(OR($B43="Necessidade",$B43="Desejo",$B43="Poupança"),INDEX('Fluxo anual'!$C52:$N52,MES_SEL),""))</f>
        <v/>
      </c>
      <c r="E43" s="84">
        <f>IF(OR($C43="",$D43=""),"",IF($B43="Poupança",D43-C43,C43-D43))</f>
        <v/>
      </c>
      <c r="F43" s="86">
        <f>IF(OR($C43="",$D43=""),"",IF($C43=0,"",E43/C43))</f>
        <v/>
      </c>
      <c r="G43" s="101">
        <f>IF(OR($C43="",$D43=""),"",IF($C43=0,"",D43/C43))</f>
        <v/>
      </c>
      <c r="H43" s="102">
        <f>IF(OR($C43="",$D43=""),"",IF(AND(C43=0,D43=0),"-",IF(C43=0,"Sem meta",IF($B43="Poupança",IF(D43&gt;=C43,"Meta atingida","Abaixo da meta"),IF(D43&gt;C43,"Estourou",IF(D43&gt;=0.9*C43,"Atenção","Dentro"))))))</f>
        <v/>
      </c>
      <c r="I43" s="105">
        <f>IF(AND(ISNUMBER($D43),OR($B43="Necessidade",$B43="Desejo")),IF($D43&gt;0,ROUND($D43,2)+ROW()/10000000,""),"")</f>
        <v/>
      </c>
      <c r="J43" s="106">
        <f>IF(AND(ISNUMBER($D43),OR($B43="Necessidade",$B43="Desejo"),MES_SEL&gt;1),$D43-INDEX('Fluxo anual'!$C52:$N52,MAX(1,MES_SEL-1)),"")</f>
        <v/>
      </c>
      <c r="K43" s="105">
        <f>IF(ISNUMBER($J43),IF($J43&gt;0.005,ROUND($J43,2)+ROW()/10000000,""),"")</f>
        <v/>
      </c>
    </row>
    <row r="44">
      <c r="A44" s="75">
        <f>IF('Fluxo anual'!A53="","",'Fluxo anual'!A53)</f>
        <v/>
      </c>
      <c r="B44" s="75">
        <f>IF($A44="","",'Fluxo anual'!B53)</f>
        <v/>
      </c>
      <c r="C44" s="84">
        <f>IF($A44="","",IF(OR($B44="Necessidade",$B44="Desejo",$B44="Poupança"),N(INDEX($F100:$Q100,MES_SEL)),""))</f>
        <v/>
      </c>
      <c r="D44" s="84">
        <f>IF($A44="","",IF(OR($B44="Necessidade",$B44="Desejo",$B44="Poupança"),INDEX('Fluxo anual'!$C53:$N53,MES_SEL),""))</f>
        <v/>
      </c>
      <c r="E44" s="84">
        <f>IF(OR($C44="",$D44=""),"",IF($B44="Poupança",D44-C44,C44-D44))</f>
        <v/>
      </c>
      <c r="F44" s="86">
        <f>IF(OR($C44="",$D44=""),"",IF($C44=0,"",E44/C44))</f>
        <v/>
      </c>
      <c r="G44" s="101">
        <f>IF(OR($C44="",$D44=""),"",IF($C44=0,"",D44/C44))</f>
        <v/>
      </c>
      <c r="H44" s="102">
        <f>IF(OR($C44="",$D44=""),"",IF(AND(C44=0,D44=0),"-",IF(C44=0,"Sem meta",IF($B44="Poupança",IF(D44&gt;=C44,"Meta atingida","Abaixo da meta"),IF(D44&gt;C44,"Estourou",IF(D44&gt;=0.9*C44,"Atenção","Dentro"))))))</f>
        <v/>
      </c>
      <c r="I44" s="105">
        <f>IF(AND(ISNUMBER($D44),OR($B44="Necessidade",$B44="Desejo")),IF($D44&gt;0,ROUND($D44,2)+ROW()/10000000,""),"")</f>
        <v/>
      </c>
      <c r="J44" s="106">
        <f>IF(AND(ISNUMBER($D44),OR($B44="Necessidade",$B44="Desejo"),MES_SEL&gt;1),$D44-INDEX('Fluxo anual'!$C53:$N53,MAX(1,MES_SEL-1)),"")</f>
        <v/>
      </c>
      <c r="K44" s="105">
        <f>IF(ISNUMBER($J44),IF($J44&gt;0.005,ROUND($J44,2)+ROW()/10000000,""),"")</f>
        <v/>
      </c>
    </row>
    <row r="45">
      <c r="A45" s="75">
        <f>IF('Fluxo anual'!A54="","",'Fluxo anual'!A54)</f>
        <v/>
      </c>
      <c r="B45" s="75">
        <f>IF($A45="","",'Fluxo anual'!B54)</f>
        <v/>
      </c>
      <c r="C45" s="84">
        <f>IF($A45="","",IF(OR($B45="Necessidade",$B45="Desejo",$B45="Poupança"),N(INDEX($F101:$Q101,MES_SEL)),""))</f>
        <v/>
      </c>
      <c r="D45" s="84">
        <f>IF($A45="","",IF(OR($B45="Necessidade",$B45="Desejo",$B45="Poupança"),INDEX('Fluxo anual'!$C54:$N54,MES_SEL),""))</f>
        <v/>
      </c>
      <c r="E45" s="84">
        <f>IF(OR($C45="",$D45=""),"",IF($B45="Poupança",D45-C45,C45-D45))</f>
        <v/>
      </c>
      <c r="F45" s="86">
        <f>IF(OR($C45="",$D45=""),"",IF($C45=0,"",E45/C45))</f>
        <v/>
      </c>
      <c r="G45" s="101">
        <f>IF(OR($C45="",$D45=""),"",IF($C45=0,"",D45/C45))</f>
        <v/>
      </c>
      <c r="H45" s="102">
        <f>IF(OR($C45="",$D45=""),"",IF(AND(C45=0,D45=0),"-",IF(C45=0,"Sem meta",IF($B45="Poupança",IF(D45&gt;=C45,"Meta atingida","Abaixo da meta"),IF(D45&gt;C45,"Estourou",IF(D45&gt;=0.9*C45,"Atenção","Dentro"))))))</f>
        <v/>
      </c>
      <c r="I45" s="105">
        <f>IF(AND(ISNUMBER($D45),OR($B45="Necessidade",$B45="Desejo")),IF($D45&gt;0,ROUND($D45,2)+ROW()/10000000,""),"")</f>
        <v/>
      </c>
      <c r="J45" s="106">
        <f>IF(AND(ISNUMBER($D45),OR($B45="Necessidade",$B45="Desejo"),MES_SEL&gt;1),$D45-INDEX('Fluxo anual'!$C54:$N54,MAX(1,MES_SEL-1)),"")</f>
        <v/>
      </c>
      <c r="K45" s="105">
        <f>IF(ISNUMBER($J45),IF($J45&gt;0.005,ROUND($J45,2)+ROW()/10000000,""),"")</f>
        <v/>
      </c>
    </row>
    <row r="46">
      <c r="A46" s="75">
        <f>IF('Fluxo anual'!A55="","",'Fluxo anual'!A55)</f>
        <v/>
      </c>
      <c r="B46" s="75">
        <f>IF($A46="","",'Fluxo anual'!B55)</f>
        <v/>
      </c>
      <c r="C46" s="84">
        <f>IF($A46="","",IF(OR($B46="Necessidade",$B46="Desejo",$B46="Poupança"),N(INDEX($F102:$Q102,MES_SEL)),""))</f>
        <v/>
      </c>
      <c r="D46" s="84">
        <f>IF($A46="","",IF(OR($B46="Necessidade",$B46="Desejo",$B46="Poupança"),INDEX('Fluxo anual'!$C55:$N55,MES_SEL),""))</f>
        <v/>
      </c>
      <c r="E46" s="84">
        <f>IF(OR($C46="",$D46=""),"",IF($B46="Poupança",D46-C46,C46-D46))</f>
        <v/>
      </c>
      <c r="F46" s="86">
        <f>IF(OR($C46="",$D46=""),"",IF($C46=0,"",E46/C46))</f>
        <v/>
      </c>
      <c r="G46" s="101">
        <f>IF(OR($C46="",$D46=""),"",IF($C46=0,"",D46/C46))</f>
        <v/>
      </c>
      <c r="H46" s="102">
        <f>IF(OR($C46="",$D46=""),"",IF(AND(C46=0,D46=0),"-",IF(C46=0,"Sem meta",IF($B46="Poupança",IF(D46&gt;=C46,"Meta atingida","Abaixo da meta"),IF(D46&gt;C46,"Estourou",IF(D46&gt;=0.9*C46,"Atenção","Dentro"))))))</f>
        <v/>
      </c>
      <c r="I46" s="105">
        <f>IF(AND(ISNUMBER($D46),OR($B46="Necessidade",$B46="Desejo")),IF($D46&gt;0,ROUND($D46,2)+ROW()/10000000,""),"")</f>
        <v/>
      </c>
      <c r="J46" s="106">
        <f>IF(AND(ISNUMBER($D46),OR($B46="Necessidade",$B46="Desejo"),MES_SEL&gt;1),$D46-INDEX('Fluxo anual'!$C55:$N55,MAX(1,MES_SEL-1)),"")</f>
        <v/>
      </c>
      <c r="K46" s="105">
        <f>IF(ISNUMBER($J46),IF($J46&gt;0.005,ROUND($J46,2)+ROW()/10000000,""),"")</f>
        <v/>
      </c>
    </row>
    <row r="47">
      <c r="A47" s="75">
        <f>IF('Fluxo anual'!A56="","",'Fluxo anual'!A56)</f>
        <v/>
      </c>
      <c r="B47" s="75">
        <f>IF($A47="","",'Fluxo anual'!B56)</f>
        <v/>
      </c>
      <c r="C47" s="84">
        <f>IF($A47="","",IF(OR($B47="Necessidade",$B47="Desejo",$B47="Poupança"),N(INDEX($F103:$Q103,MES_SEL)),""))</f>
        <v/>
      </c>
      <c r="D47" s="84">
        <f>IF($A47="","",IF(OR($B47="Necessidade",$B47="Desejo",$B47="Poupança"),INDEX('Fluxo anual'!$C56:$N56,MES_SEL),""))</f>
        <v/>
      </c>
      <c r="E47" s="84">
        <f>IF(OR($C47="",$D47=""),"",IF($B47="Poupança",D47-C47,C47-D47))</f>
        <v/>
      </c>
      <c r="F47" s="86">
        <f>IF(OR($C47="",$D47=""),"",IF($C47=0,"",E47/C47))</f>
        <v/>
      </c>
      <c r="G47" s="101">
        <f>IF(OR($C47="",$D47=""),"",IF($C47=0,"",D47/C47))</f>
        <v/>
      </c>
      <c r="H47" s="102">
        <f>IF(OR($C47="",$D47=""),"",IF(AND(C47=0,D47=0),"-",IF(C47=0,"Sem meta",IF($B47="Poupança",IF(D47&gt;=C47,"Meta atingida","Abaixo da meta"),IF(D47&gt;C47,"Estourou",IF(D47&gt;=0.9*C47,"Atenção","Dentro"))))))</f>
        <v/>
      </c>
      <c r="I47" s="105">
        <f>IF(AND(ISNUMBER($D47),OR($B47="Necessidade",$B47="Desejo")),IF($D47&gt;0,ROUND($D47,2)+ROW()/10000000,""),"")</f>
        <v/>
      </c>
      <c r="J47" s="106">
        <f>IF(AND(ISNUMBER($D47),OR($B47="Necessidade",$B47="Desejo"),MES_SEL&gt;1),$D47-INDEX('Fluxo anual'!$C56:$N56,MAX(1,MES_SEL-1)),"")</f>
        <v/>
      </c>
      <c r="K47" s="105">
        <f>IF(ISNUMBER($J47),IF($J47&gt;0.005,ROUND($J47,2)+ROW()/10000000,""),"")</f>
        <v/>
      </c>
    </row>
    <row r="48">
      <c r="A48" s="75">
        <f>IF('Fluxo anual'!A57="","",'Fluxo anual'!A57)</f>
        <v/>
      </c>
      <c r="B48" s="75">
        <f>IF($A48="","",'Fluxo anual'!B57)</f>
        <v/>
      </c>
      <c r="C48" s="84">
        <f>IF($A48="","",IF(OR($B48="Necessidade",$B48="Desejo",$B48="Poupança"),N(INDEX($F104:$Q104,MES_SEL)),""))</f>
        <v/>
      </c>
      <c r="D48" s="84">
        <f>IF($A48="","",IF(OR($B48="Necessidade",$B48="Desejo",$B48="Poupança"),INDEX('Fluxo anual'!$C57:$N57,MES_SEL),""))</f>
        <v/>
      </c>
      <c r="E48" s="84">
        <f>IF(OR($C48="",$D48=""),"",IF($B48="Poupança",D48-C48,C48-D48))</f>
        <v/>
      </c>
      <c r="F48" s="86">
        <f>IF(OR($C48="",$D48=""),"",IF($C48=0,"",E48/C48))</f>
        <v/>
      </c>
      <c r="G48" s="101">
        <f>IF(OR($C48="",$D48=""),"",IF($C48=0,"",D48/C48))</f>
        <v/>
      </c>
      <c r="H48" s="102">
        <f>IF(OR($C48="",$D48=""),"",IF(AND(C48=0,D48=0),"-",IF(C48=0,"Sem meta",IF($B48="Poupança",IF(D48&gt;=C48,"Meta atingida","Abaixo da meta"),IF(D48&gt;C48,"Estourou",IF(D48&gt;=0.9*C48,"Atenção","Dentro"))))))</f>
        <v/>
      </c>
      <c r="I48" s="105">
        <f>IF(AND(ISNUMBER($D48),OR($B48="Necessidade",$B48="Desejo")),IF($D48&gt;0,ROUND($D48,2)+ROW()/10000000,""),"")</f>
        <v/>
      </c>
      <c r="J48" s="106">
        <f>IF(AND(ISNUMBER($D48),OR($B48="Necessidade",$B48="Desejo"),MES_SEL&gt;1),$D48-INDEX('Fluxo anual'!$C57:$N57,MAX(1,MES_SEL-1)),"")</f>
        <v/>
      </c>
      <c r="K48" s="105">
        <f>IF(ISNUMBER($J48),IF($J48&gt;0.005,ROUND($J48,2)+ROW()/10000000,""),"")</f>
        <v/>
      </c>
    </row>
    <row r="49">
      <c r="A49" s="75">
        <f>IF('Fluxo anual'!A58="","",'Fluxo anual'!A58)</f>
        <v/>
      </c>
      <c r="B49" s="75">
        <f>IF($A49="","",'Fluxo anual'!B58)</f>
        <v/>
      </c>
      <c r="C49" s="84">
        <f>IF($A49="","",IF(OR($B49="Necessidade",$B49="Desejo",$B49="Poupança"),N(INDEX($F105:$Q105,MES_SEL)),""))</f>
        <v/>
      </c>
      <c r="D49" s="84">
        <f>IF($A49="","",IF(OR($B49="Necessidade",$B49="Desejo",$B49="Poupança"),INDEX('Fluxo anual'!$C58:$N58,MES_SEL),""))</f>
        <v/>
      </c>
      <c r="E49" s="84">
        <f>IF(OR($C49="",$D49=""),"",IF($B49="Poupança",D49-C49,C49-D49))</f>
        <v/>
      </c>
      <c r="F49" s="86">
        <f>IF(OR($C49="",$D49=""),"",IF($C49=0,"",E49/C49))</f>
        <v/>
      </c>
      <c r="G49" s="101">
        <f>IF(OR($C49="",$D49=""),"",IF($C49=0,"",D49/C49))</f>
        <v/>
      </c>
      <c r="H49" s="102">
        <f>IF(OR($C49="",$D49=""),"",IF(AND(C49=0,D49=0),"-",IF(C49=0,"Sem meta",IF($B49="Poupança",IF(D49&gt;=C49,"Meta atingida","Abaixo da meta"),IF(D49&gt;C49,"Estourou",IF(D49&gt;=0.9*C49,"Atenção","Dentro"))))))</f>
        <v/>
      </c>
      <c r="I49" s="105">
        <f>IF(AND(ISNUMBER($D49),OR($B49="Necessidade",$B49="Desejo")),IF($D49&gt;0,ROUND($D49,2)+ROW()/10000000,""),"")</f>
        <v/>
      </c>
      <c r="J49" s="106">
        <f>IF(AND(ISNUMBER($D49),OR($B49="Necessidade",$B49="Desejo"),MES_SEL&gt;1),$D49-INDEX('Fluxo anual'!$C58:$N58,MAX(1,MES_SEL-1)),"")</f>
        <v/>
      </c>
      <c r="K49" s="105">
        <f>IF(ISNUMBER($J49),IF($J49&gt;0.005,ROUND($J49,2)+ROW()/10000000,""),"")</f>
        <v/>
      </c>
    </row>
    <row r="50">
      <c r="A50" s="75">
        <f>IF('Fluxo anual'!A59="","",'Fluxo anual'!A59)</f>
        <v/>
      </c>
      <c r="B50" s="75">
        <f>IF($A50="","",'Fluxo anual'!B59)</f>
        <v/>
      </c>
      <c r="C50" s="84">
        <f>IF($A50="","",IF(OR($B50="Necessidade",$B50="Desejo",$B50="Poupança"),N(INDEX($F106:$Q106,MES_SEL)),""))</f>
        <v/>
      </c>
      <c r="D50" s="84">
        <f>IF($A50="","",IF(OR($B50="Necessidade",$B50="Desejo",$B50="Poupança"),INDEX('Fluxo anual'!$C59:$N59,MES_SEL),""))</f>
        <v/>
      </c>
      <c r="E50" s="84">
        <f>IF(OR($C50="",$D50=""),"",IF($B50="Poupança",D50-C50,C50-D50))</f>
        <v/>
      </c>
      <c r="F50" s="86">
        <f>IF(OR($C50="",$D50=""),"",IF($C50=0,"",E50/C50))</f>
        <v/>
      </c>
      <c r="G50" s="101">
        <f>IF(OR($C50="",$D50=""),"",IF($C50=0,"",D50/C50))</f>
        <v/>
      </c>
      <c r="H50" s="102">
        <f>IF(OR($C50="",$D50=""),"",IF(AND(C50=0,D50=0),"-",IF(C50=0,"Sem meta",IF($B50="Poupança",IF(D50&gt;=C50,"Meta atingida","Abaixo da meta"),IF(D50&gt;C50,"Estourou",IF(D50&gt;=0.9*C50,"Atenção","Dentro"))))))</f>
        <v/>
      </c>
      <c r="I50" s="105">
        <f>IF(AND(ISNUMBER($D50),OR($B50="Necessidade",$B50="Desejo")),IF($D50&gt;0,ROUND($D50,2)+ROW()/10000000,""),"")</f>
        <v/>
      </c>
      <c r="J50" s="106">
        <f>IF(AND(ISNUMBER($D50),OR($B50="Necessidade",$B50="Desejo"),MES_SEL&gt;1),$D50-INDEX('Fluxo anual'!$C59:$N59,MAX(1,MES_SEL-1)),"")</f>
        <v/>
      </c>
      <c r="K50" s="105">
        <f>IF(ISNUMBER($J50),IF($J50&gt;0.005,ROUND($J50,2)+ROW()/10000000,""),"")</f>
        <v/>
      </c>
    </row>
    <row r="51">
      <c r="A51" s="75">
        <f>IF('Fluxo anual'!A60="","",'Fluxo anual'!A60)</f>
        <v/>
      </c>
      <c r="B51" s="75">
        <f>IF($A51="","",'Fluxo anual'!B60)</f>
        <v/>
      </c>
      <c r="C51" s="84">
        <f>IF($A51="","",IF(OR($B51="Necessidade",$B51="Desejo",$B51="Poupança"),N(INDEX($F107:$Q107,MES_SEL)),""))</f>
        <v/>
      </c>
      <c r="D51" s="84">
        <f>IF($A51="","",IF(OR($B51="Necessidade",$B51="Desejo",$B51="Poupança"),INDEX('Fluxo anual'!$C60:$N60,MES_SEL),""))</f>
        <v/>
      </c>
      <c r="E51" s="84">
        <f>IF(OR($C51="",$D51=""),"",IF($B51="Poupança",D51-C51,C51-D51))</f>
        <v/>
      </c>
      <c r="F51" s="86">
        <f>IF(OR($C51="",$D51=""),"",IF($C51=0,"",E51/C51))</f>
        <v/>
      </c>
      <c r="G51" s="101">
        <f>IF(OR($C51="",$D51=""),"",IF($C51=0,"",D51/C51))</f>
        <v/>
      </c>
      <c r="H51" s="102">
        <f>IF(OR($C51="",$D51=""),"",IF(AND(C51=0,D51=0),"-",IF(C51=0,"Sem meta",IF($B51="Poupança",IF(D51&gt;=C51,"Meta atingida","Abaixo da meta"),IF(D51&gt;C51,"Estourou",IF(D51&gt;=0.9*C51,"Atenção","Dentro"))))))</f>
        <v/>
      </c>
      <c r="I51" s="105">
        <f>IF(AND(ISNUMBER($D51),OR($B51="Necessidade",$B51="Desejo")),IF($D51&gt;0,ROUND($D51,2)+ROW()/10000000,""),"")</f>
        <v/>
      </c>
      <c r="J51" s="106">
        <f>IF(AND(ISNUMBER($D51),OR($B51="Necessidade",$B51="Desejo"),MES_SEL&gt;1),$D51-INDEX('Fluxo anual'!$C60:$N60,MAX(1,MES_SEL-1)),"")</f>
        <v/>
      </c>
      <c r="K51" s="105">
        <f>IF(ISNUMBER($J51),IF($J51&gt;0.005,ROUND($J51,2)+ROW()/10000000,""),"")</f>
        <v/>
      </c>
    </row>
    <row r="52">
      <c r="A52" s="75">
        <f>IF('Fluxo anual'!A61="","",'Fluxo anual'!A61)</f>
        <v/>
      </c>
      <c r="B52" s="75">
        <f>IF($A52="","",'Fluxo anual'!B61)</f>
        <v/>
      </c>
      <c r="C52" s="84">
        <f>IF($A52="","",IF(OR($B52="Necessidade",$B52="Desejo",$B52="Poupança"),N(INDEX($F108:$Q108,MES_SEL)),""))</f>
        <v/>
      </c>
      <c r="D52" s="84">
        <f>IF($A52="","",IF(OR($B52="Necessidade",$B52="Desejo",$B52="Poupança"),INDEX('Fluxo anual'!$C61:$N61,MES_SEL),""))</f>
        <v/>
      </c>
      <c r="E52" s="84">
        <f>IF(OR($C52="",$D52=""),"",IF($B52="Poupança",D52-C52,C52-D52))</f>
        <v/>
      </c>
      <c r="F52" s="86">
        <f>IF(OR($C52="",$D52=""),"",IF($C52=0,"",E52/C52))</f>
        <v/>
      </c>
      <c r="G52" s="101">
        <f>IF(OR($C52="",$D52=""),"",IF($C52=0,"",D52/C52))</f>
        <v/>
      </c>
      <c r="H52" s="102">
        <f>IF(OR($C52="",$D52=""),"",IF(AND(C52=0,D52=0),"-",IF(C52=0,"Sem meta",IF($B52="Poupança",IF(D52&gt;=C52,"Meta atingida","Abaixo da meta"),IF(D52&gt;C52,"Estourou",IF(D52&gt;=0.9*C52,"Atenção","Dentro"))))))</f>
        <v/>
      </c>
      <c r="I52" s="105">
        <f>IF(AND(ISNUMBER($D52),OR($B52="Necessidade",$B52="Desejo")),IF($D52&gt;0,ROUND($D52,2)+ROW()/10000000,""),"")</f>
        <v/>
      </c>
      <c r="J52" s="106">
        <f>IF(AND(ISNUMBER($D52),OR($B52="Necessidade",$B52="Desejo"),MES_SEL&gt;1),$D52-INDEX('Fluxo anual'!$C61:$N61,MAX(1,MES_SEL-1)),"")</f>
        <v/>
      </c>
      <c r="K52" s="105">
        <f>IF(ISNUMBER($J52),IF($J52&gt;0.005,ROUND($J52,2)+ROW()/10000000,""),"")</f>
        <v/>
      </c>
    </row>
    <row r="53">
      <c r="A53" s="75">
        <f>IF('Fluxo anual'!A62="","",'Fluxo anual'!A62)</f>
        <v/>
      </c>
      <c r="B53" s="75">
        <f>IF($A53="","",'Fluxo anual'!B62)</f>
        <v/>
      </c>
      <c r="C53" s="84">
        <f>IF($A53="","",IF(OR($B53="Necessidade",$B53="Desejo",$B53="Poupança"),N(INDEX($F109:$Q109,MES_SEL)),""))</f>
        <v/>
      </c>
      <c r="D53" s="84">
        <f>IF($A53="","",IF(OR($B53="Necessidade",$B53="Desejo",$B53="Poupança"),INDEX('Fluxo anual'!$C62:$N62,MES_SEL),""))</f>
        <v/>
      </c>
      <c r="E53" s="84">
        <f>IF(OR($C53="",$D53=""),"",IF($B53="Poupança",D53-C53,C53-D53))</f>
        <v/>
      </c>
      <c r="F53" s="86">
        <f>IF(OR($C53="",$D53=""),"",IF($C53=0,"",E53/C53))</f>
        <v/>
      </c>
      <c r="G53" s="101">
        <f>IF(OR($C53="",$D53=""),"",IF($C53=0,"",D53/C53))</f>
        <v/>
      </c>
      <c r="H53" s="102">
        <f>IF(OR($C53="",$D53=""),"",IF(AND(C53=0,D53=0),"-",IF(C53=0,"Sem meta",IF($B53="Poupança",IF(D53&gt;=C53,"Meta atingida","Abaixo da meta"),IF(D53&gt;C53,"Estourou",IF(D53&gt;=0.9*C53,"Atenção","Dentro"))))))</f>
        <v/>
      </c>
      <c r="I53" s="105">
        <f>IF(AND(ISNUMBER($D53),OR($B53="Necessidade",$B53="Desejo")),IF($D53&gt;0,ROUND($D53,2)+ROW()/10000000,""),"")</f>
        <v/>
      </c>
      <c r="J53" s="106">
        <f>IF(AND(ISNUMBER($D53),OR($B53="Necessidade",$B53="Desejo"),MES_SEL&gt;1),$D53-INDEX('Fluxo anual'!$C62:$N62,MAX(1,MES_SEL-1)),"")</f>
        <v/>
      </c>
      <c r="K53" s="105">
        <f>IF(ISNUMBER($J53),IF($J53&gt;0.005,ROUND($J53,2)+ROW()/10000000,""),"")</f>
        <v/>
      </c>
    </row>
    <row r="54">
      <c r="A54" s="75">
        <f>IF('Fluxo anual'!A63="","",'Fluxo anual'!A63)</f>
        <v/>
      </c>
      <c r="B54" s="75">
        <f>IF($A54="","",'Fluxo anual'!B63)</f>
        <v/>
      </c>
      <c r="C54" s="84">
        <f>IF($A54="","",IF(OR($B54="Necessidade",$B54="Desejo",$B54="Poupança"),N(INDEX($F110:$Q110,MES_SEL)),""))</f>
        <v/>
      </c>
      <c r="D54" s="84">
        <f>IF($A54="","",IF(OR($B54="Necessidade",$B54="Desejo",$B54="Poupança"),INDEX('Fluxo anual'!$C63:$N63,MES_SEL),""))</f>
        <v/>
      </c>
      <c r="E54" s="84">
        <f>IF(OR($C54="",$D54=""),"",IF($B54="Poupança",D54-C54,C54-D54))</f>
        <v/>
      </c>
      <c r="F54" s="86">
        <f>IF(OR($C54="",$D54=""),"",IF($C54=0,"",E54/C54))</f>
        <v/>
      </c>
      <c r="G54" s="101">
        <f>IF(OR($C54="",$D54=""),"",IF($C54=0,"",D54/C54))</f>
        <v/>
      </c>
      <c r="H54" s="102">
        <f>IF(OR($C54="",$D54=""),"",IF(AND(C54=0,D54=0),"-",IF(C54=0,"Sem meta",IF($B54="Poupança",IF(D54&gt;=C54,"Meta atingida","Abaixo da meta"),IF(D54&gt;C54,"Estourou",IF(D54&gt;=0.9*C54,"Atenção","Dentro"))))))</f>
        <v/>
      </c>
      <c r="I54" s="105">
        <f>IF(AND(ISNUMBER($D54),OR($B54="Necessidade",$B54="Desejo")),IF($D54&gt;0,ROUND($D54,2)+ROW()/10000000,""),"")</f>
        <v/>
      </c>
      <c r="J54" s="106">
        <f>IF(AND(ISNUMBER($D54),OR($B54="Necessidade",$B54="Desejo"),MES_SEL&gt;1),$D54-INDEX('Fluxo anual'!$C63:$N63,MAX(1,MES_SEL-1)),"")</f>
        <v/>
      </c>
      <c r="K54" s="105">
        <f>IF(ISNUMBER($J54),IF($J54&gt;0.005,ROUND($J54,2)+ROW()/10000000,""),"")</f>
        <v/>
      </c>
    </row>
    <row r="55">
      <c r="A55" s="75">
        <f>IF('Fluxo anual'!A64="","",'Fluxo anual'!A64)</f>
        <v/>
      </c>
      <c r="B55" s="75">
        <f>IF($A55="","",'Fluxo anual'!B64)</f>
        <v/>
      </c>
      <c r="C55" s="84">
        <f>IF($A55="","",IF(OR($B55="Necessidade",$B55="Desejo",$B55="Poupança"),N(INDEX($F111:$Q111,MES_SEL)),""))</f>
        <v/>
      </c>
      <c r="D55" s="84">
        <f>IF($A55="","",IF(OR($B55="Necessidade",$B55="Desejo",$B55="Poupança"),INDEX('Fluxo anual'!$C64:$N64,MES_SEL),""))</f>
        <v/>
      </c>
      <c r="E55" s="84">
        <f>IF(OR($C55="",$D55=""),"",IF($B55="Poupança",D55-C55,C55-D55))</f>
        <v/>
      </c>
      <c r="F55" s="86">
        <f>IF(OR($C55="",$D55=""),"",IF($C55=0,"",E55/C55))</f>
        <v/>
      </c>
      <c r="G55" s="101">
        <f>IF(OR($C55="",$D55=""),"",IF($C55=0,"",D55/C55))</f>
        <v/>
      </c>
      <c r="H55" s="102">
        <f>IF(OR($C55="",$D55=""),"",IF(AND(C55=0,D55=0),"-",IF(C55=0,"Sem meta",IF($B55="Poupança",IF(D55&gt;=C55,"Meta atingida","Abaixo da meta"),IF(D55&gt;C55,"Estourou",IF(D55&gt;=0.9*C55,"Atenção","Dentro"))))))</f>
        <v/>
      </c>
      <c r="I55" s="105">
        <f>IF(AND(ISNUMBER($D55),OR($B55="Necessidade",$B55="Desejo")),IF($D55&gt;0,ROUND($D55,2)+ROW()/10000000,""),"")</f>
        <v/>
      </c>
      <c r="J55" s="106">
        <f>IF(AND(ISNUMBER($D55),OR($B55="Necessidade",$B55="Desejo"),MES_SEL&gt;1),$D55-INDEX('Fluxo anual'!$C64:$N64,MAX(1,MES_SEL-1)),"")</f>
        <v/>
      </c>
      <c r="K55" s="105">
        <f>IF(ISNUMBER($J55),IF($J55&gt;0.005,ROUND($J55,2)+ROW()/10000000,""),"")</f>
        <v/>
      </c>
    </row>
    <row r="56">
      <c r="A56" s="75">
        <f>IF('Fluxo anual'!A65="","",'Fluxo anual'!A65)</f>
        <v/>
      </c>
      <c r="B56" s="75">
        <f>IF($A56="","",'Fluxo anual'!B65)</f>
        <v/>
      </c>
      <c r="C56" s="84">
        <f>IF($A56="","",IF(OR($B56="Necessidade",$B56="Desejo",$B56="Poupança"),N(INDEX($F112:$Q112,MES_SEL)),""))</f>
        <v/>
      </c>
      <c r="D56" s="84">
        <f>IF($A56="","",IF(OR($B56="Necessidade",$B56="Desejo",$B56="Poupança"),INDEX('Fluxo anual'!$C65:$N65,MES_SEL),""))</f>
        <v/>
      </c>
      <c r="E56" s="84">
        <f>IF(OR($C56="",$D56=""),"",IF($B56="Poupança",D56-C56,C56-D56))</f>
        <v/>
      </c>
      <c r="F56" s="86">
        <f>IF(OR($C56="",$D56=""),"",IF($C56=0,"",E56/C56))</f>
        <v/>
      </c>
      <c r="G56" s="101">
        <f>IF(OR($C56="",$D56=""),"",IF($C56=0,"",D56/C56))</f>
        <v/>
      </c>
      <c r="H56" s="102">
        <f>IF(OR($C56="",$D56=""),"",IF(AND(C56=0,D56=0),"-",IF(C56=0,"Sem meta",IF($B56="Poupança",IF(D56&gt;=C56,"Meta atingida","Abaixo da meta"),IF(D56&gt;C56,"Estourou",IF(D56&gt;=0.9*C56,"Atenção","Dentro"))))))</f>
        <v/>
      </c>
      <c r="I56" s="105">
        <f>IF(AND(ISNUMBER($D56),OR($B56="Necessidade",$B56="Desejo")),IF($D56&gt;0,ROUND($D56,2)+ROW()/10000000,""),"")</f>
        <v/>
      </c>
      <c r="J56" s="106">
        <f>IF(AND(ISNUMBER($D56),OR($B56="Necessidade",$B56="Desejo"),MES_SEL&gt;1),$D56-INDEX('Fluxo anual'!$C65:$N65,MAX(1,MES_SEL-1)),"")</f>
        <v/>
      </c>
      <c r="K56" s="105">
        <f>IF(ISNUMBER($J56),IF($J56&gt;0.005,ROUND($J56,2)+ROW()/10000000,""),"")</f>
        <v/>
      </c>
    </row>
    <row r="57">
      <c r="A57" s="75">
        <f>IF('Fluxo anual'!A66="","",'Fluxo anual'!A66)</f>
        <v/>
      </c>
      <c r="B57" s="75">
        <f>IF($A57="","",'Fluxo anual'!B66)</f>
        <v/>
      </c>
      <c r="C57" s="84">
        <f>IF($A57="","",IF(OR($B57="Necessidade",$B57="Desejo",$B57="Poupança"),N(INDEX($F113:$Q113,MES_SEL)),""))</f>
        <v/>
      </c>
      <c r="D57" s="84">
        <f>IF($A57="","",IF(OR($B57="Necessidade",$B57="Desejo",$B57="Poupança"),INDEX('Fluxo anual'!$C66:$N66,MES_SEL),""))</f>
        <v/>
      </c>
      <c r="E57" s="84">
        <f>IF(OR($C57="",$D57=""),"",IF($B57="Poupança",D57-C57,C57-D57))</f>
        <v/>
      </c>
      <c r="F57" s="86">
        <f>IF(OR($C57="",$D57=""),"",IF($C57=0,"",E57/C57))</f>
        <v/>
      </c>
      <c r="G57" s="101">
        <f>IF(OR($C57="",$D57=""),"",IF($C57=0,"",D57/C57))</f>
        <v/>
      </c>
      <c r="H57" s="102">
        <f>IF(OR($C57="",$D57=""),"",IF(AND(C57=0,D57=0),"-",IF(C57=0,"Sem meta",IF($B57="Poupança",IF(D57&gt;=C57,"Meta atingida","Abaixo da meta"),IF(D57&gt;C57,"Estourou",IF(D57&gt;=0.9*C57,"Atenção","Dentro"))))))</f>
        <v/>
      </c>
      <c r="I57" s="105">
        <f>IF(AND(ISNUMBER($D57),OR($B57="Necessidade",$B57="Desejo")),IF($D57&gt;0,ROUND($D57,2)+ROW()/10000000,""),"")</f>
        <v/>
      </c>
      <c r="J57" s="106">
        <f>IF(AND(ISNUMBER($D57),OR($B57="Necessidade",$B57="Desejo"),MES_SEL&gt;1),$D57-INDEX('Fluxo anual'!$C66:$N66,MAX(1,MES_SEL-1)),"")</f>
        <v/>
      </c>
      <c r="K57" s="105">
        <f>IF(ISNUMBER($J57),IF($J57&gt;0.005,ROUND($J57,2)+ROW()/10000000,""),"")</f>
        <v/>
      </c>
    </row>
    <row r="58">
      <c r="A58" s="75">
        <f>IF('Fluxo anual'!A67="","",'Fluxo anual'!A67)</f>
        <v/>
      </c>
      <c r="B58" s="75">
        <f>IF($A58="","",'Fluxo anual'!B67)</f>
        <v/>
      </c>
      <c r="C58" s="84">
        <f>IF($A58="","",IF(OR($B58="Necessidade",$B58="Desejo",$B58="Poupança"),N(INDEX($F114:$Q114,MES_SEL)),""))</f>
        <v/>
      </c>
      <c r="D58" s="84">
        <f>IF($A58="","",IF(OR($B58="Necessidade",$B58="Desejo",$B58="Poupança"),INDEX('Fluxo anual'!$C67:$N67,MES_SEL),""))</f>
        <v/>
      </c>
      <c r="E58" s="84">
        <f>IF(OR($C58="",$D58=""),"",IF($B58="Poupança",D58-C58,C58-D58))</f>
        <v/>
      </c>
      <c r="F58" s="86">
        <f>IF(OR($C58="",$D58=""),"",IF($C58=0,"",E58/C58))</f>
        <v/>
      </c>
      <c r="G58" s="101">
        <f>IF(OR($C58="",$D58=""),"",IF($C58=0,"",D58/C58))</f>
        <v/>
      </c>
      <c r="H58" s="102">
        <f>IF(OR($C58="",$D58=""),"",IF(AND(C58=0,D58=0),"-",IF(C58=0,"Sem meta",IF($B58="Poupança",IF(D58&gt;=C58,"Meta atingida","Abaixo da meta"),IF(D58&gt;C58,"Estourou",IF(D58&gt;=0.9*C58,"Atenção","Dentro"))))))</f>
        <v/>
      </c>
      <c r="I58" s="105">
        <f>IF(AND(ISNUMBER($D58),OR($B58="Necessidade",$B58="Desejo")),IF($D58&gt;0,ROUND($D58,2)+ROW()/10000000,""),"")</f>
        <v/>
      </c>
      <c r="J58" s="106">
        <f>IF(AND(ISNUMBER($D58),OR($B58="Necessidade",$B58="Desejo"),MES_SEL&gt;1),$D58-INDEX('Fluxo anual'!$C67:$N67,MAX(1,MES_SEL-1)),"")</f>
        <v/>
      </c>
      <c r="K58" s="105">
        <f>IF(ISNUMBER($J58),IF($J58&gt;0.005,ROUND($J58,2)+ROW()/10000000,""),"")</f>
        <v/>
      </c>
    </row>
    <row r="59">
      <c r="A59" s="75">
        <f>IF('Fluxo anual'!A68="","",'Fluxo anual'!A68)</f>
        <v/>
      </c>
      <c r="B59" s="75">
        <f>IF($A59="","",'Fluxo anual'!B68)</f>
        <v/>
      </c>
      <c r="C59" s="84">
        <f>IF($A59="","",IF(OR($B59="Necessidade",$B59="Desejo",$B59="Poupança"),N(INDEX($F115:$Q115,MES_SEL)),""))</f>
        <v/>
      </c>
      <c r="D59" s="84">
        <f>IF($A59="","",IF(OR($B59="Necessidade",$B59="Desejo",$B59="Poupança"),INDEX('Fluxo anual'!$C68:$N68,MES_SEL),""))</f>
        <v/>
      </c>
      <c r="E59" s="84">
        <f>IF(OR($C59="",$D59=""),"",IF($B59="Poupança",D59-C59,C59-D59))</f>
        <v/>
      </c>
      <c r="F59" s="86">
        <f>IF(OR($C59="",$D59=""),"",IF($C59=0,"",E59/C59))</f>
        <v/>
      </c>
      <c r="G59" s="101">
        <f>IF(OR($C59="",$D59=""),"",IF($C59=0,"",D59/C59))</f>
        <v/>
      </c>
      <c r="H59" s="102">
        <f>IF(OR($C59="",$D59=""),"",IF(AND(C59=0,D59=0),"-",IF(C59=0,"Sem meta",IF($B59="Poupança",IF(D59&gt;=C59,"Meta atingida","Abaixo da meta"),IF(D59&gt;C59,"Estourou",IF(D59&gt;=0.9*C59,"Atenção","Dentro"))))))</f>
        <v/>
      </c>
      <c r="I59" s="105">
        <f>IF(AND(ISNUMBER($D59),OR($B59="Necessidade",$B59="Desejo")),IF($D59&gt;0,ROUND($D59,2)+ROW()/10000000,""),"")</f>
        <v/>
      </c>
      <c r="J59" s="106">
        <f>IF(AND(ISNUMBER($D59),OR($B59="Necessidade",$B59="Desejo"),MES_SEL&gt;1),$D59-INDEX('Fluxo anual'!$C68:$N68,MAX(1,MES_SEL-1)),"")</f>
        <v/>
      </c>
      <c r="K59" s="105">
        <f>IF(ISNUMBER($J59),IF($J59&gt;0.005,ROUND($J59,2)+ROW()/10000000,""),"")</f>
        <v/>
      </c>
    </row>
    <row r="60">
      <c r="A60" s="75">
        <f>IF('Fluxo anual'!A69="","",'Fluxo anual'!A69)</f>
        <v/>
      </c>
      <c r="B60" s="75">
        <f>IF($A60="","",'Fluxo anual'!B69)</f>
        <v/>
      </c>
      <c r="C60" s="84">
        <f>IF($A60="","",IF(OR($B60="Necessidade",$B60="Desejo",$B60="Poupança"),N(INDEX($F116:$Q116,MES_SEL)),""))</f>
        <v/>
      </c>
      <c r="D60" s="84">
        <f>IF($A60="","",IF(OR($B60="Necessidade",$B60="Desejo",$B60="Poupança"),INDEX('Fluxo anual'!$C69:$N69,MES_SEL),""))</f>
        <v/>
      </c>
      <c r="E60" s="84">
        <f>IF(OR($C60="",$D60=""),"",IF($B60="Poupança",D60-C60,C60-D60))</f>
        <v/>
      </c>
      <c r="F60" s="86">
        <f>IF(OR($C60="",$D60=""),"",IF($C60=0,"",E60/C60))</f>
        <v/>
      </c>
      <c r="G60" s="101">
        <f>IF(OR($C60="",$D60=""),"",IF($C60=0,"",D60/C60))</f>
        <v/>
      </c>
      <c r="H60" s="102">
        <f>IF(OR($C60="",$D60=""),"",IF(AND(C60=0,D60=0),"-",IF(C60=0,"Sem meta",IF($B60="Poupança",IF(D60&gt;=C60,"Meta atingida","Abaixo da meta"),IF(D60&gt;C60,"Estourou",IF(D60&gt;=0.9*C60,"Atenção","Dentro"))))))</f>
        <v/>
      </c>
      <c r="I60" s="105">
        <f>IF(AND(ISNUMBER($D60),OR($B60="Necessidade",$B60="Desejo")),IF($D60&gt;0,ROUND($D60,2)+ROW()/10000000,""),"")</f>
        <v/>
      </c>
      <c r="J60" s="106">
        <f>IF(AND(ISNUMBER($D60),OR($B60="Necessidade",$B60="Desejo"),MES_SEL&gt;1),$D60-INDEX('Fluxo anual'!$C69:$N69,MAX(1,MES_SEL-1)),"")</f>
        <v/>
      </c>
      <c r="K60" s="105">
        <f>IF(ISNUMBER($J60),IF($J60&gt;0.005,ROUND($J60,2)+ROW()/10000000,""),"")</f>
        <v/>
      </c>
    </row>
    <row r="61">
      <c r="A61" s="75">
        <f>IF('Fluxo anual'!A70="","",'Fluxo anual'!A70)</f>
        <v/>
      </c>
      <c r="B61" s="75">
        <f>IF($A61="","",'Fluxo anual'!B70)</f>
        <v/>
      </c>
      <c r="C61" s="84">
        <f>IF($A61="","",IF(OR($B61="Necessidade",$B61="Desejo",$B61="Poupança"),N(INDEX($F117:$Q117,MES_SEL)),""))</f>
        <v/>
      </c>
      <c r="D61" s="84">
        <f>IF($A61="","",IF(OR($B61="Necessidade",$B61="Desejo",$B61="Poupança"),INDEX('Fluxo anual'!$C70:$N70,MES_SEL),""))</f>
        <v/>
      </c>
      <c r="E61" s="84">
        <f>IF(OR($C61="",$D61=""),"",IF($B61="Poupança",D61-C61,C61-D61))</f>
        <v/>
      </c>
      <c r="F61" s="86">
        <f>IF(OR($C61="",$D61=""),"",IF($C61=0,"",E61/C61))</f>
        <v/>
      </c>
      <c r="G61" s="101">
        <f>IF(OR($C61="",$D61=""),"",IF($C61=0,"",D61/C61))</f>
        <v/>
      </c>
      <c r="H61" s="102">
        <f>IF(OR($C61="",$D61=""),"",IF(AND(C61=0,D61=0),"-",IF(C61=0,"Sem meta",IF($B61="Poupança",IF(D61&gt;=C61,"Meta atingida","Abaixo da meta"),IF(D61&gt;C61,"Estourou",IF(D61&gt;=0.9*C61,"Atenção","Dentro"))))))</f>
        <v/>
      </c>
      <c r="I61" s="105">
        <f>IF(AND(ISNUMBER($D61),OR($B61="Necessidade",$B61="Desejo")),IF($D61&gt;0,ROUND($D61,2)+ROW()/10000000,""),"")</f>
        <v/>
      </c>
      <c r="J61" s="106">
        <f>IF(AND(ISNUMBER($D61),OR($B61="Necessidade",$B61="Desejo"),MES_SEL&gt;1),$D61-INDEX('Fluxo anual'!$C70:$N70,MAX(1,MES_SEL-1)),"")</f>
        <v/>
      </c>
      <c r="K61" s="105">
        <f>IF(ISNUMBER($J61),IF($J61&gt;0.005,ROUND($J61,2)+ROW()/10000000,""),"")</f>
        <v/>
      </c>
    </row>
    <row r="62">
      <c r="A62" s="75">
        <f>IF('Fluxo anual'!A71="","",'Fluxo anual'!A71)</f>
        <v/>
      </c>
      <c r="B62" s="75">
        <f>IF($A62="","",'Fluxo anual'!B71)</f>
        <v/>
      </c>
      <c r="C62" s="84">
        <f>IF($A62="","",IF(OR($B62="Necessidade",$B62="Desejo",$B62="Poupança"),N(INDEX($F118:$Q118,MES_SEL)),""))</f>
        <v/>
      </c>
      <c r="D62" s="84">
        <f>IF($A62="","",IF(OR($B62="Necessidade",$B62="Desejo",$B62="Poupança"),INDEX('Fluxo anual'!$C71:$N71,MES_SEL),""))</f>
        <v/>
      </c>
      <c r="E62" s="84">
        <f>IF(OR($C62="",$D62=""),"",IF($B62="Poupança",D62-C62,C62-D62))</f>
        <v/>
      </c>
      <c r="F62" s="86">
        <f>IF(OR($C62="",$D62=""),"",IF($C62=0,"",E62/C62))</f>
        <v/>
      </c>
      <c r="G62" s="101">
        <f>IF(OR($C62="",$D62=""),"",IF($C62=0,"",D62/C62))</f>
        <v/>
      </c>
      <c r="H62" s="102">
        <f>IF(OR($C62="",$D62=""),"",IF(AND(C62=0,D62=0),"-",IF(C62=0,"Sem meta",IF($B62="Poupança",IF(D62&gt;=C62,"Meta atingida","Abaixo da meta"),IF(D62&gt;C62,"Estourou",IF(D62&gt;=0.9*C62,"Atenção","Dentro"))))))</f>
        <v/>
      </c>
      <c r="I62" s="105">
        <f>IF(AND(ISNUMBER($D62),OR($B62="Necessidade",$B62="Desejo")),IF($D62&gt;0,ROUND($D62,2)+ROW()/10000000,""),"")</f>
        <v/>
      </c>
      <c r="J62" s="106">
        <f>IF(AND(ISNUMBER($D62),OR($B62="Necessidade",$B62="Desejo"),MES_SEL&gt;1),$D62-INDEX('Fluxo anual'!$C71:$N71,MAX(1,MES_SEL-1)),"")</f>
        <v/>
      </c>
      <c r="K62" s="105">
        <f>IF(ISNUMBER($J62),IF($J62&gt;0.005,ROUND($J62,2)+ROW()/10000000,""),"")</f>
        <v/>
      </c>
    </row>
    <row r="63">
      <c r="A63" s="75">
        <f>IF('Fluxo anual'!A72="","",'Fluxo anual'!A72)</f>
        <v/>
      </c>
      <c r="B63" s="75">
        <f>IF($A63="","",'Fluxo anual'!B72)</f>
        <v/>
      </c>
      <c r="C63" s="84">
        <f>IF($A63="","",IF(OR($B63="Necessidade",$B63="Desejo",$B63="Poupança"),N(INDEX($F119:$Q119,MES_SEL)),""))</f>
        <v/>
      </c>
      <c r="D63" s="84">
        <f>IF($A63="","",IF(OR($B63="Necessidade",$B63="Desejo",$B63="Poupança"),INDEX('Fluxo anual'!$C72:$N72,MES_SEL),""))</f>
        <v/>
      </c>
      <c r="E63" s="84">
        <f>IF(OR($C63="",$D63=""),"",IF($B63="Poupança",D63-C63,C63-D63))</f>
        <v/>
      </c>
      <c r="F63" s="86">
        <f>IF(OR($C63="",$D63=""),"",IF($C63=0,"",E63/C63))</f>
        <v/>
      </c>
      <c r="G63" s="101">
        <f>IF(OR($C63="",$D63=""),"",IF($C63=0,"",D63/C63))</f>
        <v/>
      </c>
      <c r="H63" s="102">
        <f>IF(OR($C63="",$D63=""),"",IF(AND(C63=0,D63=0),"-",IF(C63=0,"Sem meta",IF($B63="Poupança",IF(D63&gt;=C63,"Meta atingida","Abaixo da meta"),IF(D63&gt;C63,"Estourou",IF(D63&gt;=0.9*C63,"Atenção","Dentro"))))))</f>
        <v/>
      </c>
      <c r="I63" s="105">
        <f>IF(AND(ISNUMBER($D63),OR($B63="Necessidade",$B63="Desejo")),IF($D63&gt;0,ROUND($D63,2)+ROW()/10000000,""),"")</f>
        <v/>
      </c>
      <c r="J63" s="106">
        <f>IF(AND(ISNUMBER($D63),OR($B63="Necessidade",$B63="Desejo"),MES_SEL&gt;1),$D63-INDEX('Fluxo anual'!$C72:$N72,MAX(1,MES_SEL-1)),"")</f>
        <v/>
      </c>
      <c r="K63" s="105">
        <f>IF(ISNUMBER($J63),IF($J63&gt;0.005,ROUND($J63,2)+ROW()/10000000,""),"")</f>
        <v/>
      </c>
    </row>
    <row r="64">
      <c r="A64" s="75">
        <f>IF('Fluxo anual'!A73="","",'Fluxo anual'!A73)</f>
        <v/>
      </c>
      <c r="B64" s="75">
        <f>IF($A64="","",'Fluxo anual'!B73)</f>
        <v/>
      </c>
      <c r="C64" s="84">
        <f>IF($A64="","",IF(OR($B64="Necessidade",$B64="Desejo",$B64="Poupança"),N(INDEX($F120:$Q120,MES_SEL)),""))</f>
        <v/>
      </c>
      <c r="D64" s="84">
        <f>IF($A64="","",IF(OR($B64="Necessidade",$B64="Desejo",$B64="Poupança"),INDEX('Fluxo anual'!$C73:$N73,MES_SEL),""))</f>
        <v/>
      </c>
      <c r="E64" s="84">
        <f>IF(OR($C64="",$D64=""),"",IF($B64="Poupança",D64-C64,C64-D64))</f>
        <v/>
      </c>
      <c r="F64" s="86">
        <f>IF(OR($C64="",$D64=""),"",IF($C64=0,"",E64/C64))</f>
        <v/>
      </c>
      <c r="G64" s="101">
        <f>IF(OR($C64="",$D64=""),"",IF($C64=0,"",D64/C64))</f>
        <v/>
      </c>
      <c r="H64" s="102">
        <f>IF(OR($C64="",$D64=""),"",IF(AND(C64=0,D64=0),"-",IF(C64=0,"Sem meta",IF($B64="Poupança",IF(D64&gt;=C64,"Meta atingida","Abaixo da meta"),IF(D64&gt;C64,"Estourou",IF(D64&gt;=0.9*C64,"Atenção","Dentro"))))))</f>
        <v/>
      </c>
      <c r="I64" s="105">
        <f>IF(AND(ISNUMBER($D64),OR($B64="Necessidade",$B64="Desejo")),IF($D64&gt;0,ROUND($D64,2)+ROW()/10000000,""),"")</f>
        <v/>
      </c>
      <c r="J64" s="106">
        <f>IF(AND(ISNUMBER($D64),OR($B64="Necessidade",$B64="Desejo"),MES_SEL&gt;1),$D64-INDEX('Fluxo anual'!$C73:$N73,MAX(1,MES_SEL-1)),"")</f>
        <v/>
      </c>
      <c r="K64" s="105">
        <f>IF(ISNUMBER($J64),IF($J64&gt;0.005,ROUND($J64,2)+ROW()/10000000,""),"")</f>
        <v/>
      </c>
    </row>
    <row r="65">
      <c r="A65" s="75">
        <f>IF('Fluxo anual'!A74="","",'Fluxo anual'!A74)</f>
        <v/>
      </c>
      <c r="B65" s="75">
        <f>IF($A65="","",'Fluxo anual'!B74)</f>
        <v/>
      </c>
      <c r="C65" s="84">
        <f>IF($A65="","",IF(OR($B65="Necessidade",$B65="Desejo",$B65="Poupança"),N(INDEX($F121:$Q121,MES_SEL)),""))</f>
        <v/>
      </c>
      <c r="D65" s="84">
        <f>IF($A65="","",IF(OR($B65="Necessidade",$B65="Desejo",$B65="Poupança"),INDEX('Fluxo anual'!$C74:$N74,MES_SEL),""))</f>
        <v/>
      </c>
      <c r="E65" s="84">
        <f>IF(OR($C65="",$D65=""),"",IF($B65="Poupança",D65-C65,C65-D65))</f>
        <v/>
      </c>
      <c r="F65" s="86">
        <f>IF(OR($C65="",$D65=""),"",IF($C65=0,"",E65/C65))</f>
        <v/>
      </c>
      <c r="G65" s="101">
        <f>IF(OR($C65="",$D65=""),"",IF($C65=0,"",D65/C65))</f>
        <v/>
      </c>
      <c r="H65" s="102">
        <f>IF(OR($C65="",$D65=""),"",IF(AND(C65=0,D65=0),"-",IF(C65=0,"Sem meta",IF($B65="Poupança",IF(D65&gt;=C65,"Meta atingida","Abaixo da meta"),IF(D65&gt;C65,"Estourou",IF(D65&gt;=0.9*C65,"Atenção","Dentro"))))))</f>
        <v/>
      </c>
      <c r="I65" s="105">
        <f>IF(AND(ISNUMBER($D65),OR($B65="Necessidade",$B65="Desejo")),IF($D65&gt;0,ROUND($D65,2)+ROW()/10000000,""),"")</f>
        <v/>
      </c>
      <c r="J65" s="106">
        <f>IF(AND(ISNUMBER($D65),OR($B65="Necessidade",$B65="Desejo"),MES_SEL&gt;1),$D65-INDEX('Fluxo anual'!$C74:$N74,MAX(1,MES_SEL-1)),"")</f>
        <v/>
      </c>
      <c r="K65" s="105">
        <f>IF(ISNUMBER($J65),IF($J65&gt;0.005,ROUND($J65,2)+ROW()/10000000,""),"")</f>
        <v/>
      </c>
    </row>
    <row r="66">
      <c r="A66" s="75">
        <f>IF('Fluxo anual'!A75="","",'Fluxo anual'!A75)</f>
        <v/>
      </c>
      <c r="B66" s="75">
        <f>IF($A66="","",'Fluxo anual'!B75)</f>
        <v/>
      </c>
      <c r="C66" s="84">
        <f>IF($A66="","",IF(OR($B66="Necessidade",$B66="Desejo",$B66="Poupança"),N(INDEX($F122:$Q122,MES_SEL)),""))</f>
        <v/>
      </c>
      <c r="D66" s="84">
        <f>IF($A66="","",IF(OR($B66="Necessidade",$B66="Desejo",$B66="Poupança"),INDEX('Fluxo anual'!$C75:$N75,MES_SEL),""))</f>
        <v/>
      </c>
      <c r="E66" s="84">
        <f>IF(OR($C66="",$D66=""),"",IF($B66="Poupança",D66-C66,C66-D66))</f>
        <v/>
      </c>
      <c r="F66" s="86">
        <f>IF(OR($C66="",$D66=""),"",IF($C66=0,"",E66/C66))</f>
        <v/>
      </c>
      <c r="G66" s="101">
        <f>IF(OR($C66="",$D66=""),"",IF($C66=0,"",D66/C66))</f>
        <v/>
      </c>
      <c r="H66" s="102">
        <f>IF(OR($C66="",$D66=""),"",IF(AND(C66=0,D66=0),"-",IF(C66=0,"Sem meta",IF($B66="Poupança",IF(D66&gt;=C66,"Meta atingida","Abaixo da meta"),IF(D66&gt;C66,"Estourou",IF(D66&gt;=0.9*C66,"Atenção","Dentro"))))))</f>
        <v/>
      </c>
      <c r="I66" s="105">
        <f>IF(AND(ISNUMBER($D66),OR($B66="Necessidade",$B66="Desejo")),IF($D66&gt;0,ROUND($D66,2)+ROW()/10000000,""),"")</f>
        <v/>
      </c>
      <c r="J66" s="106">
        <f>IF(AND(ISNUMBER($D66),OR($B66="Necessidade",$B66="Desejo"),MES_SEL&gt;1),$D66-INDEX('Fluxo anual'!$C75:$N75,MAX(1,MES_SEL-1)),"")</f>
        <v/>
      </c>
      <c r="K66" s="105">
        <f>IF(ISNUMBER($J66),IF($J66&gt;0.005,ROUND($J66,2)+ROW()/10000000,""),"")</f>
        <v/>
      </c>
    </row>
    <row r="67">
      <c r="A67" s="87" t="inlineStr">
        <is>
          <t>Necessidades</t>
        </is>
      </c>
      <c r="B67" s="104" t="n"/>
      <c r="C67" s="88">
        <f>SUMIFS(C$19:C$66,$B$19:$B$66,"Necessidade")</f>
        <v/>
      </c>
      <c r="D67" s="88">
        <f>SUMIFS(D$19:D$66,$B$19:$B$66,"Necessidade")</f>
        <v/>
      </c>
      <c r="E67" s="88">
        <f>C67-D67</f>
        <v/>
      </c>
      <c r="F67" s="89">
        <f>IF(C67=0,"",E67/C67)</f>
        <v/>
      </c>
      <c r="G67" s="103">
        <f>IF(C67=0,"",D67/C67)</f>
        <v/>
      </c>
      <c r="H67" s="58">
        <f>IF(C67=0,"-",IF(D67&lt;=C67,"Dentro da meta","Fora da meta"))</f>
        <v/>
      </c>
    </row>
    <row r="68">
      <c r="A68" s="87" t="inlineStr">
        <is>
          <t>Desejos</t>
        </is>
      </c>
      <c r="B68" s="104" t="n"/>
      <c r="C68" s="88">
        <f>SUMIFS(C$19:C$66,$B$19:$B$66,"Desejo")</f>
        <v/>
      </c>
      <c r="D68" s="88">
        <f>SUMIFS(D$19:D$66,$B$19:$B$66,"Desejo")</f>
        <v/>
      </c>
      <c r="E68" s="88">
        <f>C68-D68</f>
        <v/>
      </c>
      <c r="F68" s="89">
        <f>IF(C68=0,"",E68/C68)</f>
        <v/>
      </c>
      <c r="G68" s="103">
        <f>IF(C68=0,"",D68/C68)</f>
        <v/>
      </c>
      <c r="H68" s="58">
        <f>IF(C68=0,"-",IF(D68&lt;=C68,"Dentro da meta","Fora da meta"))</f>
        <v/>
      </c>
    </row>
    <row r="69">
      <c r="A69" s="87" t="inlineStr">
        <is>
          <t>Total de despesas (necessidades + desejos)</t>
        </is>
      </c>
      <c r="B69" s="104" t="n"/>
      <c r="C69" s="88">
        <f>C67+C68</f>
        <v/>
      </c>
      <c r="D69" s="88">
        <f>D67+D68</f>
        <v/>
      </c>
      <c r="E69" s="88">
        <f>C69-D69</f>
        <v/>
      </c>
      <c r="F69" s="89">
        <f>IF(C69=0,"",E69/C69)</f>
        <v/>
      </c>
      <c r="G69" s="103">
        <f>IF(C69=0,"",D69/C69)</f>
        <v/>
      </c>
      <c r="H69" s="58">
        <f>IF(C69=0,"-",IF(D69&lt;=C69,"Dentro da meta","Fora da meta"))</f>
        <v/>
      </c>
    </row>
    <row r="70">
      <c r="A70" s="87" t="inlineStr">
        <is>
          <t>Poupança e aportes</t>
        </is>
      </c>
      <c r="B70" s="104" t="n"/>
      <c r="C70" s="88">
        <f>SUMIFS(C$19:C$66,$B$19:$B$66,"Poupança")</f>
        <v/>
      </c>
      <c r="D70" s="88">
        <f>SUMIFS(D$19:D$66,$B$19:$B$66,"Poupança")</f>
        <v/>
      </c>
      <c r="E70" s="88">
        <f>D70-C70</f>
        <v/>
      </c>
      <c r="F70" s="89">
        <f>IF(C70=0,"",E70/C70)</f>
        <v/>
      </c>
      <c r="G70" s="103">
        <f>IF(C70=0,"",D70/C70)</f>
        <v/>
      </c>
      <c r="H70" s="58">
        <f>IF(C70=0,"-",IF(D70&gt;=C70,"Dentro da meta","Fora da meta"))</f>
        <v/>
      </c>
    </row>
    <row r="73">
      <c r="A73" s="5" t="inlineStr">
        <is>
          <t>Plano do ano: quanto pretende gastar por categoria (edite o valor base ou qualquer mês)</t>
        </is>
      </c>
    </row>
    <row r="74" ht="34" customHeight="1">
      <c r="A74" s="44" t="inlineStr">
        <is>
          <t>Categoria</t>
        </is>
      </c>
      <c r="B74" s="44" t="inlineStr">
        <is>
          <t>Grupo</t>
        </is>
      </c>
      <c r="C74" s="44" t="inlineStr">
        <is>
          <t>Base (R$/mês)</t>
        </is>
      </c>
      <c r="D74" s="44" t="inlineStr">
        <is>
          <t>Média 3 meses</t>
        </is>
      </c>
      <c r="E74" s="44" t="inlineStr">
        <is>
          <t>Sugestão do atalho</t>
        </is>
      </c>
      <c r="F74" s="44" t="inlineStr">
        <is>
          <t>Jan</t>
        </is>
      </c>
      <c r="G74" s="44" t="inlineStr">
        <is>
          <t>Fev</t>
        </is>
      </c>
      <c r="H74" s="44" t="inlineStr">
        <is>
          <t>Mar</t>
        </is>
      </c>
      <c r="I74" s="44" t="inlineStr">
        <is>
          <t>Abr</t>
        </is>
      </c>
      <c r="J74" s="44" t="inlineStr">
        <is>
          <t>Mai</t>
        </is>
      </c>
      <c r="K74" s="44" t="inlineStr">
        <is>
          <t>Jun</t>
        </is>
      </c>
      <c r="L74" s="44" t="inlineStr">
        <is>
          <t>Jul</t>
        </is>
      </c>
      <c r="M74" s="44" t="inlineStr">
        <is>
          <t>Ago</t>
        </is>
      </c>
      <c r="N74" s="44" t="inlineStr">
        <is>
          <t>Set</t>
        </is>
      </c>
      <c r="O74" s="44" t="inlineStr">
        <is>
          <t>Out</t>
        </is>
      </c>
      <c r="P74" s="44" t="inlineStr">
        <is>
          <t>Nov</t>
        </is>
      </c>
      <c r="Q74" s="44" t="inlineStr">
        <is>
          <t>Dez</t>
        </is>
      </c>
      <c r="R74" s="44" t="inlineStr">
        <is>
          <t>Total do ano</t>
        </is>
      </c>
    </row>
    <row r="75">
      <c r="A75" s="75">
        <f>IF('Fluxo anual'!A28="","",'Fluxo anual'!A28)</f>
        <v/>
      </c>
      <c r="B75" s="75">
        <f>IF($A75="","",'Fluxo anual'!B28)</f>
        <v/>
      </c>
      <c r="C75" s="76" t="n"/>
      <c r="D75" s="84">
        <f>IF(OR($A75="",NOT(OR($B75="Necessidade",$B75="Desejo",$B75="Poupança"))),"",IFERROR(SUMPRODUCT((FLUXO_MES_NUM&lt;=MES_SEL)*(FLUXO_MES_NUM&gt;MES_SEL-3)*'Fluxo anual'!$C28:$N28)/MAX(1,SUMPRODUCT((FLUXO_MES_NUM&lt;=MES_SEL)*(FLUXO_MES_NUM&gt;MES_SEL-3)*FLUXO_N_MESES)),0))</f>
        <v/>
      </c>
      <c r="E75" s="84">
        <f>IF(OR($A75="",NOT(OR($B75="Necessidade",$B75="Desejo",$B75="Poupança"))),"",IF(IF($B75="Necessidade",$C$10,IF($B75="Desejo",$C$11,$C$12))=0,0,IF(SUMIFS($D$75:$D$122,$B$75:$B$122,$B75)&gt;0,IF($B75="Necessidade",$C$10,IF($B75="Desejo",$C$11,$C$12))*$D75/SUMIFS($D$75:$D$122,$B$75:$B$122,$B75),IF($B75="Necessidade",$C$10,IF($B75="Desejo",$C$11,$C$12))/MAX(1,COUNTIF($B$75:$B$122,$B75)))))</f>
        <v/>
      </c>
      <c r="F75" s="107">
        <f>IF(OR($A75="",NOT(OR($B75="Necessidade",$B75="Desejo",$B75="Poupança"))),"",IF(ORC_USAR="Sim",$E75,N($C75)))</f>
        <v/>
      </c>
      <c r="G75" s="107">
        <f>IF(OR($A75="",NOT(OR($B75="Necessidade",$B75="Desejo",$B75="Poupança"))),"",IF(ORC_USAR="Sim",$E75,N($C75)))</f>
        <v/>
      </c>
      <c r="H75" s="107">
        <f>IF(OR($A75="",NOT(OR($B75="Necessidade",$B75="Desejo",$B75="Poupança"))),"",IF(ORC_USAR="Sim",$E75,N($C75)))</f>
        <v/>
      </c>
      <c r="I75" s="107">
        <f>IF(OR($A75="",NOT(OR($B75="Necessidade",$B75="Desejo",$B75="Poupança"))),"",IF(ORC_USAR="Sim",$E75,N($C75)))</f>
        <v/>
      </c>
      <c r="J75" s="107">
        <f>IF(OR($A75="",NOT(OR($B75="Necessidade",$B75="Desejo",$B75="Poupança"))),"",IF(ORC_USAR="Sim",$E75,N($C75)))</f>
        <v/>
      </c>
      <c r="K75" s="107">
        <f>IF(OR($A75="",NOT(OR($B75="Necessidade",$B75="Desejo",$B75="Poupança"))),"",IF(ORC_USAR="Sim",$E75,N($C75)))</f>
        <v/>
      </c>
      <c r="L75" s="107">
        <f>IF(OR($A75="",NOT(OR($B75="Necessidade",$B75="Desejo",$B75="Poupança"))),"",IF(ORC_USAR="Sim",$E75,N($C75)))</f>
        <v/>
      </c>
      <c r="M75" s="107">
        <f>IF(OR($A75="",NOT(OR($B75="Necessidade",$B75="Desejo",$B75="Poupança"))),"",IF(ORC_USAR="Sim",$E75,N($C75)))</f>
        <v/>
      </c>
      <c r="N75" s="107">
        <f>IF(OR($A75="",NOT(OR($B75="Necessidade",$B75="Desejo",$B75="Poupança"))),"",IF(ORC_USAR="Sim",$E75,N($C75)))</f>
        <v/>
      </c>
      <c r="O75" s="107">
        <f>IF(OR($A75="",NOT(OR($B75="Necessidade",$B75="Desejo",$B75="Poupança"))),"",IF(ORC_USAR="Sim",$E75,N($C75)))</f>
        <v/>
      </c>
      <c r="P75" s="107">
        <f>IF(OR($A75="",NOT(OR($B75="Necessidade",$B75="Desejo",$B75="Poupança"))),"",IF(ORC_USAR="Sim",$E75,N($C75)))</f>
        <v/>
      </c>
      <c r="Q75" s="107">
        <f>IF(OR($A75="",NOT(OR($B75="Necessidade",$B75="Desejo",$B75="Poupança"))),"",IF(ORC_USAR="Sim",$E75,N($C75)))</f>
        <v/>
      </c>
      <c r="R75" s="85">
        <f>IF($A75="","",SUM(F75:Q75))</f>
        <v/>
      </c>
    </row>
    <row r="76">
      <c r="A76" s="75">
        <f>IF('Fluxo anual'!A29="","",'Fluxo anual'!A29)</f>
        <v/>
      </c>
      <c r="B76" s="75">
        <f>IF($A76="","",'Fluxo anual'!B29)</f>
        <v/>
      </c>
      <c r="C76" s="76" t="n"/>
      <c r="D76" s="84">
        <f>IF(OR($A76="",NOT(OR($B76="Necessidade",$B76="Desejo",$B76="Poupança"))),"",IFERROR(SUMPRODUCT((FLUXO_MES_NUM&lt;=MES_SEL)*(FLUXO_MES_NUM&gt;MES_SEL-3)*'Fluxo anual'!$C29:$N29)/MAX(1,SUMPRODUCT((FLUXO_MES_NUM&lt;=MES_SEL)*(FLUXO_MES_NUM&gt;MES_SEL-3)*FLUXO_N_MESES)),0))</f>
        <v/>
      </c>
      <c r="E76" s="84">
        <f>IF(OR($A76="",NOT(OR($B76="Necessidade",$B76="Desejo",$B76="Poupança"))),"",IF(IF($B76="Necessidade",$C$10,IF($B76="Desejo",$C$11,$C$12))=0,0,IF(SUMIFS($D$75:$D$122,$B$75:$B$122,$B76)&gt;0,IF($B76="Necessidade",$C$10,IF($B76="Desejo",$C$11,$C$12))*$D76/SUMIFS($D$75:$D$122,$B$75:$B$122,$B76),IF($B76="Necessidade",$C$10,IF($B76="Desejo",$C$11,$C$12))/MAX(1,COUNTIF($B$75:$B$122,$B76)))))</f>
        <v/>
      </c>
      <c r="F76" s="107">
        <f>IF(OR($A76="",NOT(OR($B76="Necessidade",$B76="Desejo",$B76="Poupança"))),"",IF(ORC_USAR="Sim",$E76,N($C76)))</f>
        <v/>
      </c>
      <c r="G76" s="107">
        <f>IF(OR($A76="",NOT(OR($B76="Necessidade",$B76="Desejo",$B76="Poupança"))),"",IF(ORC_USAR="Sim",$E76,N($C76)))</f>
        <v/>
      </c>
      <c r="H76" s="107">
        <f>IF(OR($A76="",NOT(OR($B76="Necessidade",$B76="Desejo",$B76="Poupança"))),"",IF(ORC_USAR="Sim",$E76,N($C76)))</f>
        <v/>
      </c>
      <c r="I76" s="107">
        <f>IF(OR($A76="",NOT(OR($B76="Necessidade",$B76="Desejo",$B76="Poupança"))),"",IF(ORC_USAR="Sim",$E76,N($C76)))</f>
        <v/>
      </c>
      <c r="J76" s="107">
        <f>IF(OR($A76="",NOT(OR($B76="Necessidade",$B76="Desejo",$B76="Poupança"))),"",IF(ORC_USAR="Sim",$E76,N($C76)))</f>
        <v/>
      </c>
      <c r="K76" s="107">
        <f>IF(OR($A76="",NOT(OR($B76="Necessidade",$B76="Desejo",$B76="Poupança"))),"",IF(ORC_USAR="Sim",$E76,N($C76)))</f>
        <v/>
      </c>
      <c r="L76" s="107">
        <f>IF(OR($A76="",NOT(OR($B76="Necessidade",$B76="Desejo",$B76="Poupança"))),"",IF(ORC_USAR="Sim",$E76,N($C76)))</f>
        <v/>
      </c>
      <c r="M76" s="107">
        <f>IF(OR($A76="",NOT(OR($B76="Necessidade",$B76="Desejo",$B76="Poupança"))),"",IF(ORC_USAR="Sim",$E76,N($C76)))</f>
        <v/>
      </c>
      <c r="N76" s="107">
        <f>IF(OR($A76="",NOT(OR($B76="Necessidade",$B76="Desejo",$B76="Poupança"))),"",IF(ORC_USAR="Sim",$E76,N($C76)))</f>
        <v/>
      </c>
      <c r="O76" s="107">
        <f>IF(OR($A76="",NOT(OR($B76="Necessidade",$B76="Desejo",$B76="Poupança"))),"",IF(ORC_USAR="Sim",$E76,N($C76)))</f>
        <v/>
      </c>
      <c r="P76" s="107">
        <f>IF(OR($A76="",NOT(OR($B76="Necessidade",$B76="Desejo",$B76="Poupança"))),"",IF(ORC_USAR="Sim",$E76,N($C76)))</f>
        <v/>
      </c>
      <c r="Q76" s="107">
        <f>IF(OR($A76="",NOT(OR($B76="Necessidade",$B76="Desejo",$B76="Poupança"))),"",IF(ORC_USAR="Sim",$E76,N($C76)))</f>
        <v/>
      </c>
      <c r="R76" s="85">
        <f>IF($A76="","",SUM(F76:Q76))</f>
        <v/>
      </c>
    </row>
    <row r="77">
      <c r="A77" s="75">
        <f>IF('Fluxo anual'!A30="","",'Fluxo anual'!A30)</f>
        <v/>
      </c>
      <c r="B77" s="75">
        <f>IF($A77="","",'Fluxo anual'!B30)</f>
        <v/>
      </c>
      <c r="C77" s="76" t="n"/>
      <c r="D77" s="84">
        <f>IF(OR($A77="",NOT(OR($B77="Necessidade",$B77="Desejo",$B77="Poupança"))),"",IFERROR(SUMPRODUCT((FLUXO_MES_NUM&lt;=MES_SEL)*(FLUXO_MES_NUM&gt;MES_SEL-3)*'Fluxo anual'!$C30:$N30)/MAX(1,SUMPRODUCT((FLUXO_MES_NUM&lt;=MES_SEL)*(FLUXO_MES_NUM&gt;MES_SEL-3)*FLUXO_N_MESES)),0))</f>
        <v/>
      </c>
      <c r="E77" s="84">
        <f>IF(OR($A77="",NOT(OR($B77="Necessidade",$B77="Desejo",$B77="Poupança"))),"",IF(IF($B77="Necessidade",$C$10,IF($B77="Desejo",$C$11,$C$12))=0,0,IF(SUMIFS($D$75:$D$122,$B$75:$B$122,$B77)&gt;0,IF($B77="Necessidade",$C$10,IF($B77="Desejo",$C$11,$C$12))*$D77/SUMIFS($D$75:$D$122,$B$75:$B$122,$B77),IF($B77="Necessidade",$C$10,IF($B77="Desejo",$C$11,$C$12))/MAX(1,COUNTIF($B$75:$B$122,$B77)))))</f>
        <v/>
      </c>
      <c r="F77" s="107">
        <f>IF(OR($A77="",NOT(OR($B77="Necessidade",$B77="Desejo",$B77="Poupança"))),"",IF(ORC_USAR="Sim",$E77,N($C77)))</f>
        <v/>
      </c>
      <c r="G77" s="107">
        <f>IF(OR($A77="",NOT(OR($B77="Necessidade",$B77="Desejo",$B77="Poupança"))),"",IF(ORC_USAR="Sim",$E77,N($C77)))</f>
        <v/>
      </c>
      <c r="H77" s="107">
        <f>IF(OR($A77="",NOT(OR($B77="Necessidade",$B77="Desejo",$B77="Poupança"))),"",IF(ORC_USAR="Sim",$E77,N($C77)))</f>
        <v/>
      </c>
      <c r="I77" s="107">
        <f>IF(OR($A77="",NOT(OR($B77="Necessidade",$B77="Desejo",$B77="Poupança"))),"",IF(ORC_USAR="Sim",$E77,N($C77)))</f>
        <v/>
      </c>
      <c r="J77" s="107">
        <f>IF(OR($A77="",NOT(OR($B77="Necessidade",$B77="Desejo",$B77="Poupança"))),"",IF(ORC_USAR="Sim",$E77,N($C77)))</f>
        <v/>
      </c>
      <c r="K77" s="107">
        <f>IF(OR($A77="",NOT(OR($B77="Necessidade",$B77="Desejo",$B77="Poupança"))),"",IF(ORC_USAR="Sim",$E77,N($C77)))</f>
        <v/>
      </c>
      <c r="L77" s="107">
        <f>IF(OR($A77="",NOT(OR($B77="Necessidade",$B77="Desejo",$B77="Poupança"))),"",IF(ORC_USAR="Sim",$E77,N($C77)))</f>
        <v/>
      </c>
      <c r="M77" s="107">
        <f>IF(OR($A77="",NOT(OR($B77="Necessidade",$B77="Desejo",$B77="Poupança"))),"",IF(ORC_USAR="Sim",$E77,N($C77)))</f>
        <v/>
      </c>
      <c r="N77" s="107">
        <f>IF(OR($A77="",NOT(OR($B77="Necessidade",$B77="Desejo",$B77="Poupança"))),"",IF(ORC_USAR="Sim",$E77,N($C77)))</f>
        <v/>
      </c>
      <c r="O77" s="107">
        <f>IF(OR($A77="",NOT(OR($B77="Necessidade",$B77="Desejo",$B77="Poupança"))),"",IF(ORC_USAR="Sim",$E77,N($C77)))</f>
        <v/>
      </c>
      <c r="P77" s="107">
        <f>IF(OR($A77="",NOT(OR($B77="Necessidade",$B77="Desejo",$B77="Poupança"))),"",IF(ORC_USAR="Sim",$E77,N($C77)))</f>
        <v/>
      </c>
      <c r="Q77" s="107">
        <f>IF(OR($A77="",NOT(OR($B77="Necessidade",$B77="Desejo",$B77="Poupança"))),"",IF(ORC_USAR="Sim",$E77,N($C77)))</f>
        <v/>
      </c>
      <c r="R77" s="85">
        <f>IF($A77="","",SUM(F77:Q77))</f>
        <v/>
      </c>
    </row>
    <row r="78">
      <c r="A78" s="75">
        <f>IF('Fluxo anual'!A31="","",'Fluxo anual'!A31)</f>
        <v/>
      </c>
      <c r="B78" s="75">
        <f>IF($A78="","",'Fluxo anual'!B31)</f>
        <v/>
      </c>
      <c r="C78" s="76" t="n"/>
      <c r="D78" s="84">
        <f>IF(OR($A78="",NOT(OR($B78="Necessidade",$B78="Desejo",$B78="Poupança"))),"",IFERROR(SUMPRODUCT((FLUXO_MES_NUM&lt;=MES_SEL)*(FLUXO_MES_NUM&gt;MES_SEL-3)*'Fluxo anual'!$C31:$N31)/MAX(1,SUMPRODUCT((FLUXO_MES_NUM&lt;=MES_SEL)*(FLUXO_MES_NUM&gt;MES_SEL-3)*FLUXO_N_MESES)),0))</f>
        <v/>
      </c>
      <c r="E78" s="84">
        <f>IF(OR($A78="",NOT(OR($B78="Necessidade",$B78="Desejo",$B78="Poupança"))),"",IF(IF($B78="Necessidade",$C$10,IF($B78="Desejo",$C$11,$C$12))=0,0,IF(SUMIFS($D$75:$D$122,$B$75:$B$122,$B78)&gt;0,IF($B78="Necessidade",$C$10,IF($B78="Desejo",$C$11,$C$12))*$D78/SUMIFS($D$75:$D$122,$B$75:$B$122,$B78),IF($B78="Necessidade",$C$10,IF($B78="Desejo",$C$11,$C$12))/MAX(1,COUNTIF($B$75:$B$122,$B78)))))</f>
        <v/>
      </c>
      <c r="F78" s="107">
        <f>IF(OR($A78="",NOT(OR($B78="Necessidade",$B78="Desejo",$B78="Poupança"))),"",IF(ORC_USAR="Sim",$E78,N($C78)))</f>
        <v/>
      </c>
      <c r="G78" s="107">
        <f>IF(OR($A78="",NOT(OR($B78="Necessidade",$B78="Desejo",$B78="Poupança"))),"",IF(ORC_USAR="Sim",$E78,N($C78)))</f>
        <v/>
      </c>
      <c r="H78" s="107">
        <f>IF(OR($A78="",NOT(OR($B78="Necessidade",$B78="Desejo",$B78="Poupança"))),"",IF(ORC_USAR="Sim",$E78,N($C78)))</f>
        <v/>
      </c>
      <c r="I78" s="107">
        <f>IF(OR($A78="",NOT(OR($B78="Necessidade",$B78="Desejo",$B78="Poupança"))),"",IF(ORC_USAR="Sim",$E78,N($C78)))</f>
        <v/>
      </c>
      <c r="J78" s="107">
        <f>IF(OR($A78="",NOT(OR($B78="Necessidade",$B78="Desejo",$B78="Poupança"))),"",IF(ORC_USAR="Sim",$E78,N($C78)))</f>
        <v/>
      </c>
      <c r="K78" s="107">
        <f>IF(OR($A78="",NOT(OR($B78="Necessidade",$B78="Desejo",$B78="Poupança"))),"",IF(ORC_USAR="Sim",$E78,N($C78)))</f>
        <v/>
      </c>
      <c r="L78" s="107">
        <f>IF(OR($A78="",NOT(OR($B78="Necessidade",$B78="Desejo",$B78="Poupança"))),"",IF(ORC_USAR="Sim",$E78,N($C78)))</f>
        <v/>
      </c>
      <c r="M78" s="107">
        <f>IF(OR($A78="",NOT(OR($B78="Necessidade",$B78="Desejo",$B78="Poupança"))),"",IF(ORC_USAR="Sim",$E78,N($C78)))</f>
        <v/>
      </c>
      <c r="N78" s="107">
        <f>IF(OR($A78="",NOT(OR($B78="Necessidade",$B78="Desejo",$B78="Poupança"))),"",IF(ORC_USAR="Sim",$E78,N($C78)))</f>
        <v/>
      </c>
      <c r="O78" s="107">
        <f>IF(OR($A78="",NOT(OR($B78="Necessidade",$B78="Desejo",$B78="Poupança"))),"",IF(ORC_USAR="Sim",$E78,N($C78)))</f>
        <v/>
      </c>
      <c r="P78" s="107">
        <f>IF(OR($A78="",NOT(OR($B78="Necessidade",$B78="Desejo",$B78="Poupança"))),"",IF(ORC_USAR="Sim",$E78,N($C78)))</f>
        <v/>
      </c>
      <c r="Q78" s="107">
        <f>IF(OR($A78="",NOT(OR($B78="Necessidade",$B78="Desejo",$B78="Poupança"))),"",IF(ORC_USAR="Sim",$E78,N($C78)))</f>
        <v/>
      </c>
      <c r="R78" s="85">
        <f>IF($A78="","",SUM(F78:Q78))</f>
        <v/>
      </c>
    </row>
    <row r="79">
      <c r="A79" s="75">
        <f>IF('Fluxo anual'!A32="","",'Fluxo anual'!A32)</f>
        <v/>
      </c>
      <c r="B79" s="75">
        <f>IF($A79="","",'Fluxo anual'!B32)</f>
        <v/>
      </c>
      <c r="C79" s="76" t="n"/>
      <c r="D79" s="84">
        <f>IF(OR($A79="",NOT(OR($B79="Necessidade",$B79="Desejo",$B79="Poupança"))),"",IFERROR(SUMPRODUCT((FLUXO_MES_NUM&lt;=MES_SEL)*(FLUXO_MES_NUM&gt;MES_SEL-3)*'Fluxo anual'!$C32:$N32)/MAX(1,SUMPRODUCT((FLUXO_MES_NUM&lt;=MES_SEL)*(FLUXO_MES_NUM&gt;MES_SEL-3)*FLUXO_N_MESES)),0))</f>
        <v/>
      </c>
      <c r="E79" s="84">
        <f>IF(OR($A79="",NOT(OR($B79="Necessidade",$B79="Desejo",$B79="Poupança"))),"",IF(IF($B79="Necessidade",$C$10,IF($B79="Desejo",$C$11,$C$12))=0,0,IF(SUMIFS($D$75:$D$122,$B$75:$B$122,$B79)&gt;0,IF($B79="Necessidade",$C$10,IF($B79="Desejo",$C$11,$C$12))*$D79/SUMIFS($D$75:$D$122,$B$75:$B$122,$B79),IF($B79="Necessidade",$C$10,IF($B79="Desejo",$C$11,$C$12))/MAX(1,COUNTIF($B$75:$B$122,$B79)))))</f>
        <v/>
      </c>
      <c r="F79" s="107">
        <f>IF(OR($A79="",NOT(OR($B79="Necessidade",$B79="Desejo",$B79="Poupança"))),"",IF(ORC_USAR="Sim",$E79,N($C79)))</f>
        <v/>
      </c>
      <c r="G79" s="107">
        <f>IF(OR($A79="",NOT(OR($B79="Necessidade",$B79="Desejo",$B79="Poupança"))),"",IF(ORC_USAR="Sim",$E79,N($C79)))</f>
        <v/>
      </c>
      <c r="H79" s="107">
        <f>IF(OR($A79="",NOT(OR($B79="Necessidade",$B79="Desejo",$B79="Poupança"))),"",IF(ORC_USAR="Sim",$E79,N($C79)))</f>
        <v/>
      </c>
      <c r="I79" s="107">
        <f>IF(OR($A79="",NOT(OR($B79="Necessidade",$B79="Desejo",$B79="Poupança"))),"",IF(ORC_USAR="Sim",$E79,N($C79)))</f>
        <v/>
      </c>
      <c r="J79" s="107">
        <f>IF(OR($A79="",NOT(OR($B79="Necessidade",$B79="Desejo",$B79="Poupança"))),"",IF(ORC_USAR="Sim",$E79,N($C79)))</f>
        <v/>
      </c>
      <c r="K79" s="107">
        <f>IF(OR($A79="",NOT(OR($B79="Necessidade",$B79="Desejo",$B79="Poupança"))),"",IF(ORC_USAR="Sim",$E79,N($C79)))</f>
        <v/>
      </c>
      <c r="L79" s="107">
        <f>IF(OR($A79="",NOT(OR($B79="Necessidade",$B79="Desejo",$B79="Poupança"))),"",IF(ORC_USAR="Sim",$E79,N($C79)))</f>
        <v/>
      </c>
      <c r="M79" s="107">
        <f>IF(OR($A79="",NOT(OR($B79="Necessidade",$B79="Desejo",$B79="Poupança"))),"",IF(ORC_USAR="Sim",$E79,N($C79)))</f>
        <v/>
      </c>
      <c r="N79" s="107">
        <f>IF(OR($A79="",NOT(OR($B79="Necessidade",$B79="Desejo",$B79="Poupança"))),"",IF(ORC_USAR="Sim",$E79,N($C79)))</f>
        <v/>
      </c>
      <c r="O79" s="107">
        <f>IF(OR($A79="",NOT(OR($B79="Necessidade",$B79="Desejo",$B79="Poupança"))),"",IF(ORC_USAR="Sim",$E79,N($C79)))</f>
        <v/>
      </c>
      <c r="P79" s="107">
        <f>IF(OR($A79="",NOT(OR($B79="Necessidade",$B79="Desejo",$B79="Poupança"))),"",IF(ORC_USAR="Sim",$E79,N($C79)))</f>
        <v/>
      </c>
      <c r="Q79" s="107">
        <f>IF(OR($A79="",NOT(OR($B79="Necessidade",$B79="Desejo",$B79="Poupança"))),"",IF(ORC_USAR="Sim",$E79,N($C79)))</f>
        <v/>
      </c>
      <c r="R79" s="85">
        <f>IF($A79="","",SUM(F79:Q79))</f>
        <v/>
      </c>
    </row>
    <row r="80">
      <c r="A80" s="75">
        <f>IF('Fluxo anual'!A33="","",'Fluxo anual'!A33)</f>
        <v/>
      </c>
      <c r="B80" s="75">
        <f>IF($A80="","",'Fluxo anual'!B33)</f>
        <v/>
      </c>
      <c r="C80" s="76" t="n"/>
      <c r="D80" s="84">
        <f>IF(OR($A80="",NOT(OR($B80="Necessidade",$B80="Desejo",$B80="Poupança"))),"",IFERROR(SUMPRODUCT((FLUXO_MES_NUM&lt;=MES_SEL)*(FLUXO_MES_NUM&gt;MES_SEL-3)*'Fluxo anual'!$C33:$N33)/MAX(1,SUMPRODUCT((FLUXO_MES_NUM&lt;=MES_SEL)*(FLUXO_MES_NUM&gt;MES_SEL-3)*FLUXO_N_MESES)),0))</f>
        <v/>
      </c>
      <c r="E80" s="84">
        <f>IF(OR($A80="",NOT(OR($B80="Necessidade",$B80="Desejo",$B80="Poupança"))),"",IF(IF($B80="Necessidade",$C$10,IF($B80="Desejo",$C$11,$C$12))=0,0,IF(SUMIFS($D$75:$D$122,$B$75:$B$122,$B80)&gt;0,IF($B80="Necessidade",$C$10,IF($B80="Desejo",$C$11,$C$12))*$D80/SUMIFS($D$75:$D$122,$B$75:$B$122,$B80),IF($B80="Necessidade",$C$10,IF($B80="Desejo",$C$11,$C$12))/MAX(1,COUNTIF($B$75:$B$122,$B80)))))</f>
        <v/>
      </c>
      <c r="F80" s="107">
        <f>IF(OR($A80="",NOT(OR($B80="Necessidade",$B80="Desejo",$B80="Poupança"))),"",IF(ORC_USAR="Sim",$E80,N($C80)))</f>
        <v/>
      </c>
      <c r="G80" s="107">
        <f>IF(OR($A80="",NOT(OR($B80="Necessidade",$B80="Desejo",$B80="Poupança"))),"",IF(ORC_USAR="Sim",$E80,N($C80)))</f>
        <v/>
      </c>
      <c r="H80" s="107">
        <f>IF(OR($A80="",NOT(OR($B80="Necessidade",$B80="Desejo",$B80="Poupança"))),"",IF(ORC_USAR="Sim",$E80,N($C80)))</f>
        <v/>
      </c>
      <c r="I80" s="107">
        <f>IF(OR($A80="",NOT(OR($B80="Necessidade",$B80="Desejo",$B80="Poupança"))),"",IF(ORC_USAR="Sim",$E80,N($C80)))</f>
        <v/>
      </c>
      <c r="J80" s="107">
        <f>IF(OR($A80="",NOT(OR($B80="Necessidade",$B80="Desejo",$B80="Poupança"))),"",IF(ORC_USAR="Sim",$E80,N($C80)))</f>
        <v/>
      </c>
      <c r="K80" s="107">
        <f>IF(OR($A80="",NOT(OR($B80="Necessidade",$B80="Desejo",$B80="Poupança"))),"",IF(ORC_USAR="Sim",$E80,N($C80)))</f>
        <v/>
      </c>
      <c r="L80" s="107">
        <f>IF(OR($A80="",NOT(OR($B80="Necessidade",$B80="Desejo",$B80="Poupança"))),"",IF(ORC_USAR="Sim",$E80,N($C80)))</f>
        <v/>
      </c>
      <c r="M80" s="107">
        <f>IF(OR($A80="",NOT(OR($B80="Necessidade",$B80="Desejo",$B80="Poupança"))),"",IF(ORC_USAR="Sim",$E80,N($C80)))</f>
        <v/>
      </c>
      <c r="N80" s="107">
        <f>IF(OR($A80="",NOT(OR($B80="Necessidade",$B80="Desejo",$B80="Poupança"))),"",IF(ORC_USAR="Sim",$E80,N($C80)))</f>
        <v/>
      </c>
      <c r="O80" s="107">
        <f>IF(OR($A80="",NOT(OR($B80="Necessidade",$B80="Desejo",$B80="Poupança"))),"",IF(ORC_USAR="Sim",$E80,N($C80)))</f>
        <v/>
      </c>
      <c r="P80" s="107">
        <f>IF(OR($A80="",NOT(OR($B80="Necessidade",$B80="Desejo",$B80="Poupança"))),"",IF(ORC_USAR="Sim",$E80,N($C80)))</f>
        <v/>
      </c>
      <c r="Q80" s="107">
        <f>IF(OR($A80="",NOT(OR($B80="Necessidade",$B80="Desejo",$B80="Poupança"))),"",IF(ORC_USAR="Sim",$E80,N($C80)))</f>
        <v/>
      </c>
      <c r="R80" s="85">
        <f>IF($A80="","",SUM(F80:Q80))</f>
        <v/>
      </c>
    </row>
    <row r="81">
      <c r="A81" s="75">
        <f>IF('Fluxo anual'!A34="","",'Fluxo anual'!A34)</f>
        <v/>
      </c>
      <c r="B81" s="75">
        <f>IF($A81="","",'Fluxo anual'!B34)</f>
        <v/>
      </c>
      <c r="C81" s="76" t="n">
        <v>1250</v>
      </c>
      <c r="D81" s="84">
        <f>IF(OR($A81="",NOT(OR($B81="Necessidade",$B81="Desejo",$B81="Poupança"))),"",IFERROR(SUMPRODUCT((FLUXO_MES_NUM&lt;=MES_SEL)*(FLUXO_MES_NUM&gt;MES_SEL-3)*'Fluxo anual'!$C34:$N34)/MAX(1,SUMPRODUCT((FLUXO_MES_NUM&lt;=MES_SEL)*(FLUXO_MES_NUM&gt;MES_SEL-3)*FLUXO_N_MESES)),0))</f>
        <v/>
      </c>
      <c r="E81" s="84">
        <f>IF(OR($A81="",NOT(OR($B81="Necessidade",$B81="Desejo",$B81="Poupança"))),"",IF(IF($B81="Necessidade",$C$10,IF($B81="Desejo",$C$11,$C$12))=0,0,IF(SUMIFS($D$75:$D$122,$B$75:$B$122,$B81)&gt;0,IF($B81="Necessidade",$C$10,IF($B81="Desejo",$C$11,$C$12))*$D81/SUMIFS($D$75:$D$122,$B$75:$B$122,$B81),IF($B81="Necessidade",$C$10,IF($B81="Desejo",$C$11,$C$12))/MAX(1,COUNTIF($B$75:$B$122,$B81)))))</f>
        <v/>
      </c>
      <c r="F81" s="107">
        <f>IF(OR($A81="",NOT(OR($B81="Necessidade",$B81="Desejo",$B81="Poupança"))),"",IF(ORC_USAR="Sim",$E81,N($C81)))</f>
        <v/>
      </c>
      <c r="G81" s="107">
        <f>IF(OR($A81="",NOT(OR($B81="Necessidade",$B81="Desejo",$B81="Poupança"))),"",IF(ORC_USAR="Sim",$E81,N($C81)))</f>
        <v/>
      </c>
      <c r="H81" s="107">
        <f>IF(OR($A81="",NOT(OR($B81="Necessidade",$B81="Desejo",$B81="Poupança"))),"",IF(ORC_USAR="Sim",$E81,N($C81)))</f>
        <v/>
      </c>
      <c r="I81" s="107">
        <f>IF(OR($A81="",NOT(OR($B81="Necessidade",$B81="Desejo",$B81="Poupança"))),"",IF(ORC_USAR="Sim",$E81,N($C81)))</f>
        <v/>
      </c>
      <c r="J81" s="107">
        <f>IF(OR($A81="",NOT(OR($B81="Necessidade",$B81="Desejo",$B81="Poupança"))),"",IF(ORC_USAR="Sim",$E81,N($C81)))</f>
        <v/>
      </c>
      <c r="K81" s="107">
        <f>IF(OR($A81="",NOT(OR($B81="Necessidade",$B81="Desejo",$B81="Poupança"))),"",IF(ORC_USAR="Sim",$E81,N($C81)))</f>
        <v/>
      </c>
      <c r="L81" s="107">
        <f>IF(OR($A81="",NOT(OR($B81="Necessidade",$B81="Desejo",$B81="Poupança"))),"",IF(ORC_USAR="Sim",$E81,N($C81)))</f>
        <v/>
      </c>
      <c r="M81" s="107">
        <f>IF(OR($A81="",NOT(OR($B81="Necessidade",$B81="Desejo",$B81="Poupança"))),"",IF(ORC_USAR="Sim",$E81,N($C81)))</f>
        <v/>
      </c>
      <c r="N81" s="107">
        <f>IF(OR($A81="",NOT(OR($B81="Necessidade",$B81="Desejo",$B81="Poupança"))),"",IF(ORC_USAR="Sim",$E81,N($C81)))</f>
        <v/>
      </c>
      <c r="O81" s="107">
        <f>IF(OR($A81="",NOT(OR($B81="Necessidade",$B81="Desejo",$B81="Poupança"))),"",IF(ORC_USAR="Sim",$E81,N($C81)))</f>
        <v/>
      </c>
      <c r="P81" s="107">
        <f>IF(OR($A81="",NOT(OR($B81="Necessidade",$B81="Desejo",$B81="Poupança"))),"",IF(ORC_USAR="Sim",$E81,N($C81)))</f>
        <v/>
      </c>
      <c r="Q81" s="107">
        <f>IF(OR($A81="",NOT(OR($B81="Necessidade",$B81="Desejo",$B81="Poupança"))),"",IF(ORC_USAR="Sim",$E81,N($C81)))</f>
        <v/>
      </c>
      <c r="R81" s="85">
        <f>IF($A81="","",SUM(F81:Q81))</f>
        <v/>
      </c>
    </row>
    <row r="82">
      <c r="A82" s="75">
        <f>IF('Fluxo anual'!A35="","",'Fluxo anual'!A35)</f>
        <v/>
      </c>
      <c r="B82" s="75">
        <f>IF($A82="","",'Fluxo anual'!B35)</f>
        <v/>
      </c>
      <c r="C82" s="76" t="n">
        <v>300</v>
      </c>
      <c r="D82" s="84">
        <f>IF(OR($A82="",NOT(OR($B82="Necessidade",$B82="Desejo",$B82="Poupança"))),"",IFERROR(SUMPRODUCT((FLUXO_MES_NUM&lt;=MES_SEL)*(FLUXO_MES_NUM&gt;MES_SEL-3)*'Fluxo anual'!$C35:$N35)/MAX(1,SUMPRODUCT((FLUXO_MES_NUM&lt;=MES_SEL)*(FLUXO_MES_NUM&gt;MES_SEL-3)*FLUXO_N_MESES)),0))</f>
        <v/>
      </c>
      <c r="E82" s="84">
        <f>IF(OR($A82="",NOT(OR($B82="Necessidade",$B82="Desejo",$B82="Poupança"))),"",IF(IF($B82="Necessidade",$C$10,IF($B82="Desejo",$C$11,$C$12))=0,0,IF(SUMIFS($D$75:$D$122,$B$75:$B$122,$B82)&gt;0,IF($B82="Necessidade",$C$10,IF($B82="Desejo",$C$11,$C$12))*$D82/SUMIFS($D$75:$D$122,$B$75:$B$122,$B82),IF($B82="Necessidade",$C$10,IF($B82="Desejo",$C$11,$C$12))/MAX(1,COUNTIF($B$75:$B$122,$B82)))))</f>
        <v/>
      </c>
      <c r="F82" s="107">
        <f>IF(OR($A82="",NOT(OR($B82="Necessidade",$B82="Desejo",$B82="Poupança"))),"",IF(ORC_USAR="Sim",$E82,N($C82)))</f>
        <v/>
      </c>
      <c r="G82" s="107">
        <f>IF(OR($A82="",NOT(OR($B82="Necessidade",$B82="Desejo",$B82="Poupança"))),"",IF(ORC_USAR="Sim",$E82,N($C82)))</f>
        <v/>
      </c>
      <c r="H82" s="107">
        <f>IF(OR($A82="",NOT(OR($B82="Necessidade",$B82="Desejo",$B82="Poupança"))),"",IF(ORC_USAR="Sim",$E82,N($C82)))</f>
        <v/>
      </c>
      <c r="I82" s="107">
        <f>IF(OR($A82="",NOT(OR($B82="Necessidade",$B82="Desejo",$B82="Poupança"))),"",IF(ORC_USAR="Sim",$E82,N($C82)))</f>
        <v/>
      </c>
      <c r="J82" s="107">
        <f>IF(OR($A82="",NOT(OR($B82="Necessidade",$B82="Desejo",$B82="Poupança"))),"",IF(ORC_USAR="Sim",$E82,N($C82)))</f>
        <v/>
      </c>
      <c r="K82" s="107">
        <f>IF(OR($A82="",NOT(OR($B82="Necessidade",$B82="Desejo",$B82="Poupança"))),"",IF(ORC_USAR="Sim",$E82,N($C82)))</f>
        <v/>
      </c>
      <c r="L82" s="107">
        <f>IF(OR($A82="",NOT(OR($B82="Necessidade",$B82="Desejo",$B82="Poupança"))),"",IF(ORC_USAR="Sim",$E82,N($C82)))</f>
        <v/>
      </c>
      <c r="M82" s="107">
        <f>IF(OR($A82="",NOT(OR($B82="Necessidade",$B82="Desejo",$B82="Poupança"))),"",IF(ORC_USAR="Sim",$E82,N($C82)))</f>
        <v/>
      </c>
      <c r="N82" s="107">
        <f>IF(OR($A82="",NOT(OR($B82="Necessidade",$B82="Desejo",$B82="Poupança"))),"",IF(ORC_USAR="Sim",$E82,N($C82)))</f>
        <v/>
      </c>
      <c r="O82" s="107">
        <f>IF(OR($A82="",NOT(OR($B82="Necessidade",$B82="Desejo",$B82="Poupança"))),"",IF(ORC_USAR="Sim",$E82,N($C82)))</f>
        <v/>
      </c>
      <c r="P82" s="107">
        <f>IF(OR($A82="",NOT(OR($B82="Necessidade",$B82="Desejo",$B82="Poupança"))),"",IF(ORC_USAR="Sim",$E82,N($C82)))</f>
        <v/>
      </c>
      <c r="Q82" s="107">
        <f>IF(OR($A82="",NOT(OR($B82="Necessidade",$B82="Desejo",$B82="Poupança"))),"",IF(ORC_USAR="Sim",$E82,N($C82)))</f>
        <v/>
      </c>
      <c r="R82" s="85">
        <f>IF($A82="","",SUM(F82:Q82))</f>
        <v/>
      </c>
    </row>
    <row r="83">
      <c r="A83" s="75">
        <f>IF('Fluxo anual'!A36="","",'Fluxo anual'!A36)</f>
        <v/>
      </c>
      <c r="B83" s="75">
        <f>IF($A83="","",'Fluxo anual'!B36)</f>
        <v/>
      </c>
      <c r="C83" s="76" t="n">
        <v>270</v>
      </c>
      <c r="D83" s="84">
        <f>IF(OR($A83="",NOT(OR($B83="Necessidade",$B83="Desejo",$B83="Poupança"))),"",IFERROR(SUMPRODUCT((FLUXO_MES_NUM&lt;=MES_SEL)*(FLUXO_MES_NUM&gt;MES_SEL-3)*'Fluxo anual'!$C36:$N36)/MAX(1,SUMPRODUCT((FLUXO_MES_NUM&lt;=MES_SEL)*(FLUXO_MES_NUM&gt;MES_SEL-3)*FLUXO_N_MESES)),0))</f>
        <v/>
      </c>
      <c r="E83" s="84">
        <f>IF(OR($A83="",NOT(OR($B83="Necessidade",$B83="Desejo",$B83="Poupança"))),"",IF(IF($B83="Necessidade",$C$10,IF($B83="Desejo",$C$11,$C$12))=0,0,IF(SUMIFS($D$75:$D$122,$B$75:$B$122,$B83)&gt;0,IF($B83="Necessidade",$C$10,IF($B83="Desejo",$C$11,$C$12))*$D83/SUMIFS($D$75:$D$122,$B$75:$B$122,$B83),IF($B83="Necessidade",$C$10,IF($B83="Desejo",$C$11,$C$12))/MAX(1,COUNTIF($B$75:$B$122,$B83)))))</f>
        <v/>
      </c>
      <c r="F83" s="107">
        <f>IF(OR($A83="",NOT(OR($B83="Necessidade",$B83="Desejo",$B83="Poupança"))),"",IF(ORC_USAR="Sim",$E83,N($C83)))</f>
        <v/>
      </c>
      <c r="G83" s="107">
        <f>IF(OR($A83="",NOT(OR($B83="Necessidade",$B83="Desejo",$B83="Poupança"))),"",IF(ORC_USAR="Sim",$E83,N($C83)))</f>
        <v/>
      </c>
      <c r="H83" s="107">
        <f>IF(OR($A83="",NOT(OR($B83="Necessidade",$B83="Desejo",$B83="Poupança"))),"",IF(ORC_USAR="Sim",$E83,N($C83)))</f>
        <v/>
      </c>
      <c r="I83" s="107">
        <f>IF(OR($A83="",NOT(OR($B83="Necessidade",$B83="Desejo",$B83="Poupança"))),"",IF(ORC_USAR="Sim",$E83,N($C83)))</f>
        <v/>
      </c>
      <c r="J83" s="107">
        <f>IF(OR($A83="",NOT(OR($B83="Necessidade",$B83="Desejo",$B83="Poupança"))),"",IF(ORC_USAR="Sim",$E83,N($C83)))</f>
        <v/>
      </c>
      <c r="K83" s="107">
        <f>IF(OR($A83="",NOT(OR($B83="Necessidade",$B83="Desejo",$B83="Poupança"))),"",IF(ORC_USAR="Sim",$E83,N($C83)))</f>
        <v/>
      </c>
      <c r="L83" s="107">
        <f>IF(OR($A83="",NOT(OR($B83="Necessidade",$B83="Desejo",$B83="Poupança"))),"",IF(ORC_USAR="Sim",$E83,N($C83)))</f>
        <v/>
      </c>
      <c r="M83" s="107">
        <f>IF(OR($A83="",NOT(OR($B83="Necessidade",$B83="Desejo",$B83="Poupança"))),"",IF(ORC_USAR="Sim",$E83,N($C83)))</f>
        <v/>
      </c>
      <c r="N83" s="107">
        <f>IF(OR($A83="",NOT(OR($B83="Necessidade",$B83="Desejo",$B83="Poupança"))),"",IF(ORC_USAR="Sim",$E83,N($C83)))</f>
        <v/>
      </c>
      <c r="O83" s="107">
        <f>IF(OR($A83="",NOT(OR($B83="Necessidade",$B83="Desejo",$B83="Poupança"))),"",IF(ORC_USAR="Sim",$E83,N($C83)))</f>
        <v/>
      </c>
      <c r="P83" s="107">
        <f>IF(OR($A83="",NOT(OR($B83="Necessidade",$B83="Desejo",$B83="Poupança"))),"",IF(ORC_USAR="Sim",$E83,N($C83)))</f>
        <v/>
      </c>
      <c r="Q83" s="107">
        <f>IF(OR($A83="",NOT(OR($B83="Necessidade",$B83="Desejo",$B83="Poupança"))),"",IF(ORC_USAR="Sim",$E83,N($C83)))</f>
        <v/>
      </c>
      <c r="R83" s="85">
        <f>IF($A83="","",SUM(F83:Q83))</f>
        <v/>
      </c>
    </row>
    <row r="84">
      <c r="A84" s="75">
        <f>IF('Fluxo anual'!A37="","",'Fluxo anual'!A37)</f>
        <v/>
      </c>
      <c r="B84" s="75">
        <f>IF($A84="","",'Fluxo anual'!B37)</f>
        <v/>
      </c>
      <c r="C84" s="76" t="n">
        <v>180</v>
      </c>
      <c r="D84" s="84">
        <f>IF(OR($A84="",NOT(OR($B84="Necessidade",$B84="Desejo",$B84="Poupança"))),"",IFERROR(SUMPRODUCT((FLUXO_MES_NUM&lt;=MES_SEL)*(FLUXO_MES_NUM&gt;MES_SEL-3)*'Fluxo anual'!$C37:$N37)/MAX(1,SUMPRODUCT((FLUXO_MES_NUM&lt;=MES_SEL)*(FLUXO_MES_NUM&gt;MES_SEL-3)*FLUXO_N_MESES)),0))</f>
        <v/>
      </c>
      <c r="E84" s="84">
        <f>IF(OR($A84="",NOT(OR($B84="Necessidade",$B84="Desejo",$B84="Poupança"))),"",IF(IF($B84="Necessidade",$C$10,IF($B84="Desejo",$C$11,$C$12))=0,0,IF(SUMIFS($D$75:$D$122,$B$75:$B$122,$B84)&gt;0,IF($B84="Necessidade",$C$10,IF($B84="Desejo",$C$11,$C$12))*$D84/SUMIFS($D$75:$D$122,$B$75:$B$122,$B84),IF($B84="Necessidade",$C$10,IF($B84="Desejo",$C$11,$C$12))/MAX(1,COUNTIF($B$75:$B$122,$B84)))))</f>
        <v/>
      </c>
      <c r="F84" s="107">
        <f>IF(OR($A84="",NOT(OR($B84="Necessidade",$B84="Desejo",$B84="Poupança"))),"",IF(ORC_USAR="Sim",$E84,N($C84)))</f>
        <v/>
      </c>
      <c r="G84" s="107">
        <f>IF(OR($A84="",NOT(OR($B84="Necessidade",$B84="Desejo",$B84="Poupança"))),"",IF(ORC_USAR="Sim",$E84,N($C84)))</f>
        <v/>
      </c>
      <c r="H84" s="107">
        <f>IF(OR($A84="",NOT(OR($B84="Necessidade",$B84="Desejo",$B84="Poupança"))),"",IF(ORC_USAR="Sim",$E84,N($C84)))</f>
        <v/>
      </c>
      <c r="I84" s="107">
        <f>IF(OR($A84="",NOT(OR($B84="Necessidade",$B84="Desejo",$B84="Poupança"))),"",IF(ORC_USAR="Sim",$E84,N($C84)))</f>
        <v/>
      </c>
      <c r="J84" s="107">
        <f>IF(OR($A84="",NOT(OR($B84="Necessidade",$B84="Desejo",$B84="Poupança"))),"",IF(ORC_USAR="Sim",$E84,N($C84)))</f>
        <v/>
      </c>
      <c r="K84" s="107">
        <f>IF(OR($A84="",NOT(OR($B84="Necessidade",$B84="Desejo",$B84="Poupança"))),"",IF(ORC_USAR="Sim",$E84,N($C84)))</f>
        <v/>
      </c>
      <c r="L84" s="107">
        <f>IF(OR($A84="",NOT(OR($B84="Necessidade",$B84="Desejo",$B84="Poupança"))),"",IF(ORC_USAR="Sim",$E84,N($C84)))</f>
        <v/>
      </c>
      <c r="M84" s="107">
        <f>IF(OR($A84="",NOT(OR($B84="Necessidade",$B84="Desejo",$B84="Poupança"))),"",IF(ORC_USAR="Sim",$E84,N($C84)))</f>
        <v/>
      </c>
      <c r="N84" s="107">
        <f>IF(OR($A84="",NOT(OR($B84="Necessidade",$B84="Desejo",$B84="Poupança"))),"",IF(ORC_USAR="Sim",$E84,N($C84)))</f>
        <v/>
      </c>
      <c r="O84" s="107">
        <f>IF(OR($A84="",NOT(OR($B84="Necessidade",$B84="Desejo",$B84="Poupança"))),"",IF(ORC_USAR="Sim",$E84,N($C84)))</f>
        <v/>
      </c>
      <c r="P84" s="107">
        <f>IF(OR($A84="",NOT(OR($B84="Necessidade",$B84="Desejo",$B84="Poupança"))),"",IF(ORC_USAR="Sim",$E84,N($C84)))</f>
        <v/>
      </c>
      <c r="Q84" s="107">
        <f>IF(OR($A84="",NOT(OR($B84="Necessidade",$B84="Desejo",$B84="Poupança"))),"",IF(ORC_USAR="Sim",$E84,N($C84)))</f>
        <v/>
      </c>
      <c r="R84" s="85">
        <f>IF($A84="","",SUM(F84:Q84))</f>
        <v/>
      </c>
    </row>
    <row r="85">
      <c r="A85" s="75">
        <f>IF('Fluxo anual'!A38="","",'Fluxo anual'!A38)</f>
        <v/>
      </c>
      <c r="B85" s="75">
        <f>IF($A85="","",'Fluxo anual'!B38)</f>
        <v/>
      </c>
      <c r="C85" s="76" t="n">
        <v>640</v>
      </c>
      <c r="D85" s="84">
        <f>IF(OR($A85="",NOT(OR($B85="Necessidade",$B85="Desejo",$B85="Poupança"))),"",IFERROR(SUMPRODUCT((FLUXO_MES_NUM&lt;=MES_SEL)*(FLUXO_MES_NUM&gt;MES_SEL-3)*'Fluxo anual'!$C38:$N38)/MAX(1,SUMPRODUCT((FLUXO_MES_NUM&lt;=MES_SEL)*(FLUXO_MES_NUM&gt;MES_SEL-3)*FLUXO_N_MESES)),0))</f>
        <v/>
      </c>
      <c r="E85" s="84">
        <f>IF(OR($A85="",NOT(OR($B85="Necessidade",$B85="Desejo",$B85="Poupança"))),"",IF(IF($B85="Necessidade",$C$10,IF($B85="Desejo",$C$11,$C$12))=0,0,IF(SUMIFS($D$75:$D$122,$B$75:$B$122,$B85)&gt;0,IF($B85="Necessidade",$C$10,IF($B85="Desejo",$C$11,$C$12))*$D85/SUMIFS($D$75:$D$122,$B$75:$B$122,$B85),IF($B85="Necessidade",$C$10,IF($B85="Desejo",$C$11,$C$12))/MAX(1,COUNTIF($B$75:$B$122,$B85)))))</f>
        <v/>
      </c>
      <c r="F85" s="107">
        <f>IF(OR($A85="",NOT(OR($B85="Necessidade",$B85="Desejo",$B85="Poupança"))),"",IF(ORC_USAR="Sim",$E85,N($C85)))</f>
        <v/>
      </c>
      <c r="G85" s="107">
        <f>IF(OR($A85="",NOT(OR($B85="Necessidade",$B85="Desejo",$B85="Poupança"))),"",IF(ORC_USAR="Sim",$E85,N($C85)))</f>
        <v/>
      </c>
      <c r="H85" s="107">
        <f>IF(OR($A85="",NOT(OR($B85="Necessidade",$B85="Desejo",$B85="Poupança"))),"",IF(ORC_USAR="Sim",$E85,N($C85)))</f>
        <v/>
      </c>
      <c r="I85" s="107">
        <f>IF(OR($A85="",NOT(OR($B85="Necessidade",$B85="Desejo",$B85="Poupança"))),"",IF(ORC_USAR="Sim",$E85,N($C85)))</f>
        <v/>
      </c>
      <c r="J85" s="107">
        <f>IF(OR($A85="",NOT(OR($B85="Necessidade",$B85="Desejo",$B85="Poupança"))),"",IF(ORC_USAR="Sim",$E85,N($C85)))</f>
        <v/>
      </c>
      <c r="K85" s="107">
        <f>IF(OR($A85="",NOT(OR($B85="Necessidade",$B85="Desejo",$B85="Poupança"))),"",IF(ORC_USAR="Sim",$E85,N($C85)))</f>
        <v/>
      </c>
      <c r="L85" s="107">
        <f>IF(OR($A85="",NOT(OR($B85="Necessidade",$B85="Desejo",$B85="Poupança"))),"",IF(ORC_USAR="Sim",$E85,N($C85)))</f>
        <v/>
      </c>
      <c r="M85" s="107">
        <f>IF(OR($A85="",NOT(OR($B85="Necessidade",$B85="Desejo",$B85="Poupança"))),"",IF(ORC_USAR="Sim",$E85,N($C85)))</f>
        <v/>
      </c>
      <c r="N85" s="107">
        <f>IF(OR($A85="",NOT(OR($B85="Necessidade",$B85="Desejo",$B85="Poupança"))),"",IF(ORC_USAR="Sim",$E85,N($C85)))</f>
        <v/>
      </c>
      <c r="O85" s="107">
        <f>IF(OR($A85="",NOT(OR($B85="Necessidade",$B85="Desejo",$B85="Poupança"))),"",IF(ORC_USAR="Sim",$E85,N($C85)))</f>
        <v/>
      </c>
      <c r="P85" s="107">
        <f>IF(OR($A85="",NOT(OR($B85="Necessidade",$B85="Desejo",$B85="Poupança"))),"",IF(ORC_USAR="Sim",$E85,N($C85)))</f>
        <v/>
      </c>
      <c r="Q85" s="107">
        <f>IF(OR($A85="",NOT(OR($B85="Necessidade",$B85="Desejo",$B85="Poupança"))),"",IF(ORC_USAR="Sim",$E85,N($C85)))</f>
        <v/>
      </c>
      <c r="R85" s="85">
        <f>IF($A85="","",SUM(F85:Q85))</f>
        <v/>
      </c>
    </row>
    <row r="86">
      <c r="A86" s="75">
        <f>IF('Fluxo anual'!A39="","",'Fluxo anual'!A39)</f>
        <v/>
      </c>
      <c r="B86" s="75">
        <f>IF($A86="","",'Fluxo anual'!B39)</f>
        <v/>
      </c>
      <c r="C86" s="76" t="n">
        <v>420</v>
      </c>
      <c r="D86" s="84">
        <f>IF(OR($A86="",NOT(OR($B86="Necessidade",$B86="Desejo",$B86="Poupança"))),"",IFERROR(SUMPRODUCT((FLUXO_MES_NUM&lt;=MES_SEL)*(FLUXO_MES_NUM&gt;MES_SEL-3)*'Fluxo anual'!$C39:$N39)/MAX(1,SUMPRODUCT((FLUXO_MES_NUM&lt;=MES_SEL)*(FLUXO_MES_NUM&gt;MES_SEL-3)*FLUXO_N_MESES)),0))</f>
        <v/>
      </c>
      <c r="E86" s="84">
        <f>IF(OR($A86="",NOT(OR($B86="Necessidade",$B86="Desejo",$B86="Poupança"))),"",IF(IF($B86="Necessidade",$C$10,IF($B86="Desejo",$C$11,$C$12))=0,0,IF(SUMIFS($D$75:$D$122,$B$75:$B$122,$B86)&gt;0,IF($B86="Necessidade",$C$10,IF($B86="Desejo",$C$11,$C$12))*$D86/SUMIFS($D$75:$D$122,$B$75:$B$122,$B86),IF($B86="Necessidade",$C$10,IF($B86="Desejo",$C$11,$C$12))/MAX(1,COUNTIF($B$75:$B$122,$B86)))))</f>
        <v/>
      </c>
      <c r="F86" s="107">
        <f>IF(OR($A86="",NOT(OR($B86="Necessidade",$B86="Desejo",$B86="Poupança"))),"",IF(ORC_USAR="Sim",$E86,N($C86)))</f>
        <v/>
      </c>
      <c r="G86" s="107">
        <f>IF(OR($A86="",NOT(OR($B86="Necessidade",$B86="Desejo",$B86="Poupança"))),"",IF(ORC_USAR="Sim",$E86,N($C86)))</f>
        <v/>
      </c>
      <c r="H86" s="107">
        <f>IF(OR($A86="",NOT(OR($B86="Necessidade",$B86="Desejo",$B86="Poupança"))),"",IF(ORC_USAR="Sim",$E86,N($C86)))</f>
        <v/>
      </c>
      <c r="I86" s="107">
        <f>IF(OR($A86="",NOT(OR($B86="Necessidade",$B86="Desejo",$B86="Poupança"))),"",IF(ORC_USAR="Sim",$E86,N($C86)))</f>
        <v/>
      </c>
      <c r="J86" s="107">
        <f>IF(OR($A86="",NOT(OR($B86="Necessidade",$B86="Desejo",$B86="Poupança"))),"",IF(ORC_USAR="Sim",$E86,N($C86)))</f>
        <v/>
      </c>
      <c r="K86" s="107">
        <f>IF(OR($A86="",NOT(OR($B86="Necessidade",$B86="Desejo",$B86="Poupança"))),"",IF(ORC_USAR="Sim",$E86,N($C86)))</f>
        <v/>
      </c>
      <c r="L86" s="107">
        <f>IF(OR($A86="",NOT(OR($B86="Necessidade",$B86="Desejo",$B86="Poupança"))),"",IF(ORC_USAR="Sim",$E86,N($C86)))</f>
        <v/>
      </c>
      <c r="M86" s="107">
        <f>IF(OR($A86="",NOT(OR($B86="Necessidade",$B86="Desejo",$B86="Poupança"))),"",IF(ORC_USAR="Sim",$E86,N($C86)))</f>
        <v/>
      </c>
      <c r="N86" s="107">
        <f>IF(OR($A86="",NOT(OR($B86="Necessidade",$B86="Desejo",$B86="Poupança"))),"",IF(ORC_USAR="Sim",$E86,N($C86)))</f>
        <v/>
      </c>
      <c r="O86" s="107">
        <f>IF(OR($A86="",NOT(OR($B86="Necessidade",$B86="Desejo",$B86="Poupança"))),"",IF(ORC_USAR="Sim",$E86,N($C86)))</f>
        <v/>
      </c>
      <c r="P86" s="107">
        <f>IF(OR($A86="",NOT(OR($B86="Necessidade",$B86="Desejo",$B86="Poupança"))),"",IF(ORC_USAR="Sim",$E86,N($C86)))</f>
        <v/>
      </c>
      <c r="Q86" s="107">
        <f>IF(OR($A86="",NOT(OR($B86="Necessidade",$B86="Desejo",$B86="Poupança"))),"",IF(ORC_USAR="Sim",$E86,N($C86)))</f>
        <v/>
      </c>
      <c r="R86" s="85">
        <f>IF($A86="","",SUM(F86:Q86))</f>
        <v/>
      </c>
    </row>
    <row r="87">
      <c r="A87" s="75">
        <f>IF('Fluxo anual'!A40="","",'Fluxo anual'!A40)</f>
        <v/>
      </c>
      <c r="B87" s="75">
        <f>IF($A87="","",'Fluxo anual'!B40)</f>
        <v/>
      </c>
      <c r="C87" s="76" t="n">
        <v>370</v>
      </c>
      <c r="D87" s="84">
        <f>IF(OR($A87="",NOT(OR($B87="Necessidade",$B87="Desejo",$B87="Poupança"))),"",IFERROR(SUMPRODUCT((FLUXO_MES_NUM&lt;=MES_SEL)*(FLUXO_MES_NUM&gt;MES_SEL-3)*'Fluxo anual'!$C40:$N40)/MAX(1,SUMPRODUCT((FLUXO_MES_NUM&lt;=MES_SEL)*(FLUXO_MES_NUM&gt;MES_SEL-3)*FLUXO_N_MESES)),0))</f>
        <v/>
      </c>
      <c r="E87" s="84">
        <f>IF(OR($A87="",NOT(OR($B87="Necessidade",$B87="Desejo",$B87="Poupança"))),"",IF(IF($B87="Necessidade",$C$10,IF($B87="Desejo",$C$11,$C$12))=0,0,IF(SUMIFS($D$75:$D$122,$B$75:$B$122,$B87)&gt;0,IF($B87="Necessidade",$C$10,IF($B87="Desejo",$C$11,$C$12))*$D87/SUMIFS($D$75:$D$122,$B$75:$B$122,$B87),IF($B87="Necessidade",$C$10,IF($B87="Desejo",$C$11,$C$12))/MAX(1,COUNTIF($B$75:$B$122,$B87)))))</f>
        <v/>
      </c>
      <c r="F87" s="107">
        <f>IF(OR($A87="",NOT(OR($B87="Necessidade",$B87="Desejo",$B87="Poupança"))),"",IF(ORC_USAR="Sim",$E87,N($C87)))</f>
        <v/>
      </c>
      <c r="G87" s="107">
        <f>IF(OR($A87="",NOT(OR($B87="Necessidade",$B87="Desejo",$B87="Poupança"))),"",IF(ORC_USAR="Sim",$E87,N($C87)))</f>
        <v/>
      </c>
      <c r="H87" s="107">
        <f>IF(OR($A87="",NOT(OR($B87="Necessidade",$B87="Desejo",$B87="Poupança"))),"",IF(ORC_USAR="Sim",$E87,N($C87)))</f>
        <v/>
      </c>
      <c r="I87" s="107">
        <f>IF(OR($A87="",NOT(OR($B87="Necessidade",$B87="Desejo",$B87="Poupança"))),"",IF(ORC_USAR="Sim",$E87,N($C87)))</f>
        <v/>
      </c>
      <c r="J87" s="107">
        <f>IF(OR($A87="",NOT(OR($B87="Necessidade",$B87="Desejo",$B87="Poupança"))),"",IF(ORC_USAR="Sim",$E87,N($C87)))</f>
        <v/>
      </c>
      <c r="K87" s="107">
        <f>IF(OR($A87="",NOT(OR($B87="Necessidade",$B87="Desejo",$B87="Poupança"))),"",IF(ORC_USAR="Sim",$E87,N($C87)))</f>
        <v/>
      </c>
      <c r="L87" s="107">
        <f>IF(OR($A87="",NOT(OR($B87="Necessidade",$B87="Desejo",$B87="Poupança"))),"",IF(ORC_USAR="Sim",$E87,N($C87)))</f>
        <v/>
      </c>
      <c r="M87" s="107">
        <f>IF(OR($A87="",NOT(OR($B87="Necessidade",$B87="Desejo",$B87="Poupança"))),"",IF(ORC_USAR="Sim",$E87,N($C87)))</f>
        <v/>
      </c>
      <c r="N87" s="107">
        <f>IF(OR($A87="",NOT(OR($B87="Necessidade",$B87="Desejo",$B87="Poupança"))),"",IF(ORC_USAR="Sim",$E87,N($C87)))</f>
        <v/>
      </c>
      <c r="O87" s="107">
        <f>IF(OR($A87="",NOT(OR($B87="Necessidade",$B87="Desejo",$B87="Poupança"))),"",IF(ORC_USAR="Sim",$E87,N($C87)))</f>
        <v/>
      </c>
      <c r="P87" s="107">
        <f>IF(OR($A87="",NOT(OR($B87="Necessidade",$B87="Desejo",$B87="Poupança"))),"",IF(ORC_USAR="Sim",$E87,N($C87)))</f>
        <v/>
      </c>
      <c r="Q87" s="107">
        <f>IF(OR($A87="",NOT(OR($B87="Necessidade",$B87="Desejo",$B87="Poupança"))),"",IF(ORC_USAR="Sim",$E87,N($C87)))</f>
        <v/>
      </c>
      <c r="R87" s="85">
        <f>IF($A87="","",SUM(F87:Q87))</f>
        <v/>
      </c>
    </row>
    <row r="88">
      <c r="A88" s="75">
        <f>IF('Fluxo anual'!A41="","",'Fluxo anual'!A41)</f>
        <v/>
      </c>
      <c r="B88" s="75">
        <f>IF($A88="","",'Fluxo anual'!B41)</f>
        <v/>
      </c>
      <c r="C88" s="76" t="n">
        <v>190</v>
      </c>
      <c r="D88" s="84">
        <f>IF(OR($A88="",NOT(OR($B88="Necessidade",$B88="Desejo",$B88="Poupança"))),"",IFERROR(SUMPRODUCT((FLUXO_MES_NUM&lt;=MES_SEL)*(FLUXO_MES_NUM&gt;MES_SEL-3)*'Fluxo anual'!$C41:$N41)/MAX(1,SUMPRODUCT((FLUXO_MES_NUM&lt;=MES_SEL)*(FLUXO_MES_NUM&gt;MES_SEL-3)*FLUXO_N_MESES)),0))</f>
        <v/>
      </c>
      <c r="E88" s="84">
        <f>IF(OR($A88="",NOT(OR($B88="Necessidade",$B88="Desejo",$B88="Poupança"))),"",IF(IF($B88="Necessidade",$C$10,IF($B88="Desejo",$C$11,$C$12))=0,0,IF(SUMIFS($D$75:$D$122,$B$75:$B$122,$B88)&gt;0,IF($B88="Necessidade",$C$10,IF($B88="Desejo",$C$11,$C$12))*$D88/SUMIFS($D$75:$D$122,$B$75:$B$122,$B88),IF($B88="Necessidade",$C$10,IF($B88="Desejo",$C$11,$C$12))/MAX(1,COUNTIF($B$75:$B$122,$B88)))))</f>
        <v/>
      </c>
      <c r="F88" s="107">
        <f>IF(OR($A88="",NOT(OR($B88="Necessidade",$B88="Desejo",$B88="Poupança"))),"",IF(ORC_USAR="Sim",$E88,N($C88)))</f>
        <v/>
      </c>
      <c r="G88" s="107">
        <f>IF(OR($A88="",NOT(OR($B88="Necessidade",$B88="Desejo",$B88="Poupança"))),"",IF(ORC_USAR="Sim",$E88,N($C88)))</f>
        <v/>
      </c>
      <c r="H88" s="107">
        <f>IF(OR($A88="",NOT(OR($B88="Necessidade",$B88="Desejo",$B88="Poupança"))),"",IF(ORC_USAR="Sim",$E88,N($C88)))</f>
        <v/>
      </c>
      <c r="I88" s="107">
        <f>IF(OR($A88="",NOT(OR($B88="Necessidade",$B88="Desejo",$B88="Poupança"))),"",IF(ORC_USAR="Sim",$E88,N($C88)))</f>
        <v/>
      </c>
      <c r="J88" s="107">
        <f>IF(OR($A88="",NOT(OR($B88="Necessidade",$B88="Desejo",$B88="Poupança"))),"",IF(ORC_USAR="Sim",$E88,N($C88)))</f>
        <v/>
      </c>
      <c r="K88" s="107">
        <f>IF(OR($A88="",NOT(OR($B88="Necessidade",$B88="Desejo",$B88="Poupança"))),"",IF(ORC_USAR="Sim",$E88,N($C88)))</f>
        <v/>
      </c>
      <c r="L88" s="107">
        <f>IF(OR($A88="",NOT(OR($B88="Necessidade",$B88="Desejo",$B88="Poupança"))),"",IF(ORC_USAR="Sim",$E88,N($C88)))</f>
        <v/>
      </c>
      <c r="M88" s="107">
        <f>IF(OR($A88="",NOT(OR($B88="Necessidade",$B88="Desejo",$B88="Poupança"))),"",IF(ORC_USAR="Sim",$E88,N($C88)))</f>
        <v/>
      </c>
      <c r="N88" s="107">
        <f>IF(OR($A88="",NOT(OR($B88="Necessidade",$B88="Desejo",$B88="Poupança"))),"",IF(ORC_USAR="Sim",$E88,N($C88)))</f>
        <v/>
      </c>
      <c r="O88" s="107">
        <f>IF(OR($A88="",NOT(OR($B88="Necessidade",$B88="Desejo",$B88="Poupança"))),"",IF(ORC_USAR="Sim",$E88,N($C88)))</f>
        <v/>
      </c>
      <c r="P88" s="107">
        <f>IF(OR($A88="",NOT(OR($B88="Necessidade",$B88="Desejo",$B88="Poupança"))),"",IF(ORC_USAR="Sim",$E88,N($C88)))</f>
        <v/>
      </c>
      <c r="Q88" s="107">
        <f>IF(OR($A88="",NOT(OR($B88="Necessidade",$B88="Desejo",$B88="Poupança"))),"",IF(ORC_USAR="Sim",$E88,N($C88)))</f>
        <v/>
      </c>
      <c r="R88" s="85">
        <f>IF($A88="","",SUM(F88:Q88))</f>
        <v/>
      </c>
    </row>
    <row r="89">
      <c r="A89" s="75">
        <f>IF('Fluxo anual'!A42="","",'Fluxo anual'!A42)</f>
        <v/>
      </c>
      <c r="B89" s="75">
        <f>IF($A89="","",'Fluxo anual'!B42)</f>
        <v/>
      </c>
      <c r="C89" s="76" t="n">
        <v>145</v>
      </c>
      <c r="D89" s="84">
        <f>IF(OR($A89="",NOT(OR($B89="Necessidade",$B89="Desejo",$B89="Poupança"))),"",IFERROR(SUMPRODUCT((FLUXO_MES_NUM&lt;=MES_SEL)*(FLUXO_MES_NUM&gt;MES_SEL-3)*'Fluxo anual'!$C42:$N42)/MAX(1,SUMPRODUCT((FLUXO_MES_NUM&lt;=MES_SEL)*(FLUXO_MES_NUM&gt;MES_SEL-3)*FLUXO_N_MESES)),0))</f>
        <v/>
      </c>
      <c r="E89" s="84">
        <f>IF(OR($A89="",NOT(OR($B89="Necessidade",$B89="Desejo",$B89="Poupança"))),"",IF(IF($B89="Necessidade",$C$10,IF($B89="Desejo",$C$11,$C$12))=0,0,IF(SUMIFS($D$75:$D$122,$B$75:$B$122,$B89)&gt;0,IF($B89="Necessidade",$C$10,IF($B89="Desejo",$C$11,$C$12))*$D89/SUMIFS($D$75:$D$122,$B$75:$B$122,$B89),IF($B89="Necessidade",$C$10,IF($B89="Desejo",$C$11,$C$12))/MAX(1,COUNTIF($B$75:$B$122,$B89)))))</f>
        <v/>
      </c>
      <c r="F89" s="107">
        <f>IF(OR($A89="",NOT(OR($B89="Necessidade",$B89="Desejo",$B89="Poupança"))),"",IF(ORC_USAR="Sim",$E89,N($C89)))</f>
        <v/>
      </c>
      <c r="G89" s="107">
        <f>IF(OR($A89="",NOT(OR($B89="Necessidade",$B89="Desejo",$B89="Poupança"))),"",IF(ORC_USAR="Sim",$E89,N($C89)))</f>
        <v/>
      </c>
      <c r="H89" s="107">
        <f>IF(OR($A89="",NOT(OR($B89="Necessidade",$B89="Desejo",$B89="Poupança"))),"",IF(ORC_USAR="Sim",$E89,N($C89)))</f>
        <v/>
      </c>
      <c r="I89" s="107">
        <f>IF(OR($A89="",NOT(OR($B89="Necessidade",$B89="Desejo",$B89="Poupança"))),"",IF(ORC_USAR="Sim",$E89,N($C89)))</f>
        <v/>
      </c>
      <c r="J89" s="107">
        <f>IF(OR($A89="",NOT(OR($B89="Necessidade",$B89="Desejo",$B89="Poupança"))),"",IF(ORC_USAR="Sim",$E89,N($C89)))</f>
        <v/>
      </c>
      <c r="K89" s="107">
        <f>IF(OR($A89="",NOT(OR($B89="Necessidade",$B89="Desejo",$B89="Poupança"))),"",IF(ORC_USAR="Sim",$E89,N($C89)))</f>
        <v/>
      </c>
      <c r="L89" s="107">
        <f>IF(OR($A89="",NOT(OR($B89="Necessidade",$B89="Desejo",$B89="Poupança"))),"",IF(ORC_USAR="Sim",$E89,N($C89)))</f>
        <v/>
      </c>
      <c r="M89" s="107">
        <f>IF(OR($A89="",NOT(OR($B89="Necessidade",$B89="Desejo",$B89="Poupança"))),"",IF(ORC_USAR="Sim",$E89,N($C89)))</f>
        <v/>
      </c>
      <c r="N89" s="107">
        <f>IF(OR($A89="",NOT(OR($B89="Necessidade",$B89="Desejo",$B89="Poupança"))),"",IF(ORC_USAR="Sim",$E89,N($C89)))</f>
        <v/>
      </c>
      <c r="O89" s="107">
        <f>IF(OR($A89="",NOT(OR($B89="Necessidade",$B89="Desejo",$B89="Poupança"))),"",IF(ORC_USAR="Sim",$E89,N($C89)))</f>
        <v/>
      </c>
      <c r="P89" s="107">
        <f>IF(OR($A89="",NOT(OR($B89="Necessidade",$B89="Desejo",$B89="Poupança"))),"",IF(ORC_USAR="Sim",$E89,N($C89)))</f>
        <v/>
      </c>
      <c r="Q89" s="107">
        <f>IF(OR($A89="",NOT(OR($B89="Necessidade",$B89="Desejo",$B89="Poupança"))),"",IF(ORC_USAR="Sim",$E89,N($C89)))</f>
        <v/>
      </c>
      <c r="R89" s="85">
        <f>IF($A89="","",SUM(F89:Q89))</f>
        <v/>
      </c>
    </row>
    <row r="90">
      <c r="A90" s="75">
        <f>IF('Fluxo anual'!A43="","",'Fluxo anual'!A43)</f>
        <v/>
      </c>
      <c r="B90" s="75">
        <f>IF($A90="","",'Fluxo anual'!B43)</f>
        <v/>
      </c>
      <c r="C90" s="76" t="n">
        <v>100</v>
      </c>
      <c r="D90" s="84">
        <f>IF(OR($A90="",NOT(OR($B90="Necessidade",$B90="Desejo",$B90="Poupança"))),"",IFERROR(SUMPRODUCT((FLUXO_MES_NUM&lt;=MES_SEL)*(FLUXO_MES_NUM&gt;MES_SEL-3)*'Fluxo anual'!$C43:$N43)/MAX(1,SUMPRODUCT((FLUXO_MES_NUM&lt;=MES_SEL)*(FLUXO_MES_NUM&gt;MES_SEL-3)*FLUXO_N_MESES)),0))</f>
        <v/>
      </c>
      <c r="E90" s="84">
        <f>IF(OR($A90="",NOT(OR($B90="Necessidade",$B90="Desejo",$B90="Poupança"))),"",IF(IF($B90="Necessidade",$C$10,IF($B90="Desejo",$C$11,$C$12))=0,0,IF(SUMIFS($D$75:$D$122,$B$75:$B$122,$B90)&gt;0,IF($B90="Necessidade",$C$10,IF($B90="Desejo",$C$11,$C$12))*$D90/SUMIFS($D$75:$D$122,$B$75:$B$122,$B90),IF($B90="Necessidade",$C$10,IF($B90="Desejo",$C$11,$C$12))/MAX(1,COUNTIF($B$75:$B$122,$B90)))))</f>
        <v/>
      </c>
      <c r="F90" s="107" t="n">
        <v>1180</v>
      </c>
      <c r="G90" s="107">
        <f>IF(OR($A90="",NOT(OR($B90="Necessidade",$B90="Desejo",$B90="Poupança"))),"",IF(ORC_USAR="Sim",$E90,N($C90)))</f>
        <v/>
      </c>
      <c r="H90" s="107">
        <f>IF(OR($A90="",NOT(OR($B90="Necessidade",$B90="Desejo",$B90="Poupança"))),"",IF(ORC_USAR="Sim",$E90,N($C90)))</f>
        <v/>
      </c>
      <c r="I90" s="107">
        <f>IF(OR($A90="",NOT(OR($B90="Necessidade",$B90="Desejo",$B90="Poupança"))),"",IF(ORC_USAR="Sim",$E90,N($C90)))</f>
        <v/>
      </c>
      <c r="J90" s="107">
        <f>IF(OR($A90="",NOT(OR($B90="Necessidade",$B90="Desejo",$B90="Poupança"))),"",IF(ORC_USAR="Sim",$E90,N($C90)))</f>
        <v/>
      </c>
      <c r="K90" s="107">
        <f>IF(OR($A90="",NOT(OR($B90="Necessidade",$B90="Desejo",$B90="Poupança"))),"",IF(ORC_USAR="Sim",$E90,N($C90)))</f>
        <v/>
      </c>
      <c r="L90" s="107">
        <f>IF(OR($A90="",NOT(OR($B90="Necessidade",$B90="Desejo",$B90="Poupança"))),"",IF(ORC_USAR="Sim",$E90,N($C90)))</f>
        <v/>
      </c>
      <c r="M90" s="107">
        <f>IF(OR($A90="",NOT(OR($B90="Necessidade",$B90="Desejo",$B90="Poupança"))),"",IF(ORC_USAR="Sim",$E90,N($C90)))</f>
        <v/>
      </c>
      <c r="N90" s="107">
        <f>IF(OR($A90="",NOT(OR($B90="Necessidade",$B90="Desejo",$B90="Poupança"))),"",IF(ORC_USAR="Sim",$E90,N($C90)))</f>
        <v/>
      </c>
      <c r="O90" s="107">
        <f>IF(OR($A90="",NOT(OR($B90="Necessidade",$B90="Desejo",$B90="Poupança"))),"",IF(ORC_USAR="Sim",$E90,N($C90)))</f>
        <v/>
      </c>
      <c r="P90" s="107">
        <f>IF(OR($A90="",NOT(OR($B90="Necessidade",$B90="Desejo",$B90="Poupança"))),"",IF(ORC_USAR="Sim",$E90,N($C90)))</f>
        <v/>
      </c>
      <c r="Q90" s="107">
        <f>IF(OR($A90="",NOT(OR($B90="Necessidade",$B90="Desejo",$B90="Poupança"))),"",IF(ORC_USAR="Sim",$E90,N($C90)))</f>
        <v/>
      </c>
      <c r="R90" s="85">
        <f>IF($A90="","",SUM(F90:Q90))</f>
        <v/>
      </c>
    </row>
    <row r="91">
      <c r="A91" s="75">
        <f>IF('Fluxo anual'!A44="","",'Fluxo anual'!A44)</f>
        <v/>
      </c>
      <c r="B91" s="75">
        <f>IF($A91="","",'Fluxo anual'!B44)</f>
        <v/>
      </c>
      <c r="C91" s="76" t="n">
        <v>560</v>
      </c>
      <c r="D91" s="84">
        <f>IF(OR($A91="",NOT(OR($B91="Necessidade",$B91="Desejo",$B91="Poupança"))),"",IFERROR(SUMPRODUCT((FLUXO_MES_NUM&lt;=MES_SEL)*(FLUXO_MES_NUM&gt;MES_SEL-3)*'Fluxo anual'!$C44:$N44)/MAX(1,SUMPRODUCT((FLUXO_MES_NUM&lt;=MES_SEL)*(FLUXO_MES_NUM&gt;MES_SEL-3)*FLUXO_N_MESES)),0))</f>
        <v/>
      </c>
      <c r="E91" s="84">
        <f>IF(OR($A91="",NOT(OR($B91="Necessidade",$B91="Desejo",$B91="Poupança"))),"",IF(IF($B91="Necessidade",$C$10,IF($B91="Desejo",$C$11,$C$12))=0,0,IF(SUMIFS($D$75:$D$122,$B$75:$B$122,$B91)&gt;0,IF($B91="Necessidade",$C$10,IF($B91="Desejo",$C$11,$C$12))*$D91/SUMIFS($D$75:$D$122,$B$75:$B$122,$B91),IF($B91="Necessidade",$C$10,IF($B91="Desejo",$C$11,$C$12))/MAX(1,COUNTIF($B$75:$B$122,$B91)))))</f>
        <v/>
      </c>
      <c r="F91" s="107">
        <f>IF(OR($A91="",NOT(OR($B91="Necessidade",$B91="Desejo",$B91="Poupança"))),"",IF(ORC_USAR="Sim",$E91,N($C91)))</f>
        <v/>
      </c>
      <c r="G91" s="107">
        <f>IF(OR($A91="",NOT(OR($B91="Necessidade",$B91="Desejo",$B91="Poupança"))),"",IF(ORC_USAR="Sim",$E91,N($C91)))</f>
        <v/>
      </c>
      <c r="H91" s="107">
        <f>IF(OR($A91="",NOT(OR($B91="Necessidade",$B91="Desejo",$B91="Poupança"))),"",IF(ORC_USAR="Sim",$E91,N($C91)))</f>
        <v/>
      </c>
      <c r="I91" s="107">
        <f>IF(OR($A91="",NOT(OR($B91="Necessidade",$B91="Desejo",$B91="Poupança"))),"",IF(ORC_USAR="Sim",$E91,N($C91)))</f>
        <v/>
      </c>
      <c r="J91" s="107">
        <f>IF(OR($A91="",NOT(OR($B91="Necessidade",$B91="Desejo",$B91="Poupança"))),"",IF(ORC_USAR="Sim",$E91,N($C91)))</f>
        <v/>
      </c>
      <c r="K91" s="107">
        <f>IF(OR($A91="",NOT(OR($B91="Necessidade",$B91="Desejo",$B91="Poupança"))),"",IF(ORC_USAR="Sim",$E91,N($C91)))</f>
        <v/>
      </c>
      <c r="L91" s="107">
        <f>IF(OR($A91="",NOT(OR($B91="Necessidade",$B91="Desejo",$B91="Poupança"))),"",IF(ORC_USAR="Sim",$E91,N($C91)))</f>
        <v/>
      </c>
      <c r="M91" s="107">
        <f>IF(OR($A91="",NOT(OR($B91="Necessidade",$B91="Desejo",$B91="Poupança"))),"",IF(ORC_USAR="Sim",$E91,N($C91)))</f>
        <v/>
      </c>
      <c r="N91" s="107">
        <f>IF(OR($A91="",NOT(OR($B91="Necessidade",$B91="Desejo",$B91="Poupança"))),"",IF(ORC_USAR="Sim",$E91,N($C91)))</f>
        <v/>
      </c>
      <c r="O91" s="107">
        <f>IF(OR($A91="",NOT(OR($B91="Necessidade",$B91="Desejo",$B91="Poupança"))),"",IF(ORC_USAR="Sim",$E91,N($C91)))</f>
        <v/>
      </c>
      <c r="P91" s="107">
        <f>IF(OR($A91="",NOT(OR($B91="Necessidade",$B91="Desejo",$B91="Poupança"))),"",IF(ORC_USAR="Sim",$E91,N($C91)))</f>
        <v/>
      </c>
      <c r="Q91" s="107">
        <f>IF(OR($A91="",NOT(OR($B91="Necessidade",$B91="Desejo",$B91="Poupança"))),"",IF(ORC_USAR="Sim",$E91,N($C91)))</f>
        <v/>
      </c>
      <c r="R91" s="85">
        <f>IF($A91="","",SUM(F91:Q91))</f>
        <v/>
      </c>
    </row>
    <row r="92">
      <c r="A92" s="75">
        <f>IF('Fluxo anual'!A45="","",'Fluxo anual'!A45)</f>
        <v/>
      </c>
      <c r="B92" s="75">
        <f>IF($A92="","",'Fluxo anual'!B45)</f>
        <v/>
      </c>
      <c r="C92" s="76" t="n"/>
      <c r="D92" s="84">
        <f>IF(OR($A92="",NOT(OR($B92="Necessidade",$B92="Desejo",$B92="Poupança"))),"",IFERROR(SUMPRODUCT((FLUXO_MES_NUM&lt;=MES_SEL)*(FLUXO_MES_NUM&gt;MES_SEL-3)*'Fluxo anual'!$C45:$N45)/MAX(1,SUMPRODUCT((FLUXO_MES_NUM&lt;=MES_SEL)*(FLUXO_MES_NUM&gt;MES_SEL-3)*FLUXO_N_MESES)),0))</f>
        <v/>
      </c>
      <c r="E92" s="84">
        <f>IF(OR($A92="",NOT(OR($B92="Necessidade",$B92="Desejo",$B92="Poupança"))),"",IF(IF($B92="Necessidade",$C$10,IF($B92="Desejo",$C$11,$C$12))=0,0,IF(SUMIFS($D$75:$D$122,$B$75:$B$122,$B92)&gt;0,IF($B92="Necessidade",$C$10,IF($B92="Desejo",$C$11,$C$12))*$D92/SUMIFS($D$75:$D$122,$B$75:$B$122,$B92),IF($B92="Necessidade",$C$10,IF($B92="Desejo",$C$11,$C$12))/MAX(1,COUNTIF($B$75:$B$122,$B92)))))</f>
        <v/>
      </c>
      <c r="F92" s="107">
        <f>IF(OR($A92="",NOT(OR($B92="Necessidade",$B92="Desejo",$B92="Poupança"))),"",IF(ORC_USAR="Sim",$E92,N($C92)))</f>
        <v/>
      </c>
      <c r="G92" s="107">
        <f>IF(OR($A92="",NOT(OR($B92="Necessidade",$B92="Desejo",$B92="Poupança"))),"",IF(ORC_USAR="Sim",$E92,N($C92)))</f>
        <v/>
      </c>
      <c r="H92" s="107">
        <f>IF(OR($A92="",NOT(OR($B92="Necessidade",$B92="Desejo",$B92="Poupança"))),"",IF(ORC_USAR="Sim",$E92,N($C92)))</f>
        <v/>
      </c>
      <c r="I92" s="107">
        <f>IF(OR($A92="",NOT(OR($B92="Necessidade",$B92="Desejo",$B92="Poupança"))),"",IF(ORC_USAR="Sim",$E92,N($C92)))</f>
        <v/>
      </c>
      <c r="J92" s="107">
        <f>IF(OR($A92="",NOT(OR($B92="Necessidade",$B92="Desejo",$B92="Poupança"))),"",IF(ORC_USAR="Sim",$E92,N($C92)))</f>
        <v/>
      </c>
      <c r="K92" s="107">
        <f>IF(OR($A92="",NOT(OR($B92="Necessidade",$B92="Desejo",$B92="Poupança"))),"",IF(ORC_USAR="Sim",$E92,N($C92)))</f>
        <v/>
      </c>
      <c r="L92" s="107">
        <f>IF(OR($A92="",NOT(OR($B92="Necessidade",$B92="Desejo",$B92="Poupança"))),"",IF(ORC_USAR="Sim",$E92,N($C92)))</f>
        <v/>
      </c>
      <c r="M92" s="107">
        <f>IF(OR($A92="",NOT(OR($B92="Necessidade",$B92="Desejo",$B92="Poupança"))),"",IF(ORC_USAR="Sim",$E92,N($C92)))</f>
        <v/>
      </c>
      <c r="N92" s="107">
        <f>IF(OR($A92="",NOT(OR($B92="Necessidade",$B92="Desejo",$B92="Poupança"))),"",IF(ORC_USAR="Sim",$E92,N($C92)))</f>
        <v/>
      </c>
      <c r="O92" s="107">
        <f>IF(OR($A92="",NOT(OR($B92="Necessidade",$B92="Desejo",$B92="Poupança"))),"",IF(ORC_USAR="Sim",$E92,N($C92)))</f>
        <v/>
      </c>
      <c r="P92" s="107">
        <f>IF(OR($A92="",NOT(OR($B92="Necessidade",$B92="Desejo",$B92="Poupança"))),"",IF(ORC_USAR="Sim",$E92,N($C92)))</f>
        <v/>
      </c>
      <c r="Q92" s="107">
        <f>IF(OR($A92="",NOT(OR($B92="Necessidade",$B92="Desejo",$B92="Poupança"))),"",IF(ORC_USAR="Sim",$E92,N($C92)))</f>
        <v/>
      </c>
      <c r="R92" s="85">
        <f>IF($A92="","",SUM(F92:Q92))</f>
        <v/>
      </c>
    </row>
    <row r="93">
      <c r="A93" s="75">
        <f>IF('Fluxo anual'!A46="","",'Fluxo anual'!A46)</f>
        <v/>
      </c>
      <c r="B93" s="75">
        <f>IF($A93="","",'Fluxo anual'!B46)</f>
        <v/>
      </c>
      <c r="C93" s="76" t="n"/>
      <c r="D93" s="84">
        <f>IF(OR($A93="",NOT(OR($B93="Necessidade",$B93="Desejo",$B93="Poupança"))),"",IFERROR(SUMPRODUCT((FLUXO_MES_NUM&lt;=MES_SEL)*(FLUXO_MES_NUM&gt;MES_SEL-3)*'Fluxo anual'!$C46:$N46)/MAX(1,SUMPRODUCT((FLUXO_MES_NUM&lt;=MES_SEL)*(FLUXO_MES_NUM&gt;MES_SEL-3)*FLUXO_N_MESES)),0))</f>
        <v/>
      </c>
      <c r="E93" s="84">
        <f>IF(OR($A93="",NOT(OR($B93="Necessidade",$B93="Desejo",$B93="Poupança"))),"",IF(IF($B93="Necessidade",$C$10,IF($B93="Desejo",$C$11,$C$12))=0,0,IF(SUMIFS($D$75:$D$122,$B$75:$B$122,$B93)&gt;0,IF($B93="Necessidade",$C$10,IF($B93="Desejo",$C$11,$C$12))*$D93/SUMIFS($D$75:$D$122,$B$75:$B$122,$B93),IF($B93="Necessidade",$C$10,IF($B93="Desejo",$C$11,$C$12))/MAX(1,COUNTIF($B$75:$B$122,$B93)))))</f>
        <v/>
      </c>
      <c r="F93" s="107">
        <f>IF(OR($A93="",NOT(OR($B93="Necessidade",$B93="Desejo",$B93="Poupança"))),"",IF(ORC_USAR="Sim",$E93,N($C93)))</f>
        <v/>
      </c>
      <c r="G93" s="107">
        <f>IF(OR($A93="",NOT(OR($B93="Necessidade",$B93="Desejo",$B93="Poupança"))),"",IF(ORC_USAR="Sim",$E93,N($C93)))</f>
        <v/>
      </c>
      <c r="H93" s="107">
        <f>IF(OR($A93="",NOT(OR($B93="Necessidade",$B93="Desejo",$B93="Poupança"))),"",IF(ORC_USAR="Sim",$E93,N($C93)))</f>
        <v/>
      </c>
      <c r="I93" s="107">
        <f>IF(OR($A93="",NOT(OR($B93="Necessidade",$B93="Desejo",$B93="Poupança"))),"",IF(ORC_USAR="Sim",$E93,N($C93)))</f>
        <v/>
      </c>
      <c r="J93" s="107">
        <f>IF(OR($A93="",NOT(OR($B93="Necessidade",$B93="Desejo",$B93="Poupança"))),"",IF(ORC_USAR="Sim",$E93,N($C93)))</f>
        <v/>
      </c>
      <c r="K93" s="107">
        <f>IF(OR($A93="",NOT(OR($B93="Necessidade",$B93="Desejo",$B93="Poupança"))),"",IF(ORC_USAR="Sim",$E93,N($C93)))</f>
        <v/>
      </c>
      <c r="L93" s="107">
        <f>IF(OR($A93="",NOT(OR($B93="Necessidade",$B93="Desejo",$B93="Poupança"))),"",IF(ORC_USAR="Sim",$E93,N($C93)))</f>
        <v/>
      </c>
      <c r="M93" s="107">
        <f>IF(OR($A93="",NOT(OR($B93="Necessidade",$B93="Desejo",$B93="Poupança"))),"",IF(ORC_USAR="Sim",$E93,N($C93)))</f>
        <v/>
      </c>
      <c r="N93" s="107">
        <f>IF(OR($A93="",NOT(OR($B93="Necessidade",$B93="Desejo",$B93="Poupança"))),"",IF(ORC_USAR="Sim",$E93,N($C93)))</f>
        <v/>
      </c>
      <c r="O93" s="107">
        <f>IF(OR($A93="",NOT(OR($B93="Necessidade",$B93="Desejo",$B93="Poupança"))),"",IF(ORC_USAR="Sim",$E93,N($C93)))</f>
        <v/>
      </c>
      <c r="P93" s="107">
        <f>IF(OR($A93="",NOT(OR($B93="Necessidade",$B93="Desejo",$B93="Poupança"))),"",IF(ORC_USAR="Sim",$E93,N($C93)))</f>
        <v/>
      </c>
      <c r="Q93" s="107">
        <f>IF(OR($A93="",NOT(OR($B93="Necessidade",$B93="Desejo",$B93="Poupança"))),"",IF(ORC_USAR="Sim",$E93,N($C93)))</f>
        <v/>
      </c>
      <c r="R93" s="85">
        <f>IF($A93="","",SUM(F93:Q93))</f>
        <v/>
      </c>
    </row>
    <row r="94">
      <c r="A94" s="75">
        <f>IF('Fluxo anual'!A47="","",'Fluxo anual'!A47)</f>
        <v/>
      </c>
      <c r="B94" s="75">
        <f>IF($A94="","",'Fluxo anual'!B47)</f>
        <v/>
      </c>
      <c r="C94" s="76" t="n">
        <v>230</v>
      </c>
      <c r="D94" s="84">
        <f>IF(OR($A94="",NOT(OR($B94="Necessidade",$B94="Desejo",$B94="Poupança"))),"",IFERROR(SUMPRODUCT((FLUXO_MES_NUM&lt;=MES_SEL)*(FLUXO_MES_NUM&gt;MES_SEL-3)*'Fluxo anual'!$C47:$N47)/MAX(1,SUMPRODUCT((FLUXO_MES_NUM&lt;=MES_SEL)*(FLUXO_MES_NUM&gt;MES_SEL-3)*FLUXO_N_MESES)),0))</f>
        <v/>
      </c>
      <c r="E94" s="84">
        <f>IF(OR($A94="",NOT(OR($B94="Necessidade",$B94="Desejo",$B94="Poupança"))),"",IF(IF($B94="Necessidade",$C$10,IF($B94="Desejo",$C$11,$C$12))=0,0,IF(SUMIFS($D$75:$D$122,$B$75:$B$122,$B94)&gt;0,IF($B94="Necessidade",$C$10,IF($B94="Desejo",$C$11,$C$12))*$D94/SUMIFS($D$75:$D$122,$B$75:$B$122,$B94),IF($B94="Necessidade",$C$10,IF($B94="Desejo",$C$11,$C$12))/MAX(1,COUNTIF($B$75:$B$122,$B94)))))</f>
        <v/>
      </c>
      <c r="F94" s="107">
        <f>IF(OR($A94="",NOT(OR($B94="Necessidade",$B94="Desejo",$B94="Poupança"))),"",IF(ORC_USAR="Sim",$E94,N($C94)))</f>
        <v/>
      </c>
      <c r="G94" s="107">
        <f>IF(OR($A94="",NOT(OR($B94="Necessidade",$B94="Desejo",$B94="Poupança"))),"",IF(ORC_USAR="Sim",$E94,N($C94)))</f>
        <v/>
      </c>
      <c r="H94" s="107">
        <f>IF(OR($A94="",NOT(OR($B94="Necessidade",$B94="Desejo",$B94="Poupança"))),"",IF(ORC_USAR="Sim",$E94,N($C94)))</f>
        <v/>
      </c>
      <c r="I94" s="107">
        <f>IF(OR($A94="",NOT(OR($B94="Necessidade",$B94="Desejo",$B94="Poupança"))),"",IF(ORC_USAR="Sim",$E94,N($C94)))</f>
        <v/>
      </c>
      <c r="J94" s="107">
        <f>IF(OR($A94="",NOT(OR($B94="Necessidade",$B94="Desejo",$B94="Poupança"))),"",IF(ORC_USAR="Sim",$E94,N($C94)))</f>
        <v/>
      </c>
      <c r="K94" s="107">
        <f>IF(OR($A94="",NOT(OR($B94="Necessidade",$B94="Desejo",$B94="Poupança"))),"",IF(ORC_USAR="Sim",$E94,N($C94)))</f>
        <v/>
      </c>
      <c r="L94" s="107">
        <f>IF(OR($A94="",NOT(OR($B94="Necessidade",$B94="Desejo",$B94="Poupança"))),"",IF(ORC_USAR="Sim",$E94,N($C94)))</f>
        <v/>
      </c>
      <c r="M94" s="107">
        <f>IF(OR($A94="",NOT(OR($B94="Necessidade",$B94="Desejo",$B94="Poupança"))),"",IF(ORC_USAR="Sim",$E94,N($C94)))</f>
        <v/>
      </c>
      <c r="N94" s="107">
        <f>IF(OR($A94="",NOT(OR($B94="Necessidade",$B94="Desejo",$B94="Poupança"))),"",IF(ORC_USAR="Sim",$E94,N($C94)))</f>
        <v/>
      </c>
      <c r="O94" s="107">
        <f>IF(OR($A94="",NOT(OR($B94="Necessidade",$B94="Desejo",$B94="Poupança"))),"",IF(ORC_USAR="Sim",$E94,N($C94)))</f>
        <v/>
      </c>
      <c r="P94" s="107">
        <f>IF(OR($A94="",NOT(OR($B94="Necessidade",$B94="Desejo",$B94="Poupança"))),"",IF(ORC_USAR="Sim",$E94,N($C94)))</f>
        <v/>
      </c>
      <c r="Q94" s="107" t="n">
        <v>450</v>
      </c>
      <c r="R94" s="85">
        <f>IF($A94="","",SUM(F94:Q94))</f>
        <v/>
      </c>
    </row>
    <row r="95">
      <c r="A95" s="75">
        <f>IF('Fluxo anual'!A48="","",'Fluxo anual'!A48)</f>
        <v/>
      </c>
      <c r="B95" s="75">
        <f>IF($A95="","",'Fluxo anual'!B48)</f>
        <v/>
      </c>
      <c r="C95" s="76" t="n">
        <v>110</v>
      </c>
      <c r="D95" s="84">
        <f>IF(OR($A95="",NOT(OR($B95="Necessidade",$B95="Desejo",$B95="Poupança"))),"",IFERROR(SUMPRODUCT((FLUXO_MES_NUM&lt;=MES_SEL)*(FLUXO_MES_NUM&gt;MES_SEL-3)*'Fluxo anual'!$C48:$N48)/MAX(1,SUMPRODUCT((FLUXO_MES_NUM&lt;=MES_SEL)*(FLUXO_MES_NUM&gt;MES_SEL-3)*FLUXO_N_MESES)),0))</f>
        <v/>
      </c>
      <c r="E95" s="84">
        <f>IF(OR($A95="",NOT(OR($B95="Necessidade",$B95="Desejo",$B95="Poupança"))),"",IF(IF($B95="Necessidade",$C$10,IF($B95="Desejo",$C$11,$C$12))=0,0,IF(SUMIFS($D$75:$D$122,$B$75:$B$122,$B95)&gt;0,IF($B95="Necessidade",$C$10,IF($B95="Desejo",$C$11,$C$12))*$D95/SUMIFS($D$75:$D$122,$B$75:$B$122,$B95),IF($B95="Necessidade",$C$10,IF($B95="Desejo",$C$11,$C$12))/MAX(1,COUNTIF($B$75:$B$122,$B95)))))</f>
        <v/>
      </c>
      <c r="F95" s="107">
        <f>IF(OR($A95="",NOT(OR($B95="Necessidade",$B95="Desejo",$B95="Poupança"))),"",IF(ORC_USAR="Sim",$E95,N($C95)))</f>
        <v/>
      </c>
      <c r="G95" s="107">
        <f>IF(OR($A95="",NOT(OR($B95="Necessidade",$B95="Desejo",$B95="Poupança"))),"",IF(ORC_USAR="Sim",$E95,N($C95)))</f>
        <v/>
      </c>
      <c r="H95" s="107">
        <f>IF(OR($A95="",NOT(OR($B95="Necessidade",$B95="Desejo",$B95="Poupança"))),"",IF(ORC_USAR="Sim",$E95,N($C95)))</f>
        <v/>
      </c>
      <c r="I95" s="107">
        <f>IF(OR($A95="",NOT(OR($B95="Necessidade",$B95="Desejo",$B95="Poupança"))),"",IF(ORC_USAR="Sim",$E95,N($C95)))</f>
        <v/>
      </c>
      <c r="J95" s="107">
        <f>IF(OR($A95="",NOT(OR($B95="Necessidade",$B95="Desejo",$B95="Poupança"))),"",IF(ORC_USAR="Sim",$E95,N($C95)))</f>
        <v/>
      </c>
      <c r="K95" s="107">
        <f>IF(OR($A95="",NOT(OR($B95="Necessidade",$B95="Desejo",$B95="Poupança"))),"",IF(ORC_USAR="Sim",$E95,N($C95)))</f>
        <v/>
      </c>
      <c r="L95" s="107">
        <f>IF(OR($A95="",NOT(OR($B95="Necessidade",$B95="Desejo",$B95="Poupança"))),"",IF(ORC_USAR="Sim",$E95,N($C95)))</f>
        <v/>
      </c>
      <c r="M95" s="107">
        <f>IF(OR($A95="",NOT(OR($B95="Necessidade",$B95="Desejo",$B95="Poupança"))),"",IF(ORC_USAR="Sim",$E95,N($C95)))</f>
        <v/>
      </c>
      <c r="N95" s="107">
        <f>IF(OR($A95="",NOT(OR($B95="Necessidade",$B95="Desejo",$B95="Poupança"))),"",IF(ORC_USAR="Sim",$E95,N($C95)))</f>
        <v/>
      </c>
      <c r="O95" s="107">
        <f>IF(OR($A95="",NOT(OR($B95="Necessidade",$B95="Desejo",$B95="Poupança"))),"",IF(ORC_USAR="Sim",$E95,N($C95)))</f>
        <v/>
      </c>
      <c r="P95" s="107">
        <f>IF(OR($A95="",NOT(OR($B95="Necessidade",$B95="Desejo",$B95="Poupança"))),"",IF(ORC_USAR="Sim",$E95,N($C95)))</f>
        <v/>
      </c>
      <c r="Q95" s="107">
        <f>IF(OR($A95="",NOT(OR($B95="Necessidade",$B95="Desejo",$B95="Poupança"))),"",IF(ORC_USAR="Sim",$E95,N($C95)))</f>
        <v/>
      </c>
      <c r="R95" s="85">
        <f>IF($A95="","",SUM(F95:Q95))</f>
        <v/>
      </c>
    </row>
    <row r="96">
      <c r="A96" s="75">
        <f>IF('Fluxo anual'!A49="","",'Fluxo anual'!A49)</f>
        <v/>
      </c>
      <c r="B96" s="75">
        <f>IF($A96="","",'Fluxo anual'!B49)</f>
        <v/>
      </c>
      <c r="C96" s="76" t="n">
        <v>250</v>
      </c>
      <c r="D96" s="84">
        <f>IF(OR($A96="",NOT(OR($B96="Necessidade",$B96="Desejo",$B96="Poupança"))),"",IFERROR(SUMPRODUCT((FLUXO_MES_NUM&lt;=MES_SEL)*(FLUXO_MES_NUM&gt;MES_SEL-3)*'Fluxo anual'!$C49:$N49)/MAX(1,SUMPRODUCT((FLUXO_MES_NUM&lt;=MES_SEL)*(FLUXO_MES_NUM&gt;MES_SEL-3)*FLUXO_N_MESES)),0))</f>
        <v/>
      </c>
      <c r="E96" s="84">
        <f>IF(OR($A96="",NOT(OR($B96="Necessidade",$B96="Desejo",$B96="Poupança"))),"",IF(IF($B96="Necessidade",$C$10,IF($B96="Desejo",$C$11,$C$12))=0,0,IF(SUMIFS($D$75:$D$122,$B$75:$B$122,$B96)&gt;0,IF($B96="Necessidade",$C$10,IF($B96="Desejo",$C$11,$C$12))*$D96/SUMIFS($D$75:$D$122,$B$75:$B$122,$B96),IF($B96="Necessidade",$C$10,IF($B96="Desejo",$C$11,$C$12))/MAX(1,COUNTIF($B$75:$B$122,$B96)))))</f>
        <v/>
      </c>
      <c r="F96" s="107">
        <f>IF(OR($A96="",NOT(OR($B96="Necessidade",$B96="Desejo",$B96="Poupança"))),"",IF(ORC_USAR="Sim",$E96,N($C96)))</f>
        <v/>
      </c>
      <c r="G96" s="107">
        <f>IF(OR($A96="",NOT(OR($B96="Necessidade",$B96="Desejo",$B96="Poupança"))),"",IF(ORC_USAR="Sim",$E96,N($C96)))</f>
        <v/>
      </c>
      <c r="H96" s="107">
        <f>IF(OR($A96="",NOT(OR($B96="Necessidade",$B96="Desejo",$B96="Poupança"))),"",IF(ORC_USAR="Sim",$E96,N($C96)))</f>
        <v/>
      </c>
      <c r="I96" s="107">
        <f>IF(OR($A96="",NOT(OR($B96="Necessidade",$B96="Desejo",$B96="Poupança"))),"",IF(ORC_USAR="Sim",$E96,N($C96)))</f>
        <v/>
      </c>
      <c r="J96" s="107">
        <f>IF(OR($A96="",NOT(OR($B96="Necessidade",$B96="Desejo",$B96="Poupança"))),"",IF(ORC_USAR="Sim",$E96,N($C96)))</f>
        <v/>
      </c>
      <c r="K96" s="107">
        <f>IF(OR($A96="",NOT(OR($B96="Necessidade",$B96="Desejo",$B96="Poupança"))),"",IF(ORC_USAR="Sim",$E96,N($C96)))</f>
        <v/>
      </c>
      <c r="L96" s="107" t="n">
        <v>1800</v>
      </c>
      <c r="M96" s="107">
        <f>IF(OR($A96="",NOT(OR($B96="Necessidade",$B96="Desejo",$B96="Poupança"))),"",IF(ORC_USAR="Sim",$E96,N($C96)))</f>
        <v/>
      </c>
      <c r="N96" s="107">
        <f>IF(OR($A96="",NOT(OR($B96="Necessidade",$B96="Desejo",$B96="Poupança"))),"",IF(ORC_USAR="Sim",$E96,N($C96)))</f>
        <v/>
      </c>
      <c r="O96" s="107">
        <f>IF(OR($A96="",NOT(OR($B96="Necessidade",$B96="Desejo",$B96="Poupança"))),"",IF(ORC_USAR="Sim",$E96,N($C96)))</f>
        <v/>
      </c>
      <c r="P96" s="107">
        <f>IF(OR($A96="",NOT(OR($B96="Necessidade",$B96="Desejo",$B96="Poupança"))),"",IF(ORC_USAR="Sim",$E96,N($C96)))</f>
        <v/>
      </c>
      <c r="Q96" s="107" t="n">
        <v>800</v>
      </c>
      <c r="R96" s="85">
        <f>IF($A96="","",SUM(F96:Q96))</f>
        <v/>
      </c>
    </row>
    <row r="97">
      <c r="A97" s="75">
        <f>IF('Fluxo anual'!A50="","",'Fluxo anual'!A50)</f>
        <v/>
      </c>
      <c r="B97" s="75">
        <f>IF($A97="","",'Fluxo anual'!B50)</f>
        <v/>
      </c>
      <c r="C97" s="76" t="n">
        <v>215</v>
      </c>
      <c r="D97" s="84">
        <f>IF(OR($A97="",NOT(OR($B97="Necessidade",$B97="Desejo",$B97="Poupança"))),"",IFERROR(SUMPRODUCT((FLUXO_MES_NUM&lt;=MES_SEL)*(FLUXO_MES_NUM&gt;MES_SEL-3)*'Fluxo anual'!$C50:$N50)/MAX(1,SUMPRODUCT((FLUXO_MES_NUM&lt;=MES_SEL)*(FLUXO_MES_NUM&gt;MES_SEL-3)*FLUXO_N_MESES)),0))</f>
        <v/>
      </c>
      <c r="E97" s="84">
        <f>IF(OR($A97="",NOT(OR($B97="Necessidade",$B97="Desejo",$B97="Poupança"))),"",IF(IF($B97="Necessidade",$C$10,IF($B97="Desejo",$C$11,$C$12))=0,0,IF(SUMIFS($D$75:$D$122,$B$75:$B$122,$B97)&gt;0,IF($B97="Necessidade",$C$10,IF($B97="Desejo",$C$11,$C$12))*$D97/SUMIFS($D$75:$D$122,$B$75:$B$122,$B97),IF($B97="Necessidade",$C$10,IF($B97="Desejo",$C$11,$C$12))/MAX(1,COUNTIF($B$75:$B$122,$B97)))))</f>
        <v/>
      </c>
      <c r="F97" s="107">
        <f>IF(OR($A97="",NOT(OR($B97="Necessidade",$B97="Desejo",$B97="Poupança"))),"",IF(ORC_USAR="Sim",$E97,N($C97)))</f>
        <v/>
      </c>
      <c r="G97" s="107">
        <f>IF(OR($A97="",NOT(OR($B97="Necessidade",$B97="Desejo",$B97="Poupança"))),"",IF(ORC_USAR="Sim",$E97,N($C97)))</f>
        <v/>
      </c>
      <c r="H97" s="107">
        <f>IF(OR($A97="",NOT(OR($B97="Necessidade",$B97="Desejo",$B97="Poupança"))),"",IF(ORC_USAR="Sim",$E97,N($C97)))</f>
        <v/>
      </c>
      <c r="I97" s="107">
        <f>IF(OR($A97="",NOT(OR($B97="Necessidade",$B97="Desejo",$B97="Poupança"))),"",IF(ORC_USAR="Sim",$E97,N($C97)))</f>
        <v/>
      </c>
      <c r="J97" s="107">
        <f>IF(OR($A97="",NOT(OR($B97="Necessidade",$B97="Desejo",$B97="Poupança"))),"",IF(ORC_USAR="Sim",$E97,N($C97)))</f>
        <v/>
      </c>
      <c r="K97" s="107">
        <f>IF(OR($A97="",NOT(OR($B97="Necessidade",$B97="Desejo",$B97="Poupança"))),"",IF(ORC_USAR="Sim",$E97,N($C97)))</f>
        <v/>
      </c>
      <c r="L97" s="107">
        <f>IF(OR($A97="",NOT(OR($B97="Necessidade",$B97="Desejo",$B97="Poupança"))),"",IF(ORC_USAR="Sim",$E97,N($C97)))</f>
        <v/>
      </c>
      <c r="M97" s="107">
        <f>IF(OR($A97="",NOT(OR($B97="Necessidade",$B97="Desejo",$B97="Poupança"))),"",IF(ORC_USAR="Sim",$E97,N($C97)))</f>
        <v/>
      </c>
      <c r="N97" s="107">
        <f>IF(OR($A97="",NOT(OR($B97="Necessidade",$B97="Desejo",$B97="Poupança"))),"",IF(ORC_USAR="Sim",$E97,N($C97)))</f>
        <v/>
      </c>
      <c r="O97" s="107">
        <f>IF(OR($A97="",NOT(OR($B97="Necessidade",$B97="Desejo",$B97="Poupança"))),"",IF(ORC_USAR="Sim",$E97,N($C97)))</f>
        <v/>
      </c>
      <c r="P97" s="107">
        <f>IF(OR($A97="",NOT(OR($B97="Necessidade",$B97="Desejo",$B97="Poupança"))),"",IF(ORC_USAR="Sim",$E97,N($C97)))</f>
        <v/>
      </c>
      <c r="Q97" s="107">
        <f>IF(OR($A97="",NOT(OR($B97="Necessidade",$B97="Desejo",$B97="Poupança"))),"",IF(ORC_USAR="Sim",$E97,N($C97)))</f>
        <v/>
      </c>
      <c r="R97" s="85">
        <f>IF($A97="","",SUM(F97:Q97))</f>
        <v/>
      </c>
    </row>
    <row r="98">
      <c r="A98" s="75">
        <f>IF('Fluxo anual'!A51="","",'Fluxo anual'!A51)</f>
        <v/>
      </c>
      <c r="B98" s="75">
        <f>IF($A98="","",'Fluxo anual'!B51)</f>
        <v/>
      </c>
      <c r="C98" s="76" t="n">
        <v>420</v>
      </c>
      <c r="D98" s="84">
        <f>IF(OR($A98="",NOT(OR($B98="Necessidade",$B98="Desejo",$B98="Poupança"))),"",IFERROR(SUMPRODUCT((FLUXO_MES_NUM&lt;=MES_SEL)*(FLUXO_MES_NUM&gt;MES_SEL-3)*'Fluxo anual'!$C51:$N51)/MAX(1,SUMPRODUCT((FLUXO_MES_NUM&lt;=MES_SEL)*(FLUXO_MES_NUM&gt;MES_SEL-3)*FLUXO_N_MESES)),0))</f>
        <v/>
      </c>
      <c r="E98" s="84">
        <f>IF(OR($A98="",NOT(OR($B98="Necessidade",$B98="Desejo",$B98="Poupança"))),"",IF(IF($B98="Necessidade",$C$10,IF($B98="Desejo",$C$11,$C$12))=0,0,IF(SUMIFS($D$75:$D$122,$B$75:$B$122,$B98)&gt;0,IF($B98="Necessidade",$C$10,IF($B98="Desejo",$C$11,$C$12))*$D98/SUMIFS($D$75:$D$122,$B$75:$B$122,$B98),IF($B98="Necessidade",$C$10,IF($B98="Desejo",$C$11,$C$12))/MAX(1,COUNTIF($B$75:$B$122,$B98)))))</f>
        <v/>
      </c>
      <c r="F98" s="107">
        <f>IF(OR($A98="",NOT(OR($B98="Necessidade",$B98="Desejo",$B98="Poupança"))),"",IF(ORC_USAR="Sim",$E98,N($C98)))</f>
        <v/>
      </c>
      <c r="G98" s="107">
        <f>IF(OR($A98="",NOT(OR($B98="Necessidade",$B98="Desejo",$B98="Poupança"))),"",IF(ORC_USAR="Sim",$E98,N($C98)))</f>
        <v/>
      </c>
      <c r="H98" s="107">
        <f>IF(OR($A98="",NOT(OR($B98="Necessidade",$B98="Desejo",$B98="Poupança"))),"",IF(ORC_USAR="Sim",$E98,N($C98)))</f>
        <v/>
      </c>
      <c r="I98" s="107">
        <f>IF(OR($A98="",NOT(OR($B98="Necessidade",$B98="Desejo",$B98="Poupança"))),"",IF(ORC_USAR="Sim",$E98,N($C98)))</f>
        <v/>
      </c>
      <c r="J98" s="107">
        <f>IF(OR($A98="",NOT(OR($B98="Necessidade",$B98="Desejo",$B98="Poupança"))),"",IF(ORC_USAR="Sim",$E98,N($C98)))</f>
        <v/>
      </c>
      <c r="K98" s="107">
        <f>IF(OR($A98="",NOT(OR($B98="Necessidade",$B98="Desejo",$B98="Poupança"))),"",IF(ORC_USAR="Sim",$E98,N($C98)))</f>
        <v/>
      </c>
      <c r="L98" s="107">
        <f>IF(OR($A98="",NOT(OR($B98="Necessidade",$B98="Desejo",$B98="Poupança"))),"",IF(ORC_USAR="Sim",$E98,N($C98)))</f>
        <v/>
      </c>
      <c r="M98" s="107">
        <f>IF(OR($A98="",NOT(OR($B98="Necessidade",$B98="Desejo",$B98="Poupança"))),"",IF(ORC_USAR="Sim",$E98,N($C98)))</f>
        <v/>
      </c>
      <c r="N98" s="107">
        <f>IF(OR($A98="",NOT(OR($B98="Necessidade",$B98="Desejo",$B98="Poupança"))),"",IF(ORC_USAR="Sim",$E98,N($C98)))</f>
        <v/>
      </c>
      <c r="O98" s="107">
        <f>IF(OR($A98="",NOT(OR($B98="Necessidade",$B98="Desejo",$B98="Poupança"))),"",IF(ORC_USAR="Sim",$E98,N($C98)))</f>
        <v/>
      </c>
      <c r="P98" s="107" t="n">
        <v>700</v>
      </c>
      <c r="Q98" s="107">
        <f>IF(OR($A98="",NOT(OR($B98="Necessidade",$B98="Desejo",$B98="Poupança"))),"",IF(ORC_USAR="Sim",$E98,N($C98)))</f>
        <v/>
      </c>
      <c r="R98" s="85">
        <f>IF($A98="","",SUM(F98:Q98))</f>
        <v/>
      </c>
    </row>
    <row r="99">
      <c r="A99" s="75">
        <f>IF('Fluxo anual'!A52="","",'Fluxo anual'!A52)</f>
        <v/>
      </c>
      <c r="B99" s="75">
        <f>IF($A99="","",'Fluxo anual'!B52)</f>
        <v/>
      </c>
      <c r="C99" s="76" t="n">
        <v>100</v>
      </c>
      <c r="D99" s="84">
        <f>IF(OR($A99="",NOT(OR($B99="Necessidade",$B99="Desejo",$B99="Poupança"))),"",IFERROR(SUMPRODUCT((FLUXO_MES_NUM&lt;=MES_SEL)*(FLUXO_MES_NUM&gt;MES_SEL-3)*'Fluxo anual'!$C52:$N52)/MAX(1,SUMPRODUCT((FLUXO_MES_NUM&lt;=MES_SEL)*(FLUXO_MES_NUM&gt;MES_SEL-3)*FLUXO_N_MESES)),0))</f>
        <v/>
      </c>
      <c r="E99" s="84">
        <f>IF(OR($A99="",NOT(OR($B99="Necessidade",$B99="Desejo",$B99="Poupança"))),"",IF(IF($B99="Necessidade",$C$10,IF($B99="Desejo",$C$11,$C$12))=0,0,IF(SUMIFS($D$75:$D$122,$B$75:$B$122,$B99)&gt;0,IF($B99="Necessidade",$C$10,IF($B99="Desejo",$C$11,$C$12))*$D99/SUMIFS($D$75:$D$122,$B$75:$B$122,$B99),IF($B99="Necessidade",$C$10,IF($B99="Desejo",$C$11,$C$12))/MAX(1,COUNTIF($B$75:$B$122,$B99)))))</f>
        <v/>
      </c>
      <c r="F99" s="107">
        <f>IF(OR($A99="",NOT(OR($B99="Necessidade",$B99="Desejo",$B99="Poupança"))),"",IF(ORC_USAR="Sim",$E99,N($C99)))</f>
        <v/>
      </c>
      <c r="G99" s="107">
        <f>IF(OR($A99="",NOT(OR($B99="Necessidade",$B99="Desejo",$B99="Poupança"))),"",IF(ORC_USAR="Sim",$E99,N($C99)))</f>
        <v/>
      </c>
      <c r="H99" s="107">
        <f>IF(OR($A99="",NOT(OR($B99="Necessidade",$B99="Desejo",$B99="Poupança"))),"",IF(ORC_USAR="Sim",$E99,N($C99)))</f>
        <v/>
      </c>
      <c r="I99" s="107">
        <f>IF(OR($A99="",NOT(OR($B99="Necessidade",$B99="Desejo",$B99="Poupança"))),"",IF(ORC_USAR="Sim",$E99,N($C99)))</f>
        <v/>
      </c>
      <c r="J99" s="107">
        <f>IF(OR($A99="",NOT(OR($B99="Necessidade",$B99="Desejo",$B99="Poupança"))),"",IF(ORC_USAR="Sim",$E99,N($C99)))</f>
        <v/>
      </c>
      <c r="K99" s="107">
        <f>IF(OR($A99="",NOT(OR($B99="Necessidade",$B99="Desejo",$B99="Poupança"))),"",IF(ORC_USAR="Sim",$E99,N($C99)))</f>
        <v/>
      </c>
      <c r="L99" s="107">
        <f>IF(OR($A99="",NOT(OR($B99="Necessidade",$B99="Desejo",$B99="Poupança"))),"",IF(ORC_USAR="Sim",$E99,N($C99)))</f>
        <v/>
      </c>
      <c r="M99" s="107">
        <f>IF(OR($A99="",NOT(OR($B99="Necessidade",$B99="Desejo",$B99="Poupança"))),"",IF(ORC_USAR="Sim",$E99,N($C99)))</f>
        <v/>
      </c>
      <c r="N99" s="107">
        <f>IF(OR($A99="",NOT(OR($B99="Necessidade",$B99="Desejo",$B99="Poupança"))),"",IF(ORC_USAR="Sim",$E99,N($C99)))</f>
        <v/>
      </c>
      <c r="O99" s="107">
        <f>IF(OR($A99="",NOT(OR($B99="Necessidade",$B99="Desejo",$B99="Poupança"))),"",IF(ORC_USAR="Sim",$E99,N($C99)))</f>
        <v/>
      </c>
      <c r="P99" s="107">
        <f>IF(OR($A99="",NOT(OR($B99="Necessidade",$B99="Desejo",$B99="Poupança"))),"",IF(ORC_USAR="Sim",$E99,N($C99)))</f>
        <v/>
      </c>
      <c r="Q99" s="107">
        <f>IF(OR($A99="",NOT(OR($B99="Necessidade",$B99="Desejo",$B99="Poupança"))),"",IF(ORC_USAR="Sim",$E99,N($C99)))</f>
        <v/>
      </c>
      <c r="R99" s="85">
        <f>IF($A99="","",SUM(F99:Q99))</f>
        <v/>
      </c>
    </row>
    <row r="100">
      <c r="A100" s="75">
        <f>IF('Fluxo anual'!A53="","",'Fluxo anual'!A53)</f>
        <v/>
      </c>
      <c r="B100" s="75">
        <f>IF($A100="","",'Fluxo anual'!B53)</f>
        <v/>
      </c>
      <c r="C100" s="76" t="n">
        <v>80</v>
      </c>
      <c r="D100" s="84">
        <f>IF(OR($A100="",NOT(OR($B100="Necessidade",$B100="Desejo",$B100="Poupança"))),"",IFERROR(SUMPRODUCT((FLUXO_MES_NUM&lt;=MES_SEL)*(FLUXO_MES_NUM&gt;MES_SEL-3)*'Fluxo anual'!$C53:$N53)/MAX(1,SUMPRODUCT((FLUXO_MES_NUM&lt;=MES_SEL)*(FLUXO_MES_NUM&gt;MES_SEL-3)*FLUXO_N_MESES)),0))</f>
        <v/>
      </c>
      <c r="E100" s="84">
        <f>IF(OR($A100="",NOT(OR($B100="Necessidade",$B100="Desejo",$B100="Poupança"))),"",IF(IF($B100="Necessidade",$C$10,IF($B100="Desejo",$C$11,$C$12))=0,0,IF(SUMIFS($D$75:$D$122,$B$75:$B$122,$B100)&gt;0,IF($B100="Necessidade",$C$10,IF($B100="Desejo",$C$11,$C$12))*$D100/SUMIFS($D$75:$D$122,$B$75:$B$122,$B100),IF($B100="Necessidade",$C$10,IF($B100="Desejo",$C$11,$C$12))/MAX(1,COUNTIF($B$75:$B$122,$B100)))))</f>
        <v/>
      </c>
      <c r="F100" s="107">
        <f>IF(OR($A100="",NOT(OR($B100="Necessidade",$B100="Desejo",$B100="Poupança"))),"",IF(ORC_USAR="Sim",$E100,N($C100)))</f>
        <v/>
      </c>
      <c r="G100" s="107">
        <f>IF(OR($A100="",NOT(OR($B100="Necessidade",$B100="Desejo",$B100="Poupança"))),"",IF(ORC_USAR="Sim",$E100,N($C100)))</f>
        <v/>
      </c>
      <c r="H100" s="107">
        <f>IF(OR($A100="",NOT(OR($B100="Necessidade",$B100="Desejo",$B100="Poupança"))),"",IF(ORC_USAR="Sim",$E100,N($C100)))</f>
        <v/>
      </c>
      <c r="I100" s="107">
        <f>IF(OR($A100="",NOT(OR($B100="Necessidade",$B100="Desejo",$B100="Poupança"))),"",IF(ORC_USAR="Sim",$E100,N($C100)))</f>
        <v/>
      </c>
      <c r="J100" s="107" t="n">
        <v>220</v>
      </c>
      <c r="K100" s="107">
        <f>IF(OR($A100="",NOT(OR($B100="Necessidade",$B100="Desejo",$B100="Poupança"))),"",IF(ORC_USAR="Sim",$E100,N($C100)))</f>
        <v/>
      </c>
      <c r="L100" s="107">
        <f>IF(OR($A100="",NOT(OR($B100="Necessidade",$B100="Desejo",$B100="Poupança"))),"",IF(ORC_USAR="Sim",$E100,N($C100)))</f>
        <v/>
      </c>
      <c r="M100" s="107">
        <f>IF(OR($A100="",NOT(OR($B100="Necessidade",$B100="Desejo",$B100="Poupança"))),"",IF(ORC_USAR="Sim",$E100,N($C100)))</f>
        <v/>
      </c>
      <c r="N100" s="107">
        <f>IF(OR($A100="",NOT(OR($B100="Necessidade",$B100="Desejo",$B100="Poupança"))),"",IF(ORC_USAR="Sim",$E100,N($C100)))</f>
        <v/>
      </c>
      <c r="O100" s="107">
        <f>IF(OR($A100="",NOT(OR($B100="Necessidade",$B100="Desejo",$B100="Poupança"))),"",IF(ORC_USAR="Sim",$E100,N($C100)))</f>
        <v/>
      </c>
      <c r="P100" s="107">
        <f>IF(OR($A100="",NOT(OR($B100="Necessidade",$B100="Desejo",$B100="Poupança"))),"",IF(ORC_USAR="Sim",$E100,N($C100)))</f>
        <v/>
      </c>
      <c r="Q100" s="107" t="n">
        <v>500</v>
      </c>
      <c r="R100" s="85">
        <f>IF($A100="","",SUM(F100:Q100))</f>
        <v/>
      </c>
    </row>
    <row r="101">
      <c r="A101" s="75">
        <f>IF('Fluxo anual'!A54="","",'Fluxo anual'!A54)</f>
        <v/>
      </c>
      <c r="B101" s="75">
        <f>IF($A101="","",'Fluxo anual'!B54)</f>
        <v/>
      </c>
      <c r="C101" s="76" t="n">
        <v>100</v>
      </c>
      <c r="D101" s="84">
        <f>IF(OR($A101="",NOT(OR($B101="Necessidade",$B101="Desejo",$B101="Poupança"))),"",IFERROR(SUMPRODUCT((FLUXO_MES_NUM&lt;=MES_SEL)*(FLUXO_MES_NUM&gt;MES_SEL-3)*'Fluxo anual'!$C54:$N54)/MAX(1,SUMPRODUCT((FLUXO_MES_NUM&lt;=MES_SEL)*(FLUXO_MES_NUM&gt;MES_SEL-3)*FLUXO_N_MESES)),0))</f>
        <v/>
      </c>
      <c r="E101" s="84">
        <f>IF(OR($A101="",NOT(OR($B101="Necessidade",$B101="Desejo",$B101="Poupança"))),"",IF(IF($B101="Necessidade",$C$10,IF($B101="Desejo",$C$11,$C$12))=0,0,IF(SUMIFS($D$75:$D$122,$B$75:$B$122,$B101)&gt;0,IF($B101="Necessidade",$C$10,IF($B101="Desejo",$C$11,$C$12))*$D101/SUMIFS($D$75:$D$122,$B$75:$B$122,$B101),IF($B101="Necessidade",$C$10,IF($B101="Desejo",$C$11,$C$12))/MAX(1,COUNTIF($B$75:$B$122,$B101)))))</f>
        <v/>
      </c>
      <c r="F101" s="107">
        <f>IF(OR($A101="",NOT(OR($B101="Necessidade",$B101="Desejo",$B101="Poupança"))),"",IF(ORC_USAR="Sim",$E101,N($C101)))</f>
        <v/>
      </c>
      <c r="G101" s="107">
        <f>IF(OR($A101="",NOT(OR($B101="Necessidade",$B101="Desejo",$B101="Poupança"))),"",IF(ORC_USAR="Sim",$E101,N($C101)))</f>
        <v/>
      </c>
      <c r="H101" s="107">
        <f>IF(OR($A101="",NOT(OR($B101="Necessidade",$B101="Desejo",$B101="Poupança"))),"",IF(ORC_USAR="Sim",$E101,N($C101)))</f>
        <v/>
      </c>
      <c r="I101" s="107">
        <f>IF(OR($A101="",NOT(OR($B101="Necessidade",$B101="Desejo",$B101="Poupança"))),"",IF(ORC_USAR="Sim",$E101,N($C101)))</f>
        <v/>
      </c>
      <c r="J101" s="107">
        <f>IF(OR($A101="",NOT(OR($B101="Necessidade",$B101="Desejo",$B101="Poupança"))),"",IF(ORC_USAR="Sim",$E101,N($C101)))</f>
        <v/>
      </c>
      <c r="K101" s="107">
        <f>IF(OR($A101="",NOT(OR($B101="Necessidade",$B101="Desejo",$B101="Poupança"))),"",IF(ORC_USAR="Sim",$E101,N($C101)))</f>
        <v/>
      </c>
      <c r="L101" s="107">
        <f>IF(OR($A101="",NOT(OR($B101="Necessidade",$B101="Desejo",$B101="Poupança"))),"",IF(ORC_USAR="Sim",$E101,N($C101)))</f>
        <v/>
      </c>
      <c r="M101" s="107">
        <f>IF(OR($A101="",NOT(OR($B101="Necessidade",$B101="Desejo",$B101="Poupança"))),"",IF(ORC_USAR="Sim",$E101,N($C101)))</f>
        <v/>
      </c>
      <c r="N101" s="107">
        <f>IF(OR($A101="",NOT(OR($B101="Necessidade",$B101="Desejo",$B101="Poupança"))),"",IF(ORC_USAR="Sim",$E101,N($C101)))</f>
        <v/>
      </c>
      <c r="O101" s="107">
        <f>IF(OR($A101="",NOT(OR($B101="Necessidade",$B101="Desejo",$B101="Poupança"))),"",IF(ORC_USAR="Sim",$E101,N($C101)))</f>
        <v/>
      </c>
      <c r="P101" s="107">
        <f>IF(OR($A101="",NOT(OR($B101="Necessidade",$B101="Desejo",$B101="Poupança"))),"",IF(ORC_USAR="Sim",$E101,N($C101)))</f>
        <v/>
      </c>
      <c r="Q101" s="107">
        <f>IF(OR($A101="",NOT(OR($B101="Necessidade",$B101="Desejo",$B101="Poupança"))),"",IF(ORC_USAR="Sim",$E101,N($C101)))</f>
        <v/>
      </c>
      <c r="R101" s="85">
        <f>IF($A101="","",SUM(F101:Q101))</f>
        <v/>
      </c>
    </row>
    <row r="102">
      <c r="A102" s="75">
        <f>IF('Fluxo anual'!A55="","",'Fluxo anual'!A55)</f>
        <v/>
      </c>
      <c r="B102" s="75">
        <f>IF($A102="","",'Fluxo anual'!B55)</f>
        <v/>
      </c>
      <c r="C102" s="76" t="n">
        <v>400</v>
      </c>
      <c r="D102" s="84">
        <f>IF(OR($A102="",NOT(OR($B102="Necessidade",$B102="Desejo",$B102="Poupança"))),"",IFERROR(SUMPRODUCT((FLUXO_MES_NUM&lt;=MES_SEL)*(FLUXO_MES_NUM&gt;MES_SEL-3)*'Fluxo anual'!$C55:$N55)/MAX(1,SUMPRODUCT((FLUXO_MES_NUM&lt;=MES_SEL)*(FLUXO_MES_NUM&gt;MES_SEL-3)*FLUXO_N_MESES)),0))</f>
        <v/>
      </c>
      <c r="E102" s="84">
        <f>IF(OR($A102="",NOT(OR($B102="Necessidade",$B102="Desejo",$B102="Poupança"))),"",IF(IF($B102="Necessidade",$C$10,IF($B102="Desejo",$C$11,$C$12))=0,0,IF(SUMIFS($D$75:$D$122,$B$75:$B$122,$B102)&gt;0,IF($B102="Necessidade",$C$10,IF($B102="Desejo",$C$11,$C$12))*$D102/SUMIFS($D$75:$D$122,$B$75:$B$122,$B102),IF($B102="Necessidade",$C$10,IF($B102="Desejo",$C$11,$C$12))/MAX(1,COUNTIF($B$75:$B$122,$B102)))))</f>
        <v/>
      </c>
      <c r="F102" s="107">
        <f>IF(OR($A102="",NOT(OR($B102="Necessidade",$B102="Desejo",$B102="Poupança"))),"",IF(ORC_USAR="Sim",$E102,N($C102)))</f>
        <v/>
      </c>
      <c r="G102" s="107">
        <f>IF(OR($A102="",NOT(OR($B102="Necessidade",$B102="Desejo",$B102="Poupança"))),"",IF(ORC_USAR="Sim",$E102,N($C102)))</f>
        <v/>
      </c>
      <c r="H102" s="107">
        <f>IF(OR($A102="",NOT(OR($B102="Necessidade",$B102="Desejo",$B102="Poupança"))),"",IF(ORC_USAR="Sim",$E102,N($C102)))</f>
        <v/>
      </c>
      <c r="I102" s="107">
        <f>IF(OR($A102="",NOT(OR($B102="Necessidade",$B102="Desejo",$B102="Poupança"))),"",IF(ORC_USAR="Sim",$E102,N($C102)))</f>
        <v/>
      </c>
      <c r="J102" s="107">
        <f>IF(OR($A102="",NOT(OR($B102="Necessidade",$B102="Desejo",$B102="Poupança"))),"",IF(ORC_USAR="Sim",$E102,N($C102)))</f>
        <v/>
      </c>
      <c r="K102" s="107">
        <f>IF(OR($A102="",NOT(OR($B102="Necessidade",$B102="Desejo",$B102="Poupança"))),"",IF(ORC_USAR="Sim",$E102,N($C102)))</f>
        <v/>
      </c>
      <c r="L102" s="107">
        <f>IF(OR($A102="",NOT(OR($B102="Necessidade",$B102="Desejo",$B102="Poupança"))),"",IF(ORC_USAR="Sim",$E102,N($C102)))</f>
        <v/>
      </c>
      <c r="M102" s="107">
        <f>IF(OR($A102="",NOT(OR($B102="Necessidade",$B102="Desejo",$B102="Poupança"))),"",IF(ORC_USAR="Sim",$E102,N($C102)))</f>
        <v/>
      </c>
      <c r="N102" s="107">
        <f>IF(OR($A102="",NOT(OR($B102="Necessidade",$B102="Desejo",$B102="Poupança"))),"",IF(ORC_USAR="Sim",$E102,N($C102)))</f>
        <v/>
      </c>
      <c r="O102" s="107">
        <f>IF(OR($A102="",NOT(OR($B102="Necessidade",$B102="Desejo",$B102="Poupança"))),"",IF(ORC_USAR="Sim",$E102,N($C102)))</f>
        <v/>
      </c>
      <c r="P102" s="107">
        <f>IF(OR($A102="",NOT(OR($B102="Necessidade",$B102="Desejo",$B102="Poupança"))),"",IF(ORC_USAR="Sim",$E102,N($C102)))</f>
        <v/>
      </c>
      <c r="Q102" s="107">
        <f>IF(OR($A102="",NOT(OR($B102="Necessidade",$B102="Desejo",$B102="Poupança"))),"",IF(ORC_USAR="Sim",$E102,N($C102)))</f>
        <v/>
      </c>
      <c r="R102" s="85">
        <f>IF($A102="","",SUM(F102:Q102))</f>
        <v/>
      </c>
    </row>
    <row r="103">
      <c r="A103" s="75">
        <f>IF('Fluxo anual'!A56="","",'Fluxo anual'!A56)</f>
        <v/>
      </c>
      <c r="B103" s="75">
        <f>IF($A103="","",'Fluxo anual'!B56)</f>
        <v/>
      </c>
      <c r="C103" s="76" t="n">
        <v>250</v>
      </c>
      <c r="D103" s="84">
        <f>IF(OR($A103="",NOT(OR($B103="Necessidade",$B103="Desejo",$B103="Poupança"))),"",IFERROR(SUMPRODUCT((FLUXO_MES_NUM&lt;=MES_SEL)*(FLUXO_MES_NUM&gt;MES_SEL-3)*'Fluxo anual'!$C56:$N56)/MAX(1,SUMPRODUCT((FLUXO_MES_NUM&lt;=MES_SEL)*(FLUXO_MES_NUM&gt;MES_SEL-3)*FLUXO_N_MESES)),0))</f>
        <v/>
      </c>
      <c r="E103" s="84">
        <f>IF(OR($A103="",NOT(OR($B103="Necessidade",$B103="Desejo",$B103="Poupança"))),"",IF(IF($B103="Necessidade",$C$10,IF($B103="Desejo",$C$11,$C$12))=0,0,IF(SUMIFS($D$75:$D$122,$B$75:$B$122,$B103)&gt;0,IF($B103="Necessidade",$C$10,IF($B103="Desejo",$C$11,$C$12))*$D103/SUMIFS($D$75:$D$122,$B$75:$B$122,$B103),IF($B103="Necessidade",$C$10,IF($B103="Desejo",$C$11,$C$12))/MAX(1,COUNTIF($B$75:$B$122,$B103)))))</f>
        <v/>
      </c>
      <c r="F103" s="107">
        <f>IF(OR($A103="",NOT(OR($B103="Necessidade",$B103="Desejo",$B103="Poupança"))),"",IF(ORC_USAR="Sim",$E103,N($C103)))</f>
        <v/>
      </c>
      <c r="G103" s="107">
        <f>IF(OR($A103="",NOT(OR($B103="Necessidade",$B103="Desejo",$B103="Poupança"))),"",IF(ORC_USAR="Sim",$E103,N($C103)))</f>
        <v/>
      </c>
      <c r="H103" s="107">
        <f>IF(OR($A103="",NOT(OR($B103="Necessidade",$B103="Desejo",$B103="Poupança"))),"",IF(ORC_USAR="Sim",$E103,N($C103)))</f>
        <v/>
      </c>
      <c r="I103" s="107">
        <f>IF(OR($A103="",NOT(OR($B103="Necessidade",$B103="Desejo",$B103="Poupança"))),"",IF(ORC_USAR="Sim",$E103,N($C103)))</f>
        <v/>
      </c>
      <c r="J103" s="107">
        <f>IF(OR($A103="",NOT(OR($B103="Necessidade",$B103="Desejo",$B103="Poupança"))),"",IF(ORC_USAR="Sim",$E103,N($C103)))</f>
        <v/>
      </c>
      <c r="K103" s="107">
        <f>IF(OR($A103="",NOT(OR($B103="Necessidade",$B103="Desejo",$B103="Poupança"))),"",IF(ORC_USAR="Sim",$E103,N($C103)))</f>
        <v/>
      </c>
      <c r="L103" s="107">
        <f>IF(OR($A103="",NOT(OR($B103="Necessidade",$B103="Desejo",$B103="Poupança"))),"",IF(ORC_USAR="Sim",$E103,N($C103)))</f>
        <v/>
      </c>
      <c r="M103" s="107">
        <f>IF(OR($A103="",NOT(OR($B103="Necessidade",$B103="Desejo",$B103="Poupança"))),"",IF(ORC_USAR="Sim",$E103,N($C103)))</f>
        <v/>
      </c>
      <c r="N103" s="107">
        <f>IF(OR($A103="",NOT(OR($B103="Necessidade",$B103="Desejo",$B103="Poupança"))),"",IF(ORC_USAR="Sim",$E103,N($C103)))</f>
        <v/>
      </c>
      <c r="O103" s="107">
        <f>IF(OR($A103="",NOT(OR($B103="Necessidade",$B103="Desejo",$B103="Poupança"))),"",IF(ORC_USAR="Sim",$E103,N($C103)))</f>
        <v/>
      </c>
      <c r="P103" s="107">
        <f>IF(OR($A103="",NOT(OR($B103="Necessidade",$B103="Desejo",$B103="Poupança"))),"",IF(ORC_USAR="Sim",$E103,N($C103)))</f>
        <v/>
      </c>
      <c r="Q103" s="107">
        <f>IF(OR($A103="",NOT(OR($B103="Necessidade",$B103="Desejo",$B103="Poupança"))),"",IF(ORC_USAR="Sim",$E103,N($C103)))</f>
        <v/>
      </c>
      <c r="R103" s="85">
        <f>IF($A103="","",SUM(F103:Q103))</f>
        <v/>
      </c>
    </row>
    <row r="104">
      <c r="A104" s="75">
        <f>IF('Fluxo anual'!A57="","",'Fluxo anual'!A57)</f>
        <v/>
      </c>
      <c r="B104" s="75">
        <f>IF($A104="","",'Fluxo anual'!B57)</f>
        <v/>
      </c>
      <c r="C104" s="76" t="n">
        <v>150</v>
      </c>
      <c r="D104" s="84">
        <f>IF(OR($A104="",NOT(OR($B104="Necessidade",$B104="Desejo",$B104="Poupança"))),"",IFERROR(SUMPRODUCT((FLUXO_MES_NUM&lt;=MES_SEL)*(FLUXO_MES_NUM&gt;MES_SEL-3)*'Fluxo anual'!$C57:$N57)/MAX(1,SUMPRODUCT((FLUXO_MES_NUM&lt;=MES_SEL)*(FLUXO_MES_NUM&gt;MES_SEL-3)*FLUXO_N_MESES)),0))</f>
        <v/>
      </c>
      <c r="E104" s="84">
        <f>IF(OR($A104="",NOT(OR($B104="Necessidade",$B104="Desejo",$B104="Poupança"))),"",IF(IF($B104="Necessidade",$C$10,IF($B104="Desejo",$C$11,$C$12))=0,0,IF(SUMIFS($D$75:$D$122,$B$75:$B$122,$B104)&gt;0,IF($B104="Necessidade",$C$10,IF($B104="Desejo",$C$11,$C$12))*$D104/SUMIFS($D$75:$D$122,$B$75:$B$122,$B104),IF($B104="Necessidade",$C$10,IF($B104="Desejo",$C$11,$C$12))/MAX(1,COUNTIF($B$75:$B$122,$B104)))))</f>
        <v/>
      </c>
      <c r="F104" s="107">
        <f>IF(OR($A104="",NOT(OR($B104="Necessidade",$B104="Desejo",$B104="Poupança"))),"",IF(ORC_USAR="Sim",$E104,N($C104)))</f>
        <v/>
      </c>
      <c r="G104" s="107">
        <f>IF(OR($A104="",NOT(OR($B104="Necessidade",$B104="Desejo",$B104="Poupança"))),"",IF(ORC_USAR="Sim",$E104,N($C104)))</f>
        <v/>
      </c>
      <c r="H104" s="107">
        <f>IF(OR($A104="",NOT(OR($B104="Necessidade",$B104="Desejo",$B104="Poupança"))),"",IF(ORC_USAR="Sim",$E104,N($C104)))</f>
        <v/>
      </c>
      <c r="I104" s="107">
        <f>IF(OR($A104="",NOT(OR($B104="Necessidade",$B104="Desejo",$B104="Poupança"))),"",IF(ORC_USAR="Sim",$E104,N($C104)))</f>
        <v/>
      </c>
      <c r="J104" s="107">
        <f>IF(OR($A104="",NOT(OR($B104="Necessidade",$B104="Desejo",$B104="Poupança"))),"",IF(ORC_USAR="Sim",$E104,N($C104)))</f>
        <v/>
      </c>
      <c r="K104" s="107">
        <f>IF(OR($A104="",NOT(OR($B104="Necessidade",$B104="Desejo",$B104="Poupança"))),"",IF(ORC_USAR="Sim",$E104,N($C104)))</f>
        <v/>
      </c>
      <c r="L104" s="107">
        <f>IF(OR($A104="",NOT(OR($B104="Necessidade",$B104="Desejo",$B104="Poupança"))),"",IF(ORC_USAR="Sim",$E104,N($C104)))</f>
        <v/>
      </c>
      <c r="M104" s="107">
        <f>IF(OR($A104="",NOT(OR($B104="Necessidade",$B104="Desejo",$B104="Poupança"))),"",IF(ORC_USAR="Sim",$E104,N($C104)))</f>
        <v/>
      </c>
      <c r="N104" s="107">
        <f>IF(OR($A104="",NOT(OR($B104="Necessidade",$B104="Desejo",$B104="Poupança"))),"",IF(ORC_USAR="Sim",$E104,N($C104)))</f>
        <v/>
      </c>
      <c r="O104" s="107">
        <f>IF(OR($A104="",NOT(OR($B104="Necessidade",$B104="Desejo",$B104="Poupança"))),"",IF(ORC_USAR="Sim",$E104,N($C104)))</f>
        <v/>
      </c>
      <c r="P104" s="107">
        <f>IF(OR($A104="",NOT(OR($B104="Necessidade",$B104="Desejo",$B104="Poupança"))),"",IF(ORC_USAR="Sim",$E104,N($C104)))</f>
        <v/>
      </c>
      <c r="Q104" s="107">
        <f>IF(OR($A104="",NOT(OR($B104="Necessidade",$B104="Desejo",$B104="Poupança"))),"",IF(ORC_USAR="Sim",$E104,N($C104)))</f>
        <v/>
      </c>
      <c r="R104" s="85">
        <f>IF($A104="","",SUM(F104:Q104))</f>
        <v/>
      </c>
    </row>
    <row r="105">
      <c r="A105" s="75">
        <f>IF('Fluxo anual'!A58="","",'Fluxo anual'!A58)</f>
        <v/>
      </c>
      <c r="B105" s="75">
        <f>IF($A105="","",'Fluxo anual'!B58)</f>
        <v/>
      </c>
      <c r="C105" s="76" t="n"/>
      <c r="D105" s="84">
        <f>IF(OR($A105="",NOT(OR($B105="Necessidade",$B105="Desejo",$B105="Poupança"))),"",IFERROR(SUMPRODUCT((FLUXO_MES_NUM&lt;=MES_SEL)*(FLUXO_MES_NUM&gt;MES_SEL-3)*'Fluxo anual'!$C58:$N58)/MAX(1,SUMPRODUCT((FLUXO_MES_NUM&lt;=MES_SEL)*(FLUXO_MES_NUM&gt;MES_SEL-3)*FLUXO_N_MESES)),0))</f>
        <v/>
      </c>
      <c r="E105" s="84">
        <f>IF(OR($A105="",NOT(OR($B105="Necessidade",$B105="Desejo",$B105="Poupança"))),"",IF(IF($B105="Necessidade",$C$10,IF($B105="Desejo",$C$11,$C$12))=0,0,IF(SUMIFS($D$75:$D$122,$B$75:$B$122,$B105)&gt;0,IF($B105="Necessidade",$C$10,IF($B105="Desejo",$C$11,$C$12))*$D105/SUMIFS($D$75:$D$122,$B$75:$B$122,$B105),IF($B105="Necessidade",$C$10,IF($B105="Desejo",$C$11,$C$12))/MAX(1,COUNTIF($B$75:$B$122,$B105)))))</f>
        <v/>
      </c>
      <c r="F105" s="107">
        <f>IF(OR($A105="",NOT(OR($B105="Necessidade",$B105="Desejo",$B105="Poupança"))),"",IF(ORC_USAR="Sim",$E105,N($C105)))</f>
        <v/>
      </c>
      <c r="G105" s="107">
        <f>IF(OR($A105="",NOT(OR($B105="Necessidade",$B105="Desejo",$B105="Poupança"))),"",IF(ORC_USAR="Sim",$E105,N($C105)))</f>
        <v/>
      </c>
      <c r="H105" s="107">
        <f>IF(OR($A105="",NOT(OR($B105="Necessidade",$B105="Desejo",$B105="Poupança"))),"",IF(ORC_USAR="Sim",$E105,N($C105)))</f>
        <v/>
      </c>
      <c r="I105" s="107">
        <f>IF(OR($A105="",NOT(OR($B105="Necessidade",$B105="Desejo",$B105="Poupança"))),"",IF(ORC_USAR="Sim",$E105,N($C105)))</f>
        <v/>
      </c>
      <c r="J105" s="107">
        <f>IF(OR($A105="",NOT(OR($B105="Necessidade",$B105="Desejo",$B105="Poupança"))),"",IF(ORC_USAR="Sim",$E105,N($C105)))</f>
        <v/>
      </c>
      <c r="K105" s="107">
        <f>IF(OR($A105="",NOT(OR($B105="Necessidade",$B105="Desejo",$B105="Poupança"))),"",IF(ORC_USAR="Sim",$E105,N($C105)))</f>
        <v/>
      </c>
      <c r="L105" s="107">
        <f>IF(OR($A105="",NOT(OR($B105="Necessidade",$B105="Desejo",$B105="Poupança"))),"",IF(ORC_USAR="Sim",$E105,N($C105)))</f>
        <v/>
      </c>
      <c r="M105" s="107">
        <f>IF(OR($A105="",NOT(OR($B105="Necessidade",$B105="Desejo",$B105="Poupança"))),"",IF(ORC_USAR="Sim",$E105,N($C105)))</f>
        <v/>
      </c>
      <c r="N105" s="107">
        <f>IF(OR($A105="",NOT(OR($B105="Necessidade",$B105="Desejo",$B105="Poupança"))),"",IF(ORC_USAR="Sim",$E105,N($C105)))</f>
        <v/>
      </c>
      <c r="O105" s="107">
        <f>IF(OR($A105="",NOT(OR($B105="Necessidade",$B105="Desejo",$B105="Poupança"))),"",IF(ORC_USAR="Sim",$E105,N($C105)))</f>
        <v/>
      </c>
      <c r="P105" s="107">
        <f>IF(OR($A105="",NOT(OR($B105="Necessidade",$B105="Desejo",$B105="Poupança"))),"",IF(ORC_USAR="Sim",$E105,N($C105)))</f>
        <v/>
      </c>
      <c r="Q105" s="107">
        <f>IF(OR($A105="",NOT(OR($B105="Necessidade",$B105="Desejo",$B105="Poupança"))),"",IF(ORC_USAR="Sim",$E105,N($C105)))</f>
        <v/>
      </c>
      <c r="R105" s="85">
        <f>IF($A105="","",SUM(F105:Q105))</f>
        <v/>
      </c>
    </row>
    <row r="106">
      <c r="A106" s="75">
        <f>IF('Fluxo anual'!A59="","",'Fluxo anual'!A59)</f>
        <v/>
      </c>
      <c r="B106" s="75">
        <f>IF($A106="","",'Fluxo anual'!B59)</f>
        <v/>
      </c>
      <c r="C106" s="76" t="n"/>
      <c r="D106" s="84">
        <f>IF(OR($A106="",NOT(OR($B106="Necessidade",$B106="Desejo",$B106="Poupança"))),"",IFERROR(SUMPRODUCT((FLUXO_MES_NUM&lt;=MES_SEL)*(FLUXO_MES_NUM&gt;MES_SEL-3)*'Fluxo anual'!$C59:$N59)/MAX(1,SUMPRODUCT((FLUXO_MES_NUM&lt;=MES_SEL)*(FLUXO_MES_NUM&gt;MES_SEL-3)*FLUXO_N_MESES)),0))</f>
        <v/>
      </c>
      <c r="E106" s="84">
        <f>IF(OR($A106="",NOT(OR($B106="Necessidade",$B106="Desejo",$B106="Poupança"))),"",IF(IF($B106="Necessidade",$C$10,IF($B106="Desejo",$C$11,$C$12))=0,0,IF(SUMIFS($D$75:$D$122,$B$75:$B$122,$B106)&gt;0,IF($B106="Necessidade",$C$10,IF($B106="Desejo",$C$11,$C$12))*$D106/SUMIFS($D$75:$D$122,$B$75:$B$122,$B106),IF($B106="Necessidade",$C$10,IF($B106="Desejo",$C$11,$C$12))/MAX(1,COUNTIF($B$75:$B$122,$B106)))))</f>
        <v/>
      </c>
      <c r="F106" s="107">
        <f>IF(OR($A106="",NOT(OR($B106="Necessidade",$B106="Desejo",$B106="Poupança"))),"",IF(ORC_USAR="Sim",$E106,N($C106)))</f>
        <v/>
      </c>
      <c r="G106" s="107">
        <f>IF(OR($A106="",NOT(OR($B106="Necessidade",$B106="Desejo",$B106="Poupança"))),"",IF(ORC_USAR="Sim",$E106,N($C106)))</f>
        <v/>
      </c>
      <c r="H106" s="107">
        <f>IF(OR($A106="",NOT(OR($B106="Necessidade",$B106="Desejo",$B106="Poupança"))),"",IF(ORC_USAR="Sim",$E106,N($C106)))</f>
        <v/>
      </c>
      <c r="I106" s="107">
        <f>IF(OR($A106="",NOT(OR($B106="Necessidade",$B106="Desejo",$B106="Poupança"))),"",IF(ORC_USAR="Sim",$E106,N($C106)))</f>
        <v/>
      </c>
      <c r="J106" s="107">
        <f>IF(OR($A106="",NOT(OR($B106="Necessidade",$B106="Desejo",$B106="Poupança"))),"",IF(ORC_USAR="Sim",$E106,N($C106)))</f>
        <v/>
      </c>
      <c r="K106" s="107">
        <f>IF(OR($A106="",NOT(OR($B106="Necessidade",$B106="Desejo",$B106="Poupança"))),"",IF(ORC_USAR="Sim",$E106,N($C106)))</f>
        <v/>
      </c>
      <c r="L106" s="107">
        <f>IF(OR($A106="",NOT(OR($B106="Necessidade",$B106="Desejo",$B106="Poupança"))),"",IF(ORC_USAR="Sim",$E106,N($C106)))</f>
        <v/>
      </c>
      <c r="M106" s="107">
        <f>IF(OR($A106="",NOT(OR($B106="Necessidade",$B106="Desejo",$B106="Poupança"))),"",IF(ORC_USAR="Sim",$E106,N($C106)))</f>
        <v/>
      </c>
      <c r="N106" s="107">
        <f>IF(OR($A106="",NOT(OR($B106="Necessidade",$B106="Desejo",$B106="Poupança"))),"",IF(ORC_USAR="Sim",$E106,N($C106)))</f>
        <v/>
      </c>
      <c r="O106" s="107">
        <f>IF(OR($A106="",NOT(OR($B106="Necessidade",$B106="Desejo",$B106="Poupança"))),"",IF(ORC_USAR="Sim",$E106,N($C106)))</f>
        <v/>
      </c>
      <c r="P106" s="107">
        <f>IF(OR($A106="",NOT(OR($B106="Necessidade",$B106="Desejo",$B106="Poupança"))),"",IF(ORC_USAR="Sim",$E106,N($C106)))</f>
        <v/>
      </c>
      <c r="Q106" s="107">
        <f>IF(OR($A106="",NOT(OR($B106="Necessidade",$B106="Desejo",$B106="Poupança"))),"",IF(ORC_USAR="Sim",$E106,N($C106)))</f>
        <v/>
      </c>
      <c r="R106" s="85">
        <f>IF($A106="","",SUM(F106:Q106))</f>
        <v/>
      </c>
    </row>
    <row r="107">
      <c r="A107" s="75">
        <f>IF('Fluxo anual'!A60="","",'Fluxo anual'!A60)</f>
        <v/>
      </c>
      <c r="B107" s="75">
        <f>IF($A107="","",'Fluxo anual'!B60)</f>
        <v/>
      </c>
      <c r="C107" s="76" t="n"/>
      <c r="D107" s="84">
        <f>IF(OR($A107="",NOT(OR($B107="Necessidade",$B107="Desejo",$B107="Poupança"))),"",IFERROR(SUMPRODUCT((FLUXO_MES_NUM&lt;=MES_SEL)*(FLUXO_MES_NUM&gt;MES_SEL-3)*'Fluxo anual'!$C60:$N60)/MAX(1,SUMPRODUCT((FLUXO_MES_NUM&lt;=MES_SEL)*(FLUXO_MES_NUM&gt;MES_SEL-3)*FLUXO_N_MESES)),0))</f>
        <v/>
      </c>
      <c r="E107" s="84">
        <f>IF(OR($A107="",NOT(OR($B107="Necessidade",$B107="Desejo",$B107="Poupança"))),"",IF(IF($B107="Necessidade",$C$10,IF($B107="Desejo",$C$11,$C$12))=0,0,IF(SUMIFS($D$75:$D$122,$B$75:$B$122,$B107)&gt;0,IF($B107="Necessidade",$C$10,IF($B107="Desejo",$C$11,$C$12))*$D107/SUMIFS($D$75:$D$122,$B$75:$B$122,$B107),IF($B107="Necessidade",$C$10,IF($B107="Desejo",$C$11,$C$12))/MAX(1,COUNTIF($B$75:$B$122,$B107)))))</f>
        <v/>
      </c>
      <c r="F107" s="107">
        <f>IF(OR($A107="",NOT(OR($B107="Necessidade",$B107="Desejo",$B107="Poupança"))),"",IF(ORC_USAR="Sim",$E107,N($C107)))</f>
        <v/>
      </c>
      <c r="G107" s="107">
        <f>IF(OR($A107="",NOT(OR($B107="Necessidade",$B107="Desejo",$B107="Poupança"))),"",IF(ORC_USAR="Sim",$E107,N($C107)))</f>
        <v/>
      </c>
      <c r="H107" s="107">
        <f>IF(OR($A107="",NOT(OR($B107="Necessidade",$B107="Desejo",$B107="Poupança"))),"",IF(ORC_USAR="Sim",$E107,N($C107)))</f>
        <v/>
      </c>
      <c r="I107" s="107">
        <f>IF(OR($A107="",NOT(OR($B107="Necessidade",$B107="Desejo",$B107="Poupança"))),"",IF(ORC_USAR="Sim",$E107,N($C107)))</f>
        <v/>
      </c>
      <c r="J107" s="107">
        <f>IF(OR($A107="",NOT(OR($B107="Necessidade",$B107="Desejo",$B107="Poupança"))),"",IF(ORC_USAR="Sim",$E107,N($C107)))</f>
        <v/>
      </c>
      <c r="K107" s="107">
        <f>IF(OR($A107="",NOT(OR($B107="Necessidade",$B107="Desejo",$B107="Poupança"))),"",IF(ORC_USAR="Sim",$E107,N($C107)))</f>
        <v/>
      </c>
      <c r="L107" s="107">
        <f>IF(OR($A107="",NOT(OR($B107="Necessidade",$B107="Desejo",$B107="Poupança"))),"",IF(ORC_USAR="Sim",$E107,N($C107)))</f>
        <v/>
      </c>
      <c r="M107" s="107">
        <f>IF(OR($A107="",NOT(OR($B107="Necessidade",$B107="Desejo",$B107="Poupança"))),"",IF(ORC_USAR="Sim",$E107,N($C107)))</f>
        <v/>
      </c>
      <c r="N107" s="107">
        <f>IF(OR($A107="",NOT(OR($B107="Necessidade",$B107="Desejo",$B107="Poupança"))),"",IF(ORC_USAR="Sim",$E107,N($C107)))</f>
        <v/>
      </c>
      <c r="O107" s="107">
        <f>IF(OR($A107="",NOT(OR($B107="Necessidade",$B107="Desejo",$B107="Poupança"))),"",IF(ORC_USAR="Sim",$E107,N($C107)))</f>
        <v/>
      </c>
      <c r="P107" s="107">
        <f>IF(OR($A107="",NOT(OR($B107="Necessidade",$B107="Desejo",$B107="Poupança"))),"",IF(ORC_USAR="Sim",$E107,N($C107)))</f>
        <v/>
      </c>
      <c r="Q107" s="107">
        <f>IF(OR($A107="",NOT(OR($B107="Necessidade",$B107="Desejo",$B107="Poupança"))),"",IF(ORC_USAR="Sim",$E107,N($C107)))</f>
        <v/>
      </c>
      <c r="R107" s="85">
        <f>IF($A107="","",SUM(F107:Q107))</f>
        <v/>
      </c>
    </row>
    <row r="108">
      <c r="A108" s="75">
        <f>IF('Fluxo anual'!A61="","",'Fluxo anual'!A61)</f>
        <v/>
      </c>
      <c r="B108" s="75">
        <f>IF($A108="","",'Fluxo anual'!B61)</f>
        <v/>
      </c>
      <c r="C108" s="76" t="n"/>
      <c r="D108" s="84">
        <f>IF(OR($A108="",NOT(OR($B108="Necessidade",$B108="Desejo",$B108="Poupança"))),"",IFERROR(SUMPRODUCT((FLUXO_MES_NUM&lt;=MES_SEL)*(FLUXO_MES_NUM&gt;MES_SEL-3)*'Fluxo anual'!$C61:$N61)/MAX(1,SUMPRODUCT((FLUXO_MES_NUM&lt;=MES_SEL)*(FLUXO_MES_NUM&gt;MES_SEL-3)*FLUXO_N_MESES)),0))</f>
        <v/>
      </c>
      <c r="E108" s="84">
        <f>IF(OR($A108="",NOT(OR($B108="Necessidade",$B108="Desejo",$B108="Poupança"))),"",IF(IF($B108="Necessidade",$C$10,IF($B108="Desejo",$C$11,$C$12))=0,0,IF(SUMIFS($D$75:$D$122,$B$75:$B$122,$B108)&gt;0,IF($B108="Necessidade",$C$10,IF($B108="Desejo",$C$11,$C$12))*$D108/SUMIFS($D$75:$D$122,$B$75:$B$122,$B108),IF($B108="Necessidade",$C$10,IF($B108="Desejo",$C$11,$C$12))/MAX(1,COUNTIF($B$75:$B$122,$B108)))))</f>
        <v/>
      </c>
      <c r="F108" s="107">
        <f>IF(OR($A108="",NOT(OR($B108="Necessidade",$B108="Desejo",$B108="Poupança"))),"",IF(ORC_USAR="Sim",$E108,N($C108)))</f>
        <v/>
      </c>
      <c r="G108" s="107">
        <f>IF(OR($A108="",NOT(OR($B108="Necessidade",$B108="Desejo",$B108="Poupança"))),"",IF(ORC_USAR="Sim",$E108,N($C108)))</f>
        <v/>
      </c>
      <c r="H108" s="107">
        <f>IF(OR($A108="",NOT(OR($B108="Necessidade",$B108="Desejo",$B108="Poupança"))),"",IF(ORC_USAR="Sim",$E108,N($C108)))</f>
        <v/>
      </c>
      <c r="I108" s="107">
        <f>IF(OR($A108="",NOT(OR($B108="Necessidade",$B108="Desejo",$B108="Poupança"))),"",IF(ORC_USAR="Sim",$E108,N($C108)))</f>
        <v/>
      </c>
      <c r="J108" s="107">
        <f>IF(OR($A108="",NOT(OR($B108="Necessidade",$B108="Desejo",$B108="Poupança"))),"",IF(ORC_USAR="Sim",$E108,N($C108)))</f>
        <v/>
      </c>
      <c r="K108" s="107">
        <f>IF(OR($A108="",NOT(OR($B108="Necessidade",$B108="Desejo",$B108="Poupança"))),"",IF(ORC_USAR="Sim",$E108,N($C108)))</f>
        <v/>
      </c>
      <c r="L108" s="107">
        <f>IF(OR($A108="",NOT(OR($B108="Necessidade",$B108="Desejo",$B108="Poupança"))),"",IF(ORC_USAR="Sim",$E108,N($C108)))</f>
        <v/>
      </c>
      <c r="M108" s="107">
        <f>IF(OR($A108="",NOT(OR($B108="Necessidade",$B108="Desejo",$B108="Poupança"))),"",IF(ORC_USAR="Sim",$E108,N($C108)))</f>
        <v/>
      </c>
      <c r="N108" s="107">
        <f>IF(OR($A108="",NOT(OR($B108="Necessidade",$B108="Desejo",$B108="Poupança"))),"",IF(ORC_USAR="Sim",$E108,N($C108)))</f>
        <v/>
      </c>
      <c r="O108" s="107">
        <f>IF(OR($A108="",NOT(OR($B108="Necessidade",$B108="Desejo",$B108="Poupança"))),"",IF(ORC_USAR="Sim",$E108,N($C108)))</f>
        <v/>
      </c>
      <c r="P108" s="107">
        <f>IF(OR($A108="",NOT(OR($B108="Necessidade",$B108="Desejo",$B108="Poupança"))),"",IF(ORC_USAR="Sim",$E108,N($C108)))</f>
        <v/>
      </c>
      <c r="Q108" s="107">
        <f>IF(OR($A108="",NOT(OR($B108="Necessidade",$B108="Desejo",$B108="Poupança"))),"",IF(ORC_USAR="Sim",$E108,N($C108)))</f>
        <v/>
      </c>
      <c r="R108" s="85">
        <f>IF($A108="","",SUM(F108:Q108))</f>
        <v/>
      </c>
    </row>
    <row r="109">
      <c r="A109" s="75">
        <f>IF('Fluxo anual'!A62="","",'Fluxo anual'!A62)</f>
        <v/>
      </c>
      <c r="B109" s="75">
        <f>IF($A109="","",'Fluxo anual'!B62)</f>
        <v/>
      </c>
      <c r="C109" s="76" t="n"/>
      <c r="D109" s="84">
        <f>IF(OR($A109="",NOT(OR($B109="Necessidade",$B109="Desejo",$B109="Poupança"))),"",IFERROR(SUMPRODUCT((FLUXO_MES_NUM&lt;=MES_SEL)*(FLUXO_MES_NUM&gt;MES_SEL-3)*'Fluxo anual'!$C62:$N62)/MAX(1,SUMPRODUCT((FLUXO_MES_NUM&lt;=MES_SEL)*(FLUXO_MES_NUM&gt;MES_SEL-3)*FLUXO_N_MESES)),0))</f>
        <v/>
      </c>
      <c r="E109" s="84">
        <f>IF(OR($A109="",NOT(OR($B109="Necessidade",$B109="Desejo",$B109="Poupança"))),"",IF(IF($B109="Necessidade",$C$10,IF($B109="Desejo",$C$11,$C$12))=0,0,IF(SUMIFS($D$75:$D$122,$B$75:$B$122,$B109)&gt;0,IF($B109="Necessidade",$C$10,IF($B109="Desejo",$C$11,$C$12))*$D109/SUMIFS($D$75:$D$122,$B$75:$B$122,$B109),IF($B109="Necessidade",$C$10,IF($B109="Desejo",$C$11,$C$12))/MAX(1,COUNTIF($B$75:$B$122,$B109)))))</f>
        <v/>
      </c>
      <c r="F109" s="107">
        <f>IF(OR($A109="",NOT(OR($B109="Necessidade",$B109="Desejo",$B109="Poupança"))),"",IF(ORC_USAR="Sim",$E109,N($C109)))</f>
        <v/>
      </c>
      <c r="G109" s="107">
        <f>IF(OR($A109="",NOT(OR($B109="Necessidade",$B109="Desejo",$B109="Poupança"))),"",IF(ORC_USAR="Sim",$E109,N($C109)))</f>
        <v/>
      </c>
      <c r="H109" s="107">
        <f>IF(OR($A109="",NOT(OR($B109="Necessidade",$B109="Desejo",$B109="Poupança"))),"",IF(ORC_USAR="Sim",$E109,N($C109)))</f>
        <v/>
      </c>
      <c r="I109" s="107">
        <f>IF(OR($A109="",NOT(OR($B109="Necessidade",$B109="Desejo",$B109="Poupança"))),"",IF(ORC_USAR="Sim",$E109,N($C109)))</f>
        <v/>
      </c>
      <c r="J109" s="107">
        <f>IF(OR($A109="",NOT(OR($B109="Necessidade",$B109="Desejo",$B109="Poupança"))),"",IF(ORC_USAR="Sim",$E109,N($C109)))</f>
        <v/>
      </c>
      <c r="K109" s="107">
        <f>IF(OR($A109="",NOT(OR($B109="Necessidade",$B109="Desejo",$B109="Poupança"))),"",IF(ORC_USAR="Sim",$E109,N($C109)))</f>
        <v/>
      </c>
      <c r="L109" s="107">
        <f>IF(OR($A109="",NOT(OR($B109="Necessidade",$B109="Desejo",$B109="Poupança"))),"",IF(ORC_USAR="Sim",$E109,N($C109)))</f>
        <v/>
      </c>
      <c r="M109" s="107">
        <f>IF(OR($A109="",NOT(OR($B109="Necessidade",$B109="Desejo",$B109="Poupança"))),"",IF(ORC_USAR="Sim",$E109,N($C109)))</f>
        <v/>
      </c>
      <c r="N109" s="107">
        <f>IF(OR($A109="",NOT(OR($B109="Necessidade",$B109="Desejo",$B109="Poupança"))),"",IF(ORC_USAR="Sim",$E109,N($C109)))</f>
        <v/>
      </c>
      <c r="O109" s="107">
        <f>IF(OR($A109="",NOT(OR($B109="Necessidade",$B109="Desejo",$B109="Poupança"))),"",IF(ORC_USAR="Sim",$E109,N($C109)))</f>
        <v/>
      </c>
      <c r="P109" s="107">
        <f>IF(OR($A109="",NOT(OR($B109="Necessidade",$B109="Desejo",$B109="Poupança"))),"",IF(ORC_USAR="Sim",$E109,N($C109)))</f>
        <v/>
      </c>
      <c r="Q109" s="107">
        <f>IF(OR($A109="",NOT(OR($B109="Necessidade",$B109="Desejo",$B109="Poupança"))),"",IF(ORC_USAR="Sim",$E109,N($C109)))</f>
        <v/>
      </c>
      <c r="R109" s="85">
        <f>IF($A109="","",SUM(F109:Q109))</f>
        <v/>
      </c>
    </row>
    <row r="110">
      <c r="A110" s="75">
        <f>IF('Fluxo anual'!A63="","",'Fluxo anual'!A63)</f>
        <v/>
      </c>
      <c r="B110" s="75">
        <f>IF($A110="","",'Fluxo anual'!B63)</f>
        <v/>
      </c>
      <c r="C110" s="76" t="n"/>
      <c r="D110" s="84">
        <f>IF(OR($A110="",NOT(OR($B110="Necessidade",$B110="Desejo",$B110="Poupança"))),"",IFERROR(SUMPRODUCT((FLUXO_MES_NUM&lt;=MES_SEL)*(FLUXO_MES_NUM&gt;MES_SEL-3)*'Fluxo anual'!$C63:$N63)/MAX(1,SUMPRODUCT((FLUXO_MES_NUM&lt;=MES_SEL)*(FLUXO_MES_NUM&gt;MES_SEL-3)*FLUXO_N_MESES)),0))</f>
        <v/>
      </c>
      <c r="E110" s="84">
        <f>IF(OR($A110="",NOT(OR($B110="Necessidade",$B110="Desejo",$B110="Poupança"))),"",IF(IF($B110="Necessidade",$C$10,IF($B110="Desejo",$C$11,$C$12))=0,0,IF(SUMIFS($D$75:$D$122,$B$75:$B$122,$B110)&gt;0,IF($B110="Necessidade",$C$10,IF($B110="Desejo",$C$11,$C$12))*$D110/SUMIFS($D$75:$D$122,$B$75:$B$122,$B110),IF($B110="Necessidade",$C$10,IF($B110="Desejo",$C$11,$C$12))/MAX(1,COUNTIF($B$75:$B$122,$B110)))))</f>
        <v/>
      </c>
      <c r="F110" s="107">
        <f>IF(OR($A110="",NOT(OR($B110="Necessidade",$B110="Desejo",$B110="Poupança"))),"",IF(ORC_USAR="Sim",$E110,N($C110)))</f>
        <v/>
      </c>
      <c r="G110" s="107">
        <f>IF(OR($A110="",NOT(OR($B110="Necessidade",$B110="Desejo",$B110="Poupança"))),"",IF(ORC_USAR="Sim",$E110,N($C110)))</f>
        <v/>
      </c>
      <c r="H110" s="107">
        <f>IF(OR($A110="",NOT(OR($B110="Necessidade",$B110="Desejo",$B110="Poupança"))),"",IF(ORC_USAR="Sim",$E110,N($C110)))</f>
        <v/>
      </c>
      <c r="I110" s="107">
        <f>IF(OR($A110="",NOT(OR($B110="Necessidade",$B110="Desejo",$B110="Poupança"))),"",IF(ORC_USAR="Sim",$E110,N($C110)))</f>
        <v/>
      </c>
      <c r="J110" s="107">
        <f>IF(OR($A110="",NOT(OR($B110="Necessidade",$B110="Desejo",$B110="Poupança"))),"",IF(ORC_USAR="Sim",$E110,N($C110)))</f>
        <v/>
      </c>
      <c r="K110" s="107">
        <f>IF(OR($A110="",NOT(OR($B110="Necessidade",$B110="Desejo",$B110="Poupança"))),"",IF(ORC_USAR="Sim",$E110,N($C110)))</f>
        <v/>
      </c>
      <c r="L110" s="107">
        <f>IF(OR($A110="",NOT(OR($B110="Necessidade",$B110="Desejo",$B110="Poupança"))),"",IF(ORC_USAR="Sim",$E110,N($C110)))</f>
        <v/>
      </c>
      <c r="M110" s="107">
        <f>IF(OR($A110="",NOT(OR($B110="Necessidade",$B110="Desejo",$B110="Poupança"))),"",IF(ORC_USAR="Sim",$E110,N($C110)))</f>
        <v/>
      </c>
      <c r="N110" s="107">
        <f>IF(OR($A110="",NOT(OR($B110="Necessidade",$B110="Desejo",$B110="Poupança"))),"",IF(ORC_USAR="Sim",$E110,N($C110)))</f>
        <v/>
      </c>
      <c r="O110" s="107">
        <f>IF(OR($A110="",NOT(OR($B110="Necessidade",$B110="Desejo",$B110="Poupança"))),"",IF(ORC_USAR="Sim",$E110,N($C110)))</f>
        <v/>
      </c>
      <c r="P110" s="107">
        <f>IF(OR($A110="",NOT(OR($B110="Necessidade",$B110="Desejo",$B110="Poupança"))),"",IF(ORC_USAR="Sim",$E110,N($C110)))</f>
        <v/>
      </c>
      <c r="Q110" s="107">
        <f>IF(OR($A110="",NOT(OR($B110="Necessidade",$B110="Desejo",$B110="Poupança"))),"",IF(ORC_USAR="Sim",$E110,N($C110)))</f>
        <v/>
      </c>
      <c r="R110" s="85">
        <f>IF($A110="","",SUM(F110:Q110))</f>
        <v/>
      </c>
    </row>
    <row r="111">
      <c r="A111" s="75">
        <f>IF('Fluxo anual'!A64="","",'Fluxo anual'!A64)</f>
        <v/>
      </c>
      <c r="B111" s="75">
        <f>IF($A111="","",'Fluxo anual'!B64)</f>
        <v/>
      </c>
      <c r="C111" s="76" t="n"/>
      <c r="D111" s="84">
        <f>IF(OR($A111="",NOT(OR($B111="Necessidade",$B111="Desejo",$B111="Poupança"))),"",IFERROR(SUMPRODUCT((FLUXO_MES_NUM&lt;=MES_SEL)*(FLUXO_MES_NUM&gt;MES_SEL-3)*'Fluxo anual'!$C64:$N64)/MAX(1,SUMPRODUCT((FLUXO_MES_NUM&lt;=MES_SEL)*(FLUXO_MES_NUM&gt;MES_SEL-3)*FLUXO_N_MESES)),0))</f>
        <v/>
      </c>
      <c r="E111" s="84">
        <f>IF(OR($A111="",NOT(OR($B111="Necessidade",$B111="Desejo",$B111="Poupança"))),"",IF(IF($B111="Necessidade",$C$10,IF($B111="Desejo",$C$11,$C$12))=0,0,IF(SUMIFS($D$75:$D$122,$B$75:$B$122,$B111)&gt;0,IF($B111="Necessidade",$C$10,IF($B111="Desejo",$C$11,$C$12))*$D111/SUMIFS($D$75:$D$122,$B$75:$B$122,$B111),IF($B111="Necessidade",$C$10,IF($B111="Desejo",$C$11,$C$12))/MAX(1,COUNTIF($B$75:$B$122,$B111)))))</f>
        <v/>
      </c>
      <c r="F111" s="107">
        <f>IF(OR($A111="",NOT(OR($B111="Necessidade",$B111="Desejo",$B111="Poupança"))),"",IF(ORC_USAR="Sim",$E111,N($C111)))</f>
        <v/>
      </c>
      <c r="G111" s="107">
        <f>IF(OR($A111="",NOT(OR($B111="Necessidade",$B111="Desejo",$B111="Poupança"))),"",IF(ORC_USAR="Sim",$E111,N($C111)))</f>
        <v/>
      </c>
      <c r="H111" s="107">
        <f>IF(OR($A111="",NOT(OR($B111="Necessidade",$B111="Desejo",$B111="Poupança"))),"",IF(ORC_USAR="Sim",$E111,N($C111)))</f>
        <v/>
      </c>
      <c r="I111" s="107">
        <f>IF(OR($A111="",NOT(OR($B111="Necessidade",$B111="Desejo",$B111="Poupança"))),"",IF(ORC_USAR="Sim",$E111,N($C111)))</f>
        <v/>
      </c>
      <c r="J111" s="107">
        <f>IF(OR($A111="",NOT(OR($B111="Necessidade",$B111="Desejo",$B111="Poupança"))),"",IF(ORC_USAR="Sim",$E111,N($C111)))</f>
        <v/>
      </c>
      <c r="K111" s="107">
        <f>IF(OR($A111="",NOT(OR($B111="Necessidade",$B111="Desejo",$B111="Poupança"))),"",IF(ORC_USAR="Sim",$E111,N($C111)))</f>
        <v/>
      </c>
      <c r="L111" s="107">
        <f>IF(OR($A111="",NOT(OR($B111="Necessidade",$B111="Desejo",$B111="Poupança"))),"",IF(ORC_USAR="Sim",$E111,N($C111)))</f>
        <v/>
      </c>
      <c r="M111" s="107">
        <f>IF(OR($A111="",NOT(OR($B111="Necessidade",$B111="Desejo",$B111="Poupança"))),"",IF(ORC_USAR="Sim",$E111,N($C111)))</f>
        <v/>
      </c>
      <c r="N111" s="107">
        <f>IF(OR($A111="",NOT(OR($B111="Necessidade",$B111="Desejo",$B111="Poupança"))),"",IF(ORC_USAR="Sim",$E111,N($C111)))</f>
        <v/>
      </c>
      <c r="O111" s="107">
        <f>IF(OR($A111="",NOT(OR($B111="Necessidade",$B111="Desejo",$B111="Poupança"))),"",IF(ORC_USAR="Sim",$E111,N($C111)))</f>
        <v/>
      </c>
      <c r="P111" s="107">
        <f>IF(OR($A111="",NOT(OR($B111="Necessidade",$B111="Desejo",$B111="Poupança"))),"",IF(ORC_USAR="Sim",$E111,N($C111)))</f>
        <v/>
      </c>
      <c r="Q111" s="107">
        <f>IF(OR($A111="",NOT(OR($B111="Necessidade",$B111="Desejo",$B111="Poupança"))),"",IF(ORC_USAR="Sim",$E111,N($C111)))</f>
        <v/>
      </c>
      <c r="R111" s="85">
        <f>IF($A111="","",SUM(F111:Q111))</f>
        <v/>
      </c>
    </row>
    <row r="112">
      <c r="A112" s="75">
        <f>IF('Fluxo anual'!A65="","",'Fluxo anual'!A65)</f>
        <v/>
      </c>
      <c r="B112" s="75">
        <f>IF($A112="","",'Fluxo anual'!B65)</f>
        <v/>
      </c>
      <c r="C112" s="76" t="n"/>
      <c r="D112" s="84">
        <f>IF(OR($A112="",NOT(OR($B112="Necessidade",$B112="Desejo",$B112="Poupança"))),"",IFERROR(SUMPRODUCT((FLUXO_MES_NUM&lt;=MES_SEL)*(FLUXO_MES_NUM&gt;MES_SEL-3)*'Fluxo anual'!$C65:$N65)/MAX(1,SUMPRODUCT((FLUXO_MES_NUM&lt;=MES_SEL)*(FLUXO_MES_NUM&gt;MES_SEL-3)*FLUXO_N_MESES)),0))</f>
        <v/>
      </c>
      <c r="E112" s="84">
        <f>IF(OR($A112="",NOT(OR($B112="Necessidade",$B112="Desejo",$B112="Poupança"))),"",IF(IF($B112="Necessidade",$C$10,IF($B112="Desejo",$C$11,$C$12))=0,0,IF(SUMIFS($D$75:$D$122,$B$75:$B$122,$B112)&gt;0,IF($B112="Necessidade",$C$10,IF($B112="Desejo",$C$11,$C$12))*$D112/SUMIFS($D$75:$D$122,$B$75:$B$122,$B112),IF($B112="Necessidade",$C$10,IF($B112="Desejo",$C$11,$C$12))/MAX(1,COUNTIF($B$75:$B$122,$B112)))))</f>
        <v/>
      </c>
      <c r="F112" s="107">
        <f>IF(OR($A112="",NOT(OR($B112="Necessidade",$B112="Desejo",$B112="Poupança"))),"",IF(ORC_USAR="Sim",$E112,N($C112)))</f>
        <v/>
      </c>
      <c r="G112" s="107">
        <f>IF(OR($A112="",NOT(OR($B112="Necessidade",$B112="Desejo",$B112="Poupança"))),"",IF(ORC_USAR="Sim",$E112,N($C112)))</f>
        <v/>
      </c>
      <c r="H112" s="107">
        <f>IF(OR($A112="",NOT(OR($B112="Necessidade",$B112="Desejo",$B112="Poupança"))),"",IF(ORC_USAR="Sim",$E112,N($C112)))</f>
        <v/>
      </c>
      <c r="I112" s="107">
        <f>IF(OR($A112="",NOT(OR($B112="Necessidade",$B112="Desejo",$B112="Poupança"))),"",IF(ORC_USAR="Sim",$E112,N($C112)))</f>
        <v/>
      </c>
      <c r="J112" s="107">
        <f>IF(OR($A112="",NOT(OR($B112="Necessidade",$B112="Desejo",$B112="Poupança"))),"",IF(ORC_USAR="Sim",$E112,N($C112)))</f>
        <v/>
      </c>
      <c r="K112" s="107">
        <f>IF(OR($A112="",NOT(OR($B112="Necessidade",$B112="Desejo",$B112="Poupança"))),"",IF(ORC_USAR="Sim",$E112,N($C112)))</f>
        <v/>
      </c>
      <c r="L112" s="107">
        <f>IF(OR($A112="",NOT(OR($B112="Necessidade",$B112="Desejo",$B112="Poupança"))),"",IF(ORC_USAR="Sim",$E112,N($C112)))</f>
        <v/>
      </c>
      <c r="M112" s="107">
        <f>IF(OR($A112="",NOT(OR($B112="Necessidade",$B112="Desejo",$B112="Poupança"))),"",IF(ORC_USAR="Sim",$E112,N($C112)))</f>
        <v/>
      </c>
      <c r="N112" s="107">
        <f>IF(OR($A112="",NOT(OR($B112="Necessidade",$B112="Desejo",$B112="Poupança"))),"",IF(ORC_USAR="Sim",$E112,N($C112)))</f>
        <v/>
      </c>
      <c r="O112" s="107">
        <f>IF(OR($A112="",NOT(OR($B112="Necessidade",$B112="Desejo",$B112="Poupança"))),"",IF(ORC_USAR="Sim",$E112,N($C112)))</f>
        <v/>
      </c>
      <c r="P112" s="107">
        <f>IF(OR($A112="",NOT(OR($B112="Necessidade",$B112="Desejo",$B112="Poupança"))),"",IF(ORC_USAR="Sim",$E112,N($C112)))</f>
        <v/>
      </c>
      <c r="Q112" s="107">
        <f>IF(OR($A112="",NOT(OR($B112="Necessidade",$B112="Desejo",$B112="Poupança"))),"",IF(ORC_USAR="Sim",$E112,N($C112)))</f>
        <v/>
      </c>
      <c r="R112" s="85">
        <f>IF($A112="","",SUM(F112:Q112))</f>
        <v/>
      </c>
    </row>
    <row r="113">
      <c r="A113" s="75">
        <f>IF('Fluxo anual'!A66="","",'Fluxo anual'!A66)</f>
        <v/>
      </c>
      <c r="B113" s="75">
        <f>IF($A113="","",'Fluxo anual'!B66)</f>
        <v/>
      </c>
      <c r="C113" s="76" t="n"/>
      <c r="D113" s="84">
        <f>IF(OR($A113="",NOT(OR($B113="Necessidade",$B113="Desejo",$B113="Poupança"))),"",IFERROR(SUMPRODUCT((FLUXO_MES_NUM&lt;=MES_SEL)*(FLUXO_MES_NUM&gt;MES_SEL-3)*'Fluxo anual'!$C66:$N66)/MAX(1,SUMPRODUCT((FLUXO_MES_NUM&lt;=MES_SEL)*(FLUXO_MES_NUM&gt;MES_SEL-3)*FLUXO_N_MESES)),0))</f>
        <v/>
      </c>
      <c r="E113" s="84">
        <f>IF(OR($A113="",NOT(OR($B113="Necessidade",$B113="Desejo",$B113="Poupança"))),"",IF(IF($B113="Necessidade",$C$10,IF($B113="Desejo",$C$11,$C$12))=0,0,IF(SUMIFS($D$75:$D$122,$B$75:$B$122,$B113)&gt;0,IF($B113="Necessidade",$C$10,IF($B113="Desejo",$C$11,$C$12))*$D113/SUMIFS($D$75:$D$122,$B$75:$B$122,$B113),IF($B113="Necessidade",$C$10,IF($B113="Desejo",$C$11,$C$12))/MAX(1,COUNTIF($B$75:$B$122,$B113)))))</f>
        <v/>
      </c>
      <c r="F113" s="107">
        <f>IF(OR($A113="",NOT(OR($B113="Necessidade",$B113="Desejo",$B113="Poupança"))),"",IF(ORC_USAR="Sim",$E113,N($C113)))</f>
        <v/>
      </c>
      <c r="G113" s="107">
        <f>IF(OR($A113="",NOT(OR($B113="Necessidade",$B113="Desejo",$B113="Poupança"))),"",IF(ORC_USAR="Sim",$E113,N($C113)))</f>
        <v/>
      </c>
      <c r="H113" s="107">
        <f>IF(OR($A113="",NOT(OR($B113="Necessidade",$B113="Desejo",$B113="Poupança"))),"",IF(ORC_USAR="Sim",$E113,N($C113)))</f>
        <v/>
      </c>
      <c r="I113" s="107">
        <f>IF(OR($A113="",NOT(OR($B113="Necessidade",$B113="Desejo",$B113="Poupança"))),"",IF(ORC_USAR="Sim",$E113,N($C113)))</f>
        <v/>
      </c>
      <c r="J113" s="107">
        <f>IF(OR($A113="",NOT(OR($B113="Necessidade",$B113="Desejo",$B113="Poupança"))),"",IF(ORC_USAR="Sim",$E113,N($C113)))</f>
        <v/>
      </c>
      <c r="K113" s="107">
        <f>IF(OR($A113="",NOT(OR($B113="Necessidade",$B113="Desejo",$B113="Poupança"))),"",IF(ORC_USAR="Sim",$E113,N($C113)))</f>
        <v/>
      </c>
      <c r="L113" s="107">
        <f>IF(OR($A113="",NOT(OR($B113="Necessidade",$B113="Desejo",$B113="Poupança"))),"",IF(ORC_USAR="Sim",$E113,N($C113)))</f>
        <v/>
      </c>
      <c r="M113" s="107">
        <f>IF(OR($A113="",NOT(OR($B113="Necessidade",$B113="Desejo",$B113="Poupança"))),"",IF(ORC_USAR="Sim",$E113,N($C113)))</f>
        <v/>
      </c>
      <c r="N113" s="107">
        <f>IF(OR($A113="",NOT(OR($B113="Necessidade",$B113="Desejo",$B113="Poupança"))),"",IF(ORC_USAR="Sim",$E113,N($C113)))</f>
        <v/>
      </c>
      <c r="O113" s="107">
        <f>IF(OR($A113="",NOT(OR($B113="Necessidade",$B113="Desejo",$B113="Poupança"))),"",IF(ORC_USAR="Sim",$E113,N($C113)))</f>
        <v/>
      </c>
      <c r="P113" s="107">
        <f>IF(OR($A113="",NOT(OR($B113="Necessidade",$B113="Desejo",$B113="Poupança"))),"",IF(ORC_USAR="Sim",$E113,N($C113)))</f>
        <v/>
      </c>
      <c r="Q113" s="107">
        <f>IF(OR($A113="",NOT(OR($B113="Necessidade",$B113="Desejo",$B113="Poupança"))),"",IF(ORC_USAR="Sim",$E113,N($C113)))</f>
        <v/>
      </c>
      <c r="R113" s="85">
        <f>IF($A113="","",SUM(F113:Q113))</f>
        <v/>
      </c>
    </row>
    <row r="114">
      <c r="A114" s="75">
        <f>IF('Fluxo anual'!A67="","",'Fluxo anual'!A67)</f>
        <v/>
      </c>
      <c r="B114" s="75">
        <f>IF($A114="","",'Fluxo anual'!B67)</f>
        <v/>
      </c>
      <c r="C114" s="76" t="n"/>
      <c r="D114" s="84">
        <f>IF(OR($A114="",NOT(OR($B114="Necessidade",$B114="Desejo",$B114="Poupança"))),"",IFERROR(SUMPRODUCT((FLUXO_MES_NUM&lt;=MES_SEL)*(FLUXO_MES_NUM&gt;MES_SEL-3)*'Fluxo anual'!$C67:$N67)/MAX(1,SUMPRODUCT((FLUXO_MES_NUM&lt;=MES_SEL)*(FLUXO_MES_NUM&gt;MES_SEL-3)*FLUXO_N_MESES)),0))</f>
        <v/>
      </c>
      <c r="E114" s="84">
        <f>IF(OR($A114="",NOT(OR($B114="Necessidade",$B114="Desejo",$B114="Poupança"))),"",IF(IF($B114="Necessidade",$C$10,IF($B114="Desejo",$C$11,$C$12))=0,0,IF(SUMIFS($D$75:$D$122,$B$75:$B$122,$B114)&gt;0,IF($B114="Necessidade",$C$10,IF($B114="Desejo",$C$11,$C$12))*$D114/SUMIFS($D$75:$D$122,$B$75:$B$122,$B114),IF($B114="Necessidade",$C$10,IF($B114="Desejo",$C$11,$C$12))/MAX(1,COUNTIF($B$75:$B$122,$B114)))))</f>
        <v/>
      </c>
      <c r="F114" s="107">
        <f>IF(OR($A114="",NOT(OR($B114="Necessidade",$B114="Desejo",$B114="Poupança"))),"",IF(ORC_USAR="Sim",$E114,N($C114)))</f>
        <v/>
      </c>
      <c r="G114" s="107">
        <f>IF(OR($A114="",NOT(OR($B114="Necessidade",$B114="Desejo",$B114="Poupança"))),"",IF(ORC_USAR="Sim",$E114,N($C114)))</f>
        <v/>
      </c>
      <c r="H114" s="107">
        <f>IF(OR($A114="",NOT(OR($B114="Necessidade",$B114="Desejo",$B114="Poupança"))),"",IF(ORC_USAR="Sim",$E114,N($C114)))</f>
        <v/>
      </c>
      <c r="I114" s="107">
        <f>IF(OR($A114="",NOT(OR($B114="Necessidade",$B114="Desejo",$B114="Poupança"))),"",IF(ORC_USAR="Sim",$E114,N($C114)))</f>
        <v/>
      </c>
      <c r="J114" s="107">
        <f>IF(OR($A114="",NOT(OR($B114="Necessidade",$B114="Desejo",$B114="Poupança"))),"",IF(ORC_USAR="Sim",$E114,N($C114)))</f>
        <v/>
      </c>
      <c r="K114" s="107">
        <f>IF(OR($A114="",NOT(OR($B114="Necessidade",$B114="Desejo",$B114="Poupança"))),"",IF(ORC_USAR="Sim",$E114,N($C114)))</f>
        <v/>
      </c>
      <c r="L114" s="107">
        <f>IF(OR($A114="",NOT(OR($B114="Necessidade",$B114="Desejo",$B114="Poupança"))),"",IF(ORC_USAR="Sim",$E114,N($C114)))</f>
        <v/>
      </c>
      <c r="M114" s="107">
        <f>IF(OR($A114="",NOT(OR($B114="Necessidade",$B114="Desejo",$B114="Poupança"))),"",IF(ORC_USAR="Sim",$E114,N($C114)))</f>
        <v/>
      </c>
      <c r="N114" s="107">
        <f>IF(OR($A114="",NOT(OR($B114="Necessidade",$B114="Desejo",$B114="Poupança"))),"",IF(ORC_USAR="Sim",$E114,N($C114)))</f>
        <v/>
      </c>
      <c r="O114" s="107">
        <f>IF(OR($A114="",NOT(OR($B114="Necessidade",$B114="Desejo",$B114="Poupança"))),"",IF(ORC_USAR="Sim",$E114,N($C114)))</f>
        <v/>
      </c>
      <c r="P114" s="107">
        <f>IF(OR($A114="",NOT(OR($B114="Necessidade",$B114="Desejo",$B114="Poupança"))),"",IF(ORC_USAR="Sim",$E114,N($C114)))</f>
        <v/>
      </c>
      <c r="Q114" s="107">
        <f>IF(OR($A114="",NOT(OR($B114="Necessidade",$B114="Desejo",$B114="Poupança"))),"",IF(ORC_USAR="Sim",$E114,N($C114)))</f>
        <v/>
      </c>
      <c r="R114" s="85">
        <f>IF($A114="","",SUM(F114:Q114))</f>
        <v/>
      </c>
    </row>
    <row r="115">
      <c r="A115" s="75">
        <f>IF('Fluxo anual'!A68="","",'Fluxo anual'!A68)</f>
        <v/>
      </c>
      <c r="B115" s="75">
        <f>IF($A115="","",'Fluxo anual'!B68)</f>
        <v/>
      </c>
      <c r="C115" s="76" t="n"/>
      <c r="D115" s="84">
        <f>IF(OR($A115="",NOT(OR($B115="Necessidade",$B115="Desejo",$B115="Poupança"))),"",IFERROR(SUMPRODUCT((FLUXO_MES_NUM&lt;=MES_SEL)*(FLUXO_MES_NUM&gt;MES_SEL-3)*'Fluxo anual'!$C68:$N68)/MAX(1,SUMPRODUCT((FLUXO_MES_NUM&lt;=MES_SEL)*(FLUXO_MES_NUM&gt;MES_SEL-3)*FLUXO_N_MESES)),0))</f>
        <v/>
      </c>
      <c r="E115" s="84">
        <f>IF(OR($A115="",NOT(OR($B115="Necessidade",$B115="Desejo",$B115="Poupança"))),"",IF(IF($B115="Necessidade",$C$10,IF($B115="Desejo",$C$11,$C$12))=0,0,IF(SUMIFS($D$75:$D$122,$B$75:$B$122,$B115)&gt;0,IF($B115="Necessidade",$C$10,IF($B115="Desejo",$C$11,$C$12))*$D115/SUMIFS($D$75:$D$122,$B$75:$B$122,$B115),IF($B115="Necessidade",$C$10,IF($B115="Desejo",$C$11,$C$12))/MAX(1,COUNTIF($B$75:$B$122,$B115)))))</f>
        <v/>
      </c>
      <c r="F115" s="107">
        <f>IF(OR($A115="",NOT(OR($B115="Necessidade",$B115="Desejo",$B115="Poupança"))),"",IF(ORC_USAR="Sim",$E115,N($C115)))</f>
        <v/>
      </c>
      <c r="G115" s="107">
        <f>IF(OR($A115="",NOT(OR($B115="Necessidade",$B115="Desejo",$B115="Poupança"))),"",IF(ORC_USAR="Sim",$E115,N($C115)))</f>
        <v/>
      </c>
      <c r="H115" s="107">
        <f>IF(OR($A115="",NOT(OR($B115="Necessidade",$B115="Desejo",$B115="Poupança"))),"",IF(ORC_USAR="Sim",$E115,N($C115)))</f>
        <v/>
      </c>
      <c r="I115" s="107">
        <f>IF(OR($A115="",NOT(OR($B115="Necessidade",$B115="Desejo",$B115="Poupança"))),"",IF(ORC_USAR="Sim",$E115,N($C115)))</f>
        <v/>
      </c>
      <c r="J115" s="107">
        <f>IF(OR($A115="",NOT(OR($B115="Necessidade",$B115="Desejo",$B115="Poupança"))),"",IF(ORC_USAR="Sim",$E115,N($C115)))</f>
        <v/>
      </c>
      <c r="K115" s="107">
        <f>IF(OR($A115="",NOT(OR($B115="Necessidade",$B115="Desejo",$B115="Poupança"))),"",IF(ORC_USAR="Sim",$E115,N($C115)))</f>
        <v/>
      </c>
      <c r="L115" s="107">
        <f>IF(OR($A115="",NOT(OR($B115="Necessidade",$B115="Desejo",$B115="Poupança"))),"",IF(ORC_USAR="Sim",$E115,N($C115)))</f>
        <v/>
      </c>
      <c r="M115" s="107">
        <f>IF(OR($A115="",NOT(OR($B115="Necessidade",$B115="Desejo",$B115="Poupança"))),"",IF(ORC_USAR="Sim",$E115,N($C115)))</f>
        <v/>
      </c>
      <c r="N115" s="107">
        <f>IF(OR($A115="",NOT(OR($B115="Necessidade",$B115="Desejo",$B115="Poupança"))),"",IF(ORC_USAR="Sim",$E115,N($C115)))</f>
        <v/>
      </c>
      <c r="O115" s="107">
        <f>IF(OR($A115="",NOT(OR($B115="Necessidade",$B115="Desejo",$B115="Poupança"))),"",IF(ORC_USAR="Sim",$E115,N($C115)))</f>
        <v/>
      </c>
      <c r="P115" s="107">
        <f>IF(OR($A115="",NOT(OR($B115="Necessidade",$B115="Desejo",$B115="Poupança"))),"",IF(ORC_USAR="Sim",$E115,N($C115)))</f>
        <v/>
      </c>
      <c r="Q115" s="107">
        <f>IF(OR($A115="",NOT(OR($B115="Necessidade",$B115="Desejo",$B115="Poupança"))),"",IF(ORC_USAR="Sim",$E115,N($C115)))</f>
        <v/>
      </c>
      <c r="R115" s="85">
        <f>IF($A115="","",SUM(F115:Q115))</f>
        <v/>
      </c>
    </row>
    <row r="116">
      <c r="A116" s="75">
        <f>IF('Fluxo anual'!A69="","",'Fluxo anual'!A69)</f>
        <v/>
      </c>
      <c r="B116" s="75">
        <f>IF($A116="","",'Fluxo anual'!B69)</f>
        <v/>
      </c>
      <c r="C116" s="76" t="n"/>
      <c r="D116" s="84">
        <f>IF(OR($A116="",NOT(OR($B116="Necessidade",$B116="Desejo",$B116="Poupança"))),"",IFERROR(SUMPRODUCT((FLUXO_MES_NUM&lt;=MES_SEL)*(FLUXO_MES_NUM&gt;MES_SEL-3)*'Fluxo anual'!$C69:$N69)/MAX(1,SUMPRODUCT((FLUXO_MES_NUM&lt;=MES_SEL)*(FLUXO_MES_NUM&gt;MES_SEL-3)*FLUXO_N_MESES)),0))</f>
        <v/>
      </c>
      <c r="E116" s="84">
        <f>IF(OR($A116="",NOT(OR($B116="Necessidade",$B116="Desejo",$B116="Poupança"))),"",IF(IF($B116="Necessidade",$C$10,IF($B116="Desejo",$C$11,$C$12))=0,0,IF(SUMIFS($D$75:$D$122,$B$75:$B$122,$B116)&gt;0,IF($B116="Necessidade",$C$10,IF($B116="Desejo",$C$11,$C$12))*$D116/SUMIFS($D$75:$D$122,$B$75:$B$122,$B116),IF($B116="Necessidade",$C$10,IF($B116="Desejo",$C$11,$C$12))/MAX(1,COUNTIF($B$75:$B$122,$B116)))))</f>
        <v/>
      </c>
      <c r="F116" s="107">
        <f>IF(OR($A116="",NOT(OR($B116="Necessidade",$B116="Desejo",$B116="Poupança"))),"",IF(ORC_USAR="Sim",$E116,N($C116)))</f>
        <v/>
      </c>
      <c r="G116" s="107">
        <f>IF(OR($A116="",NOT(OR($B116="Necessidade",$B116="Desejo",$B116="Poupança"))),"",IF(ORC_USAR="Sim",$E116,N($C116)))</f>
        <v/>
      </c>
      <c r="H116" s="107">
        <f>IF(OR($A116="",NOT(OR($B116="Necessidade",$B116="Desejo",$B116="Poupança"))),"",IF(ORC_USAR="Sim",$E116,N($C116)))</f>
        <v/>
      </c>
      <c r="I116" s="107">
        <f>IF(OR($A116="",NOT(OR($B116="Necessidade",$B116="Desejo",$B116="Poupança"))),"",IF(ORC_USAR="Sim",$E116,N($C116)))</f>
        <v/>
      </c>
      <c r="J116" s="107">
        <f>IF(OR($A116="",NOT(OR($B116="Necessidade",$B116="Desejo",$B116="Poupança"))),"",IF(ORC_USAR="Sim",$E116,N($C116)))</f>
        <v/>
      </c>
      <c r="K116" s="107">
        <f>IF(OR($A116="",NOT(OR($B116="Necessidade",$B116="Desejo",$B116="Poupança"))),"",IF(ORC_USAR="Sim",$E116,N($C116)))</f>
        <v/>
      </c>
      <c r="L116" s="107">
        <f>IF(OR($A116="",NOT(OR($B116="Necessidade",$B116="Desejo",$B116="Poupança"))),"",IF(ORC_USAR="Sim",$E116,N($C116)))</f>
        <v/>
      </c>
      <c r="M116" s="107">
        <f>IF(OR($A116="",NOT(OR($B116="Necessidade",$B116="Desejo",$B116="Poupança"))),"",IF(ORC_USAR="Sim",$E116,N($C116)))</f>
        <v/>
      </c>
      <c r="N116" s="107">
        <f>IF(OR($A116="",NOT(OR($B116="Necessidade",$B116="Desejo",$B116="Poupança"))),"",IF(ORC_USAR="Sim",$E116,N($C116)))</f>
        <v/>
      </c>
      <c r="O116" s="107">
        <f>IF(OR($A116="",NOT(OR($B116="Necessidade",$B116="Desejo",$B116="Poupança"))),"",IF(ORC_USAR="Sim",$E116,N($C116)))</f>
        <v/>
      </c>
      <c r="P116" s="107">
        <f>IF(OR($A116="",NOT(OR($B116="Necessidade",$B116="Desejo",$B116="Poupança"))),"",IF(ORC_USAR="Sim",$E116,N($C116)))</f>
        <v/>
      </c>
      <c r="Q116" s="107">
        <f>IF(OR($A116="",NOT(OR($B116="Necessidade",$B116="Desejo",$B116="Poupança"))),"",IF(ORC_USAR="Sim",$E116,N($C116)))</f>
        <v/>
      </c>
      <c r="R116" s="85">
        <f>IF($A116="","",SUM(F116:Q116))</f>
        <v/>
      </c>
    </row>
    <row r="117">
      <c r="A117" s="75">
        <f>IF('Fluxo anual'!A70="","",'Fluxo anual'!A70)</f>
        <v/>
      </c>
      <c r="B117" s="75">
        <f>IF($A117="","",'Fluxo anual'!B70)</f>
        <v/>
      </c>
      <c r="C117" s="76" t="n"/>
      <c r="D117" s="84">
        <f>IF(OR($A117="",NOT(OR($B117="Necessidade",$B117="Desejo",$B117="Poupança"))),"",IFERROR(SUMPRODUCT((FLUXO_MES_NUM&lt;=MES_SEL)*(FLUXO_MES_NUM&gt;MES_SEL-3)*'Fluxo anual'!$C70:$N70)/MAX(1,SUMPRODUCT((FLUXO_MES_NUM&lt;=MES_SEL)*(FLUXO_MES_NUM&gt;MES_SEL-3)*FLUXO_N_MESES)),0))</f>
        <v/>
      </c>
      <c r="E117" s="84">
        <f>IF(OR($A117="",NOT(OR($B117="Necessidade",$B117="Desejo",$B117="Poupança"))),"",IF(IF($B117="Necessidade",$C$10,IF($B117="Desejo",$C$11,$C$12))=0,0,IF(SUMIFS($D$75:$D$122,$B$75:$B$122,$B117)&gt;0,IF($B117="Necessidade",$C$10,IF($B117="Desejo",$C$11,$C$12))*$D117/SUMIFS($D$75:$D$122,$B$75:$B$122,$B117),IF($B117="Necessidade",$C$10,IF($B117="Desejo",$C$11,$C$12))/MAX(1,COUNTIF($B$75:$B$122,$B117)))))</f>
        <v/>
      </c>
      <c r="F117" s="107">
        <f>IF(OR($A117="",NOT(OR($B117="Necessidade",$B117="Desejo",$B117="Poupança"))),"",IF(ORC_USAR="Sim",$E117,N($C117)))</f>
        <v/>
      </c>
      <c r="G117" s="107">
        <f>IF(OR($A117="",NOT(OR($B117="Necessidade",$B117="Desejo",$B117="Poupança"))),"",IF(ORC_USAR="Sim",$E117,N($C117)))</f>
        <v/>
      </c>
      <c r="H117" s="107">
        <f>IF(OR($A117="",NOT(OR($B117="Necessidade",$B117="Desejo",$B117="Poupança"))),"",IF(ORC_USAR="Sim",$E117,N($C117)))</f>
        <v/>
      </c>
      <c r="I117" s="107">
        <f>IF(OR($A117="",NOT(OR($B117="Necessidade",$B117="Desejo",$B117="Poupança"))),"",IF(ORC_USAR="Sim",$E117,N($C117)))</f>
        <v/>
      </c>
      <c r="J117" s="107">
        <f>IF(OR($A117="",NOT(OR($B117="Necessidade",$B117="Desejo",$B117="Poupança"))),"",IF(ORC_USAR="Sim",$E117,N($C117)))</f>
        <v/>
      </c>
      <c r="K117" s="107">
        <f>IF(OR($A117="",NOT(OR($B117="Necessidade",$B117="Desejo",$B117="Poupança"))),"",IF(ORC_USAR="Sim",$E117,N($C117)))</f>
        <v/>
      </c>
      <c r="L117" s="107">
        <f>IF(OR($A117="",NOT(OR($B117="Necessidade",$B117="Desejo",$B117="Poupança"))),"",IF(ORC_USAR="Sim",$E117,N($C117)))</f>
        <v/>
      </c>
      <c r="M117" s="107">
        <f>IF(OR($A117="",NOT(OR($B117="Necessidade",$B117="Desejo",$B117="Poupança"))),"",IF(ORC_USAR="Sim",$E117,N($C117)))</f>
        <v/>
      </c>
      <c r="N117" s="107">
        <f>IF(OR($A117="",NOT(OR($B117="Necessidade",$B117="Desejo",$B117="Poupança"))),"",IF(ORC_USAR="Sim",$E117,N($C117)))</f>
        <v/>
      </c>
      <c r="O117" s="107">
        <f>IF(OR($A117="",NOT(OR($B117="Necessidade",$B117="Desejo",$B117="Poupança"))),"",IF(ORC_USAR="Sim",$E117,N($C117)))</f>
        <v/>
      </c>
      <c r="P117" s="107">
        <f>IF(OR($A117="",NOT(OR($B117="Necessidade",$B117="Desejo",$B117="Poupança"))),"",IF(ORC_USAR="Sim",$E117,N($C117)))</f>
        <v/>
      </c>
      <c r="Q117" s="107">
        <f>IF(OR($A117="",NOT(OR($B117="Necessidade",$B117="Desejo",$B117="Poupança"))),"",IF(ORC_USAR="Sim",$E117,N($C117)))</f>
        <v/>
      </c>
      <c r="R117" s="85">
        <f>IF($A117="","",SUM(F117:Q117))</f>
        <v/>
      </c>
    </row>
    <row r="118">
      <c r="A118" s="75">
        <f>IF('Fluxo anual'!A71="","",'Fluxo anual'!A71)</f>
        <v/>
      </c>
      <c r="B118" s="75">
        <f>IF($A118="","",'Fluxo anual'!B71)</f>
        <v/>
      </c>
      <c r="C118" s="76" t="n"/>
      <c r="D118" s="84">
        <f>IF(OR($A118="",NOT(OR($B118="Necessidade",$B118="Desejo",$B118="Poupança"))),"",IFERROR(SUMPRODUCT((FLUXO_MES_NUM&lt;=MES_SEL)*(FLUXO_MES_NUM&gt;MES_SEL-3)*'Fluxo anual'!$C71:$N71)/MAX(1,SUMPRODUCT((FLUXO_MES_NUM&lt;=MES_SEL)*(FLUXO_MES_NUM&gt;MES_SEL-3)*FLUXO_N_MESES)),0))</f>
        <v/>
      </c>
      <c r="E118" s="84">
        <f>IF(OR($A118="",NOT(OR($B118="Necessidade",$B118="Desejo",$B118="Poupança"))),"",IF(IF($B118="Necessidade",$C$10,IF($B118="Desejo",$C$11,$C$12))=0,0,IF(SUMIFS($D$75:$D$122,$B$75:$B$122,$B118)&gt;0,IF($B118="Necessidade",$C$10,IF($B118="Desejo",$C$11,$C$12))*$D118/SUMIFS($D$75:$D$122,$B$75:$B$122,$B118),IF($B118="Necessidade",$C$10,IF($B118="Desejo",$C$11,$C$12))/MAX(1,COUNTIF($B$75:$B$122,$B118)))))</f>
        <v/>
      </c>
      <c r="F118" s="107">
        <f>IF(OR($A118="",NOT(OR($B118="Necessidade",$B118="Desejo",$B118="Poupança"))),"",IF(ORC_USAR="Sim",$E118,N($C118)))</f>
        <v/>
      </c>
      <c r="G118" s="107">
        <f>IF(OR($A118="",NOT(OR($B118="Necessidade",$B118="Desejo",$B118="Poupança"))),"",IF(ORC_USAR="Sim",$E118,N($C118)))</f>
        <v/>
      </c>
      <c r="H118" s="107">
        <f>IF(OR($A118="",NOT(OR($B118="Necessidade",$B118="Desejo",$B118="Poupança"))),"",IF(ORC_USAR="Sim",$E118,N($C118)))</f>
        <v/>
      </c>
      <c r="I118" s="107">
        <f>IF(OR($A118="",NOT(OR($B118="Necessidade",$B118="Desejo",$B118="Poupança"))),"",IF(ORC_USAR="Sim",$E118,N($C118)))</f>
        <v/>
      </c>
      <c r="J118" s="107">
        <f>IF(OR($A118="",NOT(OR($B118="Necessidade",$B118="Desejo",$B118="Poupança"))),"",IF(ORC_USAR="Sim",$E118,N($C118)))</f>
        <v/>
      </c>
      <c r="K118" s="107">
        <f>IF(OR($A118="",NOT(OR($B118="Necessidade",$B118="Desejo",$B118="Poupança"))),"",IF(ORC_USAR="Sim",$E118,N($C118)))</f>
        <v/>
      </c>
      <c r="L118" s="107">
        <f>IF(OR($A118="",NOT(OR($B118="Necessidade",$B118="Desejo",$B118="Poupança"))),"",IF(ORC_USAR="Sim",$E118,N($C118)))</f>
        <v/>
      </c>
      <c r="M118" s="107">
        <f>IF(OR($A118="",NOT(OR($B118="Necessidade",$B118="Desejo",$B118="Poupança"))),"",IF(ORC_USAR="Sim",$E118,N($C118)))</f>
        <v/>
      </c>
      <c r="N118" s="107">
        <f>IF(OR($A118="",NOT(OR($B118="Necessidade",$B118="Desejo",$B118="Poupança"))),"",IF(ORC_USAR="Sim",$E118,N($C118)))</f>
        <v/>
      </c>
      <c r="O118" s="107">
        <f>IF(OR($A118="",NOT(OR($B118="Necessidade",$B118="Desejo",$B118="Poupança"))),"",IF(ORC_USAR="Sim",$E118,N($C118)))</f>
        <v/>
      </c>
      <c r="P118" s="107">
        <f>IF(OR($A118="",NOT(OR($B118="Necessidade",$B118="Desejo",$B118="Poupança"))),"",IF(ORC_USAR="Sim",$E118,N($C118)))</f>
        <v/>
      </c>
      <c r="Q118" s="107">
        <f>IF(OR($A118="",NOT(OR($B118="Necessidade",$B118="Desejo",$B118="Poupança"))),"",IF(ORC_USAR="Sim",$E118,N($C118)))</f>
        <v/>
      </c>
      <c r="R118" s="85">
        <f>IF($A118="","",SUM(F118:Q118))</f>
        <v/>
      </c>
    </row>
    <row r="119">
      <c r="A119" s="75">
        <f>IF('Fluxo anual'!A72="","",'Fluxo anual'!A72)</f>
        <v/>
      </c>
      <c r="B119" s="75">
        <f>IF($A119="","",'Fluxo anual'!B72)</f>
        <v/>
      </c>
      <c r="C119" s="76" t="n"/>
      <c r="D119" s="84">
        <f>IF(OR($A119="",NOT(OR($B119="Necessidade",$B119="Desejo",$B119="Poupança"))),"",IFERROR(SUMPRODUCT((FLUXO_MES_NUM&lt;=MES_SEL)*(FLUXO_MES_NUM&gt;MES_SEL-3)*'Fluxo anual'!$C72:$N72)/MAX(1,SUMPRODUCT((FLUXO_MES_NUM&lt;=MES_SEL)*(FLUXO_MES_NUM&gt;MES_SEL-3)*FLUXO_N_MESES)),0))</f>
        <v/>
      </c>
      <c r="E119" s="84">
        <f>IF(OR($A119="",NOT(OR($B119="Necessidade",$B119="Desejo",$B119="Poupança"))),"",IF(IF($B119="Necessidade",$C$10,IF($B119="Desejo",$C$11,$C$12))=0,0,IF(SUMIFS($D$75:$D$122,$B$75:$B$122,$B119)&gt;0,IF($B119="Necessidade",$C$10,IF($B119="Desejo",$C$11,$C$12))*$D119/SUMIFS($D$75:$D$122,$B$75:$B$122,$B119),IF($B119="Necessidade",$C$10,IF($B119="Desejo",$C$11,$C$12))/MAX(1,COUNTIF($B$75:$B$122,$B119)))))</f>
        <v/>
      </c>
      <c r="F119" s="107">
        <f>IF(OR($A119="",NOT(OR($B119="Necessidade",$B119="Desejo",$B119="Poupança"))),"",IF(ORC_USAR="Sim",$E119,N($C119)))</f>
        <v/>
      </c>
      <c r="G119" s="107">
        <f>IF(OR($A119="",NOT(OR($B119="Necessidade",$B119="Desejo",$B119="Poupança"))),"",IF(ORC_USAR="Sim",$E119,N($C119)))</f>
        <v/>
      </c>
      <c r="H119" s="107">
        <f>IF(OR($A119="",NOT(OR($B119="Necessidade",$B119="Desejo",$B119="Poupança"))),"",IF(ORC_USAR="Sim",$E119,N($C119)))</f>
        <v/>
      </c>
      <c r="I119" s="107">
        <f>IF(OR($A119="",NOT(OR($B119="Necessidade",$B119="Desejo",$B119="Poupança"))),"",IF(ORC_USAR="Sim",$E119,N($C119)))</f>
        <v/>
      </c>
      <c r="J119" s="107">
        <f>IF(OR($A119="",NOT(OR($B119="Necessidade",$B119="Desejo",$B119="Poupança"))),"",IF(ORC_USAR="Sim",$E119,N($C119)))</f>
        <v/>
      </c>
      <c r="K119" s="107">
        <f>IF(OR($A119="",NOT(OR($B119="Necessidade",$B119="Desejo",$B119="Poupança"))),"",IF(ORC_USAR="Sim",$E119,N($C119)))</f>
        <v/>
      </c>
      <c r="L119" s="107">
        <f>IF(OR($A119="",NOT(OR($B119="Necessidade",$B119="Desejo",$B119="Poupança"))),"",IF(ORC_USAR="Sim",$E119,N($C119)))</f>
        <v/>
      </c>
      <c r="M119" s="107">
        <f>IF(OR($A119="",NOT(OR($B119="Necessidade",$B119="Desejo",$B119="Poupança"))),"",IF(ORC_USAR="Sim",$E119,N($C119)))</f>
        <v/>
      </c>
      <c r="N119" s="107">
        <f>IF(OR($A119="",NOT(OR($B119="Necessidade",$B119="Desejo",$B119="Poupança"))),"",IF(ORC_USAR="Sim",$E119,N($C119)))</f>
        <v/>
      </c>
      <c r="O119" s="107">
        <f>IF(OR($A119="",NOT(OR($B119="Necessidade",$B119="Desejo",$B119="Poupança"))),"",IF(ORC_USAR="Sim",$E119,N($C119)))</f>
        <v/>
      </c>
      <c r="P119" s="107">
        <f>IF(OR($A119="",NOT(OR($B119="Necessidade",$B119="Desejo",$B119="Poupança"))),"",IF(ORC_USAR="Sim",$E119,N($C119)))</f>
        <v/>
      </c>
      <c r="Q119" s="107">
        <f>IF(OR($A119="",NOT(OR($B119="Necessidade",$B119="Desejo",$B119="Poupança"))),"",IF(ORC_USAR="Sim",$E119,N($C119)))</f>
        <v/>
      </c>
      <c r="R119" s="85">
        <f>IF($A119="","",SUM(F119:Q119))</f>
        <v/>
      </c>
    </row>
    <row r="120">
      <c r="A120" s="75">
        <f>IF('Fluxo anual'!A73="","",'Fluxo anual'!A73)</f>
        <v/>
      </c>
      <c r="B120" s="75">
        <f>IF($A120="","",'Fluxo anual'!B73)</f>
        <v/>
      </c>
      <c r="C120" s="76" t="n"/>
      <c r="D120" s="84">
        <f>IF(OR($A120="",NOT(OR($B120="Necessidade",$B120="Desejo",$B120="Poupança"))),"",IFERROR(SUMPRODUCT((FLUXO_MES_NUM&lt;=MES_SEL)*(FLUXO_MES_NUM&gt;MES_SEL-3)*'Fluxo anual'!$C73:$N73)/MAX(1,SUMPRODUCT((FLUXO_MES_NUM&lt;=MES_SEL)*(FLUXO_MES_NUM&gt;MES_SEL-3)*FLUXO_N_MESES)),0))</f>
        <v/>
      </c>
      <c r="E120" s="84">
        <f>IF(OR($A120="",NOT(OR($B120="Necessidade",$B120="Desejo",$B120="Poupança"))),"",IF(IF($B120="Necessidade",$C$10,IF($B120="Desejo",$C$11,$C$12))=0,0,IF(SUMIFS($D$75:$D$122,$B$75:$B$122,$B120)&gt;0,IF($B120="Necessidade",$C$10,IF($B120="Desejo",$C$11,$C$12))*$D120/SUMIFS($D$75:$D$122,$B$75:$B$122,$B120),IF($B120="Necessidade",$C$10,IF($B120="Desejo",$C$11,$C$12))/MAX(1,COUNTIF($B$75:$B$122,$B120)))))</f>
        <v/>
      </c>
      <c r="F120" s="107">
        <f>IF(OR($A120="",NOT(OR($B120="Necessidade",$B120="Desejo",$B120="Poupança"))),"",IF(ORC_USAR="Sim",$E120,N($C120)))</f>
        <v/>
      </c>
      <c r="G120" s="107">
        <f>IF(OR($A120="",NOT(OR($B120="Necessidade",$B120="Desejo",$B120="Poupança"))),"",IF(ORC_USAR="Sim",$E120,N($C120)))</f>
        <v/>
      </c>
      <c r="H120" s="107">
        <f>IF(OR($A120="",NOT(OR($B120="Necessidade",$B120="Desejo",$B120="Poupança"))),"",IF(ORC_USAR="Sim",$E120,N($C120)))</f>
        <v/>
      </c>
      <c r="I120" s="107">
        <f>IF(OR($A120="",NOT(OR($B120="Necessidade",$B120="Desejo",$B120="Poupança"))),"",IF(ORC_USAR="Sim",$E120,N($C120)))</f>
        <v/>
      </c>
      <c r="J120" s="107">
        <f>IF(OR($A120="",NOT(OR($B120="Necessidade",$B120="Desejo",$B120="Poupança"))),"",IF(ORC_USAR="Sim",$E120,N($C120)))</f>
        <v/>
      </c>
      <c r="K120" s="107">
        <f>IF(OR($A120="",NOT(OR($B120="Necessidade",$B120="Desejo",$B120="Poupança"))),"",IF(ORC_USAR="Sim",$E120,N($C120)))</f>
        <v/>
      </c>
      <c r="L120" s="107">
        <f>IF(OR($A120="",NOT(OR($B120="Necessidade",$B120="Desejo",$B120="Poupança"))),"",IF(ORC_USAR="Sim",$E120,N($C120)))</f>
        <v/>
      </c>
      <c r="M120" s="107">
        <f>IF(OR($A120="",NOT(OR($B120="Necessidade",$B120="Desejo",$B120="Poupança"))),"",IF(ORC_USAR="Sim",$E120,N($C120)))</f>
        <v/>
      </c>
      <c r="N120" s="107">
        <f>IF(OR($A120="",NOT(OR($B120="Necessidade",$B120="Desejo",$B120="Poupança"))),"",IF(ORC_USAR="Sim",$E120,N($C120)))</f>
        <v/>
      </c>
      <c r="O120" s="107">
        <f>IF(OR($A120="",NOT(OR($B120="Necessidade",$B120="Desejo",$B120="Poupança"))),"",IF(ORC_USAR="Sim",$E120,N($C120)))</f>
        <v/>
      </c>
      <c r="P120" s="107">
        <f>IF(OR($A120="",NOT(OR($B120="Necessidade",$B120="Desejo",$B120="Poupança"))),"",IF(ORC_USAR="Sim",$E120,N($C120)))</f>
        <v/>
      </c>
      <c r="Q120" s="107">
        <f>IF(OR($A120="",NOT(OR($B120="Necessidade",$B120="Desejo",$B120="Poupança"))),"",IF(ORC_USAR="Sim",$E120,N($C120)))</f>
        <v/>
      </c>
      <c r="R120" s="85">
        <f>IF($A120="","",SUM(F120:Q120))</f>
        <v/>
      </c>
    </row>
    <row r="121">
      <c r="A121" s="75">
        <f>IF('Fluxo anual'!A74="","",'Fluxo anual'!A74)</f>
        <v/>
      </c>
      <c r="B121" s="75">
        <f>IF($A121="","",'Fluxo anual'!B74)</f>
        <v/>
      </c>
      <c r="C121" s="76" t="n"/>
      <c r="D121" s="84">
        <f>IF(OR($A121="",NOT(OR($B121="Necessidade",$B121="Desejo",$B121="Poupança"))),"",IFERROR(SUMPRODUCT((FLUXO_MES_NUM&lt;=MES_SEL)*(FLUXO_MES_NUM&gt;MES_SEL-3)*'Fluxo anual'!$C74:$N74)/MAX(1,SUMPRODUCT((FLUXO_MES_NUM&lt;=MES_SEL)*(FLUXO_MES_NUM&gt;MES_SEL-3)*FLUXO_N_MESES)),0))</f>
        <v/>
      </c>
      <c r="E121" s="84">
        <f>IF(OR($A121="",NOT(OR($B121="Necessidade",$B121="Desejo",$B121="Poupança"))),"",IF(IF($B121="Necessidade",$C$10,IF($B121="Desejo",$C$11,$C$12))=0,0,IF(SUMIFS($D$75:$D$122,$B$75:$B$122,$B121)&gt;0,IF($B121="Necessidade",$C$10,IF($B121="Desejo",$C$11,$C$12))*$D121/SUMIFS($D$75:$D$122,$B$75:$B$122,$B121),IF($B121="Necessidade",$C$10,IF($B121="Desejo",$C$11,$C$12))/MAX(1,COUNTIF($B$75:$B$122,$B121)))))</f>
        <v/>
      </c>
      <c r="F121" s="107">
        <f>IF(OR($A121="",NOT(OR($B121="Necessidade",$B121="Desejo",$B121="Poupança"))),"",IF(ORC_USAR="Sim",$E121,N($C121)))</f>
        <v/>
      </c>
      <c r="G121" s="107">
        <f>IF(OR($A121="",NOT(OR($B121="Necessidade",$B121="Desejo",$B121="Poupança"))),"",IF(ORC_USAR="Sim",$E121,N($C121)))</f>
        <v/>
      </c>
      <c r="H121" s="107">
        <f>IF(OR($A121="",NOT(OR($B121="Necessidade",$B121="Desejo",$B121="Poupança"))),"",IF(ORC_USAR="Sim",$E121,N($C121)))</f>
        <v/>
      </c>
      <c r="I121" s="107">
        <f>IF(OR($A121="",NOT(OR($B121="Necessidade",$B121="Desejo",$B121="Poupança"))),"",IF(ORC_USAR="Sim",$E121,N($C121)))</f>
        <v/>
      </c>
      <c r="J121" s="107">
        <f>IF(OR($A121="",NOT(OR($B121="Necessidade",$B121="Desejo",$B121="Poupança"))),"",IF(ORC_USAR="Sim",$E121,N($C121)))</f>
        <v/>
      </c>
      <c r="K121" s="107">
        <f>IF(OR($A121="",NOT(OR($B121="Necessidade",$B121="Desejo",$B121="Poupança"))),"",IF(ORC_USAR="Sim",$E121,N($C121)))</f>
        <v/>
      </c>
      <c r="L121" s="107">
        <f>IF(OR($A121="",NOT(OR($B121="Necessidade",$B121="Desejo",$B121="Poupança"))),"",IF(ORC_USAR="Sim",$E121,N($C121)))</f>
        <v/>
      </c>
      <c r="M121" s="107">
        <f>IF(OR($A121="",NOT(OR($B121="Necessidade",$B121="Desejo",$B121="Poupança"))),"",IF(ORC_USAR="Sim",$E121,N($C121)))</f>
        <v/>
      </c>
      <c r="N121" s="107">
        <f>IF(OR($A121="",NOT(OR($B121="Necessidade",$B121="Desejo",$B121="Poupança"))),"",IF(ORC_USAR="Sim",$E121,N($C121)))</f>
        <v/>
      </c>
      <c r="O121" s="107">
        <f>IF(OR($A121="",NOT(OR($B121="Necessidade",$B121="Desejo",$B121="Poupança"))),"",IF(ORC_USAR="Sim",$E121,N($C121)))</f>
        <v/>
      </c>
      <c r="P121" s="107">
        <f>IF(OR($A121="",NOT(OR($B121="Necessidade",$B121="Desejo",$B121="Poupança"))),"",IF(ORC_USAR="Sim",$E121,N($C121)))</f>
        <v/>
      </c>
      <c r="Q121" s="107">
        <f>IF(OR($A121="",NOT(OR($B121="Necessidade",$B121="Desejo",$B121="Poupança"))),"",IF(ORC_USAR="Sim",$E121,N($C121)))</f>
        <v/>
      </c>
      <c r="R121" s="85">
        <f>IF($A121="","",SUM(F121:Q121))</f>
        <v/>
      </c>
    </row>
    <row r="122">
      <c r="A122" s="75">
        <f>IF('Fluxo anual'!A75="","",'Fluxo anual'!A75)</f>
        <v/>
      </c>
      <c r="B122" s="75">
        <f>IF($A122="","",'Fluxo anual'!B75)</f>
        <v/>
      </c>
      <c r="C122" s="76" t="n"/>
      <c r="D122" s="84">
        <f>IF(OR($A122="",NOT(OR($B122="Necessidade",$B122="Desejo",$B122="Poupança"))),"",IFERROR(SUMPRODUCT((FLUXO_MES_NUM&lt;=MES_SEL)*(FLUXO_MES_NUM&gt;MES_SEL-3)*'Fluxo anual'!$C75:$N75)/MAX(1,SUMPRODUCT((FLUXO_MES_NUM&lt;=MES_SEL)*(FLUXO_MES_NUM&gt;MES_SEL-3)*FLUXO_N_MESES)),0))</f>
        <v/>
      </c>
      <c r="E122" s="84">
        <f>IF(OR($A122="",NOT(OR($B122="Necessidade",$B122="Desejo",$B122="Poupança"))),"",IF(IF($B122="Necessidade",$C$10,IF($B122="Desejo",$C$11,$C$12))=0,0,IF(SUMIFS($D$75:$D$122,$B$75:$B$122,$B122)&gt;0,IF($B122="Necessidade",$C$10,IF($B122="Desejo",$C$11,$C$12))*$D122/SUMIFS($D$75:$D$122,$B$75:$B$122,$B122),IF($B122="Necessidade",$C$10,IF($B122="Desejo",$C$11,$C$12))/MAX(1,COUNTIF($B$75:$B$122,$B122)))))</f>
        <v/>
      </c>
      <c r="F122" s="107">
        <f>IF(OR($A122="",NOT(OR($B122="Necessidade",$B122="Desejo",$B122="Poupança"))),"",IF(ORC_USAR="Sim",$E122,N($C122)))</f>
        <v/>
      </c>
      <c r="G122" s="107">
        <f>IF(OR($A122="",NOT(OR($B122="Necessidade",$B122="Desejo",$B122="Poupança"))),"",IF(ORC_USAR="Sim",$E122,N($C122)))</f>
        <v/>
      </c>
      <c r="H122" s="107">
        <f>IF(OR($A122="",NOT(OR($B122="Necessidade",$B122="Desejo",$B122="Poupança"))),"",IF(ORC_USAR="Sim",$E122,N($C122)))</f>
        <v/>
      </c>
      <c r="I122" s="107">
        <f>IF(OR($A122="",NOT(OR($B122="Necessidade",$B122="Desejo",$B122="Poupança"))),"",IF(ORC_USAR="Sim",$E122,N($C122)))</f>
        <v/>
      </c>
      <c r="J122" s="107">
        <f>IF(OR($A122="",NOT(OR($B122="Necessidade",$B122="Desejo",$B122="Poupança"))),"",IF(ORC_USAR="Sim",$E122,N($C122)))</f>
        <v/>
      </c>
      <c r="K122" s="107">
        <f>IF(OR($A122="",NOT(OR($B122="Necessidade",$B122="Desejo",$B122="Poupança"))),"",IF(ORC_USAR="Sim",$E122,N($C122)))</f>
        <v/>
      </c>
      <c r="L122" s="107">
        <f>IF(OR($A122="",NOT(OR($B122="Necessidade",$B122="Desejo",$B122="Poupança"))),"",IF(ORC_USAR="Sim",$E122,N($C122)))</f>
        <v/>
      </c>
      <c r="M122" s="107">
        <f>IF(OR($A122="",NOT(OR($B122="Necessidade",$B122="Desejo",$B122="Poupança"))),"",IF(ORC_USAR="Sim",$E122,N($C122)))</f>
        <v/>
      </c>
      <c r="N122" s="107">
        <f>IF(OR($A122="",NOT(OR($B122="Necessidade",$B122="Desejo",$B122="Poupança"))),"",IF(ORC_USAR="Sim",$E122,N($C122)))</f>
        <v/>
      </c>
      <c r="O122" s="107">
        <f>IF(OR($A122="",NOT(OR($B122="Necessidade",$B122="Desejo",$B122="Poupança"))),"",IF(ORC_USAR="Sim",$E122,N($C122)))</f>
        <v/>
      </c>
      <c r="P122" s="107">
        <f>IF(OR($A122="",NOT(OR($B122="Necessidade",$B122="Desejo",$B122="Poupança"))),"",IF(ORC_USAR="Sim",$E122,N($C122)))</f>
        <v/>
      </c>
      <c r="Q122" s="107">
        <f>IF(OR($A122="",NOT(OR($B122="Necessidade",$B122="Desejo",$B122="Poupança"))),"",IF(ORC_USAR="Sim",$E122,N($C122)))</f>
        <v/>
      </c>
      <c r="R122" s="85">
        <f>IF($A122="","",SUM(F122:Q122))</f>
        <v/>
      </c>
    </row>
    <row r="123">
      <c r="A123" s="87" t="inlineStr">
        <is>
          <t>Necessidades</t>
        </is>
      </c>
      <c r="B123" s="104" t="n"/>
      <c r="F123" s="88">
        <f>SUMIFS(F$75:F$122,$B$75:$B$122,"Necessidade")</f>
        <v/>
      </c>
      <c r="G123" s="88">
        <f>SUMIFS(G$75:G$122,$B$75:$B$122,"Necessidade")</f>
        <v/>
      </c>
      <c r="H123" s="88">
        <f>SUMIFS(H$75:H$122,$B$75:$B$122,"Necessidade")</f>
        <v/>
      </c>
      <c r="I123" s="88">
        <f>SUMIFS(I$75:I$122,$B$75:$B$122,"Necessidade")</f>
        <v/>
      </c>
      <c r="J123" s="88">
        <f>SUMIFS(J$75:J$122,$B$75:$B$122,"Necessidade")</f>
        <v/>
      </c>
      <c r="K123" s="88">
        <f>SUMIFS(K$75:K$122,$B$75:$B$122,"Necessidade")</f>
        <v/>
      </c>
      <c r="L123" s="88">
        <f>SUMIFS(L$75:L$122,$B$75:$B$122,"Necessidade")</f>
        <v/>
      </c>
      <c r="M123" s="88">
        <f>SUMIFS(M$75:M$122,$B$75:$B$122,"Necessidade")</f>
        <v/>
      </c>
      <c r="N123" s="88">
        <f>SUMIFS(N$75:N$122,$B$75:$B$122,"Necessidade")</f>
        <v/>
      </c>
      <c r="O123" s="88">
        <f>SUMIFS(O$75:O$122,$B$75:$B$122,"Necessidade")</f>
        <v/>
      </c>
      <c r="P123" s="88">
        <f>SUMIFS(P$75:P$122,$B$75:$B$122,"Necessidade")</f>
        <v/>
      </c>
      <c r="Q123" s="88">
        <f>SUMIFS(Q$75:Q$122,$B$75:$B$122,"Necessidade")</f>
        <v/>
      </c>
      <c r="R123" s="88">
        <f>SUMIFS(R$75:R$122,$B$75:$B$122,"Necessidade")</f>
        <v/>
      </c>
    </row>
    <row r="124">
      <c r="A124" s="87" t="inlineStr">
        <is>
          <t>Desejos</t>
        </is>
      </c>
      <c r="B124" s="104" t="n"/>
      <c r="F124" s="88">
        <f>SUMIFS(F$75:F$122,$B$75:$B$122,"Desejo")</f>
        <v/>
      </c>
      <c r="G124" s="88">
        <f>SUMIFS(G$75:G$122,$B$75:$B$122,"Desejo")</f>
        <v/>
      </c>
      <c r="H124" s="88">
        <f>SUMIFS(H$75:H$122,$B$75:$B$122,"Desejo")</f>
        <v/>
      </c>
      <c r="I124" s="88">
        <f>SUMIFS(I$75:I$122,$B$75:$B$122,"Desejo")</f>
        <v/>
      </c>
      <c r="J124" s="88">
        <f>SUMIFS(J$75:J$122,$B$75:$B$122,"Desejo")</f>
        <v/>
      </c>
      <c r="K124" s="88">
        <f>SUMIFS(K$75:K$122,$B$75:$B$122,"Desejo")</f>
        <v/>
      </c>
      <c r="L124" s="88">
        <f>SUMIFS(L$75:L$122,$B$75:$B$122,"Desejo")</f>
        <v/>
      </c>
      <c r="M124" s="88">
        <f>SUMIFS(M$75:M$122,$B$75:$B$122,"Desejo")</f>
        <v/>
      </c>
      <c r="N124" s="88">
        <f>SUMIFS(N$75:N$122,$B$75:$B$122,"Desejo")</f>
        <v/>
      </c>
      <c r="O124" s="88">
        <f>SUMIFS(O$75:O$122,$B$75:$B$122,"Desejo")</f>
        <v/>
      </c>
      <c r="P124" s="88">
        <f>SUMIFS(P$75:P$122,$B$75:$B$122,"Desejo")</f>
        <v/>
      </c>
      <c r="Q124" s="88">
        <f>SUMIFS(Q$75:Q$122,$B$75:$B$122,"Desejo")</f>
        <v/>
      </c>
      <c r="R124" s="88">
        <f>SUMIFS(R$75:R$122,$B$75:$B$122,"Desejo")</f>
        <v/>
      </c>
    </row>
    <row r="125">
      <c r="A125" s="87" t="inlineStr">
        <is>
          <t>Total de despesas (necessidades + desejos)</t>
        </is>
      </c>
      <c r="B125" s="104" t="n"/>
      <c r="F125" s="88">
        <f>F123+F124</f>
        <v/>
      </c>
      <c r="G125" s="88">
        <f>G123+G124</f>
        <v/>
      </c>
      <c r="H125" s="88">
        <f>H123+H124</f>
        <v/>
      </c>
      <c r="I125" s="88">
        <f>I123+I124</f>
        <v/>
      </c>
      <c r="J125" s="88">
        <f>J123+J124</f>
        <v/>
      </c>
      <c r="K125" s="88">
        <f>K123+K124</f>
        <v/>
      </c>
      <c r="L125" s="88">
        <f>L123+L124</f>
        <v/>
      </c>
      <c r="M125" s="88">
        <f>M123+M124</f>
        <v/>
      </c>
      <c r="N125" s="88">
        <f>N123+N124</f>
        <v/>
      </c>
      <c r="O125" s="88">
        <f>O123+O124</f>
        <v/>
      </c>
      <c r="P125" s="88">
        <f>P123+P124</f>
        <v/>
      </c>
      <c r="Q125" s="88">
        <f>Q123+Q124</f>
        <v/>
      </c>
      <c r="R125" s="88">
        <f>R123+R124</f>
        <v/>
      </c>
    </row>
    <row r="126">
      <c r="A126" s="87" t="inlineStr">
        <is>
          <t>Poupança e aportes</t>
        </is>
      </c>
      <c r="B126" s="104" t="n"/>
      <c r="F126" s="88">
        <f>SUMIFS(F$75:F$122,$B$75:$B$122,"Poupança")</f>
        <v/>
      </c>
      <c r="G126" s="88">
        <f>SUMIFS(G$75:G$122,$B$75:$B$122,"Poupança")</f>
        <v/>
      </c>
      <c r="H126" s="88">
        <f>SUMIFS(H$75:H$122,$B$75:$B$122,"Poupança")</f>
        <v/>
      </c>
      <c r="I126" s="88">
        <f>SUMIFS(I$75:I$122,$B$75:$B$122,"Poupança")</f>
        <v/>
      </c>
      <c r="J126" s="88">
        <f>SUMIFS(J$75:J$122,$B$75:$B$122,"Poupança")</f>
        <v/>
      </c>
      <c r="K126" s="88">
        <f>SUMIFS(K$75:K$122,$B$75:$B$122,"Poupança")</f>
        <v/>
      </c>
      <c r="L126" s="88">
        <f>SUMIFS(L$75:L$122,$B$75:$B$122,"Poupança")</f>
        <v/>
      </c>
      <c r="M126" s="88">
        <f>SUMIFS(M$75:M$122,$B$75:$B$122,"Poupança")</f>
        <v/>
      </c>
      <c r="N126" s="88">
        <f>SUMIFS(N$75:N$122,$B$75:$B$122,"Poupança")</f>
        <v/>
      </c>
      <c r="O126" s="88">
        <f>SUMIFS(O$75:O$122,$B$75:$B$122,"Poupança")</f>
        <v/>
      </c>
      <c r="P126" s="88">
        <f>SUMIFS(P$75:P$122,$B$75:$B$122,"Poupança")</f>
        <v/>
      </c>
      <c r="Q126" s="88">
        <f>SUMIFS(Q$75:Q$122,$B$75:$B$122,"Poupança")</f>
        <v/>
      </c>
      <c r="R126" s="88">
        <f>SUMIFS(R$75:R$122,$B$75:$B$122,"Poupança")</f>
        <v/>
      </c>
    </row>
    <row r="129">
      <c r="A129" s="5" t="inlineStr">
        <is>
          <t>Realizado no ano por categoria (vem dos Lançamentos e dos Parcelados)</t>
        </is>
      </c>
    </row>
    <row r="130" ht="30" customHeight="1">
      <c r="A130" s="44" t="inlineStr">
        <is>
          <t>Categoria</t>
        </is>
      </c>
      <c r="B130" s="44" t="inlineStr">
        <is>
          <t>Grupo</t>
        </is>
      </c>
      <c r="C130" s="44" t="inlineStr"/>
      <c r="D130" s="44" t="inlineStr"/>
      <c r="E130" s="44" t="inlineStr"/>
      <c r="F130" s="44" t="inlineStr">
        <is>
          <t>Jan</t>
        </is>
      </c>
      <c r="G130" s="44" t="inlineStr">
        <is>
          <t>Fev</t>
        </is>
      </c>
      <c r="H130" s="44" t="inlineStr">
        <is>
          <t>Mar</t>
        </is>
      </c>
      <c r="I130" s="44" t="inlineStr">
        <is>
          <t>Abr</t>
        </is>
      </c>
      <c r="J130" s="44" t="inlineStr">
        <is>
          <t>Mai</t>
        </is>
      </c>
      <c r="K130" s="44" t="inlineStr">
        <is>
          <t>Jun</t>
        </is>
      </c>
      <c r="L130" s="44" t="inlineStr">
        <is>
          <t>Jul</t>
        </is>
      </c>
      <c r="M130" s="44" t="inlineStr">
        <is>
          <t>Ago</t>
        </is>
      </c>
      <c r="N130" s="44" t="inlineStr">
        <is>
          <t>Set</t>
        </is>
      </c>
      <c r="O130" s="44" t="inlineStr">
        <is>
          <t>Out</t>
        </is>
      </c>
      <c r="P130" s="44" t="inlineStr">
        <is>
          <t>Nov</t>
        </is>
      </c>
      <c r="Q130" s="44" t="inlineStr">
        <is>
          <t>Dez</t>
        </is>
      </c>
      <c r="R130" s="44" t="inlineStr">
        <is>
          <t>Total do ano</t>
        </is>
      </c>
    </row>
    <row r="131">
      <c r="A131" s="75">
        <f>IF('Fluxo anual'!A28="","",'Fluxo anual'!A28)</f>
        <v/>
      </c>
      <c r="B131" s="75">
        <f>IF($A131="","",'Fluxo anual'!B28)</f>
        <v/>
      </c>
      <c r="C131" s="108" t="n"/>
      <c r="D131" s="108" t="n"/>
      <c r="E131" s="108" t="n"/>
      <c r="F131" s="109">
        <f>IF(OR($A131="",NOT(OR($B131="Necessidade",$B131="Desejo",$B131="Poupança"))),"",'Fluxo anual'!C28)</f>
        <v/>
      </c>
      <c r="G131" s="109">
        <f>IF(OR($A131="",NOT(OR($B131="Necessidade",$B131="Desejo",$B131="Poupança"))),"",'Fluxo anual'!D28)</f>
        <v/>
      </c>
      <c r="H131" s="109">
        <f>IF(OR($A131="",NOT(OR($B131="Necessidade",$B131="Desejo",$B131="Poupança"))),"",'Fluxo anual'!E28)</f>
        <v/>
      </c>
      <c r="I131" s="109">
        <f>IF(OR($A131="",NOT(OR($B131="Necessidade",$B131="Desejo",$B131="Poupança"))),"",'Fluxo anual'!F28)</f>
        <v/>
      </c>
      <c r="J131" s="109">
        <f>IF(OR($A131="",NOT(OR($B131="Necessidade",$B131="Desejo",$B131="Poupança"))),"",'Fluxo anual'!G28)</f>
        <v/>
      </c>
      <c r="K131" s="109">
        <f>IF(OR($A131="",NOT(OR($B131="Necessidade",$B131="Desejo",$B131="Poupança"))),"",'Fluxo anual'!H28)</f>
        <v/>
      </c>
      <c r="L131" s="109">
        <f>IF(OR($A131="",NOT(OR($B131="Necessidade",$B131="Desejo",$B131="Poupança"))),"",'Fluxo anual'!I28)</f>
        <v/>
      </c>
      <c r="M131" s="109">
        <f>IF(OR($A131="",NOT(OR($B131="Necessidade",$B131="Desejo",$B131="Poupança"))),"",'Fluxo anual'!J28)</f>
        <v/>
      </c>
      <c r="N131" s="109">
        <f>IF(OR($A131="",NOT(OR($B131="Necessidade",$B131="Desejo",$B131="Poupança"))),"",'Fluxo anual'!K28)</f>
        <v/>
      </c>
      <c r="O131" s="109">
        <f>IF(OR($A131="",NOT(OR($B131="Necessidade",$B131="Desejo",$B131="Poupança"))),"",'Fluxo anual'!L28)</f>
        <v/>
      </c>
      <c r="P131" s="109">
        <f>IF(OR($A131="",NOT(OR($B131="Necessidade",$B131="Desejo",$B131="Poupança"))),"",'Fluxo anual'!M28)</f>
        <v/>
      </c>
      <c r="Q131" s="109">
        <f>IF(OR($A131="",NOT(OR($B131="Necessidade",$B131="Desejo",$B131="Poupança"))),"",'Fluxo anual'!N28)</f>
        <v/>
      </c>
      <c r="R131" s="85">
        <f>IF($A131="","",SUM(F131:Q131))</f>
        <v/>
      </c>
    </row>
    <row r="132">
      <c r="A132" s="75">
        <f>IF('Fluxo anual'!A29="","",'Fluxo anual'!A29)</f>
        <v/>
      </c>
      <c r="B132" s="75">
        <f>IF($A132="","",'Fluxo anual'!B29)</f>
        <v/>
      </c>
      <c r="C132" s="108" t="n"/>
      <c r="D132" s="108" t="n"/>
      <c r="E132" s="108" t="n"/>
      <c r="F132" s="109">
        <f>IF(OR($A132="",NOT(OR($B132="Necessidade",$B132="Desejo",$B132="Poupança"))),"",'Fluxo anual'!C29)</f>
        <v/>
      </c>
      <c r="G132" s="109">
        <f>IF(OR($A132="",NOT(OR($B132="Necessidade",$B132="Desejo",$B132="Poupança"))),"",'Fluxo anual'!D29)</f>
        <v/>
      </c>
      <c r="H132" s="109">
        <f>IF(OR($A132="",NOT(OR($B132="Necessidade",$B132="Desejo",$B132="Poupança"))),"",'Fluxo anual'!E29)</f>
        <v/>
      </c>
      <c r="I132" s="109">
        <f>IF(OR($A132="",NOT(OR($B132="Necessidade",$B132="Desejo",$B132="Poupança"))),"",'Fluxo anual'!F29)</f>
        <v/>
      </c>
      <c r="J132" s="109">
        <f>IF(OR($A132="",NOT(OR($B132="Necessidade",$B132="Desejo",$B132="Poupança"))),"",'Fluxo anual'!G29)</f>
        <v/>
      </c>
      <c r="K132" s="109">
        <f>IF(OR($A132="",NOT(OR($B132="Necessidade",$B132="Desejo",$B132="Poupança"))),"",'Fluxo anual'!H29)</f>
        <v/>
      </c>
      <c r="L132" s="109">
        <f>IF(OR($A132="",NOT(OR($B132="Necessidade",$B132="Desejo",$B132="Poupança"))),"",'Fluxo anual'!I29)</f>
        <v/>
      </c>
      <c r="M132" s="109">
        <f>IF(OR($A132="",NOT(OR($B132="Necessidade",$B132="Desejo",$B132="Poupança"))),"",'Fluxo anual'!J29)</f>
        <v/>
      </c>
      <c r="N132" s="109">
        <f>IF(OR($A132="",NOT(OR($B132="Necessidade",$B132="Desejo",$B132="Poupança"))),"",'Fluxo anual'!K29)</f>
        <v/>
      </c>
      <c r="O132" s="109">
        <f>IF(OR($A132="",NOT(OR($B132="Necessidade",$B132="Desejo",$B132="Poupança"))),"",'Fluxo anual'!L29)</f>
        <v/>
      </c>
      <c r="P132" s="109">
        <f>IF(OR($A132="",NOT(OR($B132="Necessidade",$B132="Desejo",$B132="Poupança"))),"",'Fluxo anual'!M29)</f>
        <v/>
      </c>
      <c r="Q132" s="109">
        <f>IF(OR($A132="",NOT(OR($B132="Necessidade",$B132="Desejo",$B132="Poupança"))),"",'Fluxo anual'!N29)</f>
        <v/>
      </c>
      <c r="R132" s="85">
        <f>IF($A132="","",SUM(F132:Q132))</f>
        <v/>
      </c>
    </row>
    <row r="133">
      <c r="A133" s="75">
        <f>IF('Fluxo anual'!A30="","",'Fluxo anual'!A30)</f>
        <v/>
      </c>
      <c r="B133" s="75">
        <f>IF($A133="","",'Fluxo anual'!B30)</f>
        <v/>
      </c>
      <c r="C133" s="108" t="n"/>
      <c r="D133" s="108" t="n"/>
      <c r="E133" s="108" t="n"/>
      <c r="F133" s="109">
        <f>IF(OR($A133="",NOT(OR($B133="Necessidade",$B133="Desejo",$B133="Poupança"))),"",'Fluxo anual'!C30)</f>
        <v/>
      </c>
      <c r="G133" s="109">
        <f>IF(OR($A133="",NOT(OR($B133="Necessidade",$B133="Desejo",$B133="Poupança"))),"",'Fluxo anual'!D30)</f>
        <v/>
      </c>
      <c r="H133" s="109">
        <f>IF(OR($A133="",NOT(OR($B133="Necessidade",$B133="Desejo",$B133="Poupança"))),"",'Fluxo anual'!E30)</f>
        <v/>
      </c>
      <c r="I133" s="109">
        <f>IF(OR($A133="",NOT(OR($B133="Necessidade",$B133="Desejo",$B133="Poupança"))),"",'Fluxo anual'!F30)</f>
        <v/>
      </c>
      <c r="J133" s="109">
        <f>IF(OR($A133="",NOT(OR($B133="Necessidade",$B133="Desejo",$B133="Poupança"))),"",'Fluxo anual'!G30)</f>
        <v/>
      </c>
      <c r="K133" s="109">
        <f>IF(OR($A133="",NOT(OR($B133="Necessidade",$B133="Desejo",$B133="Poupança"))),"",'Fluxo anual'!H30)</f>
        <v/>
      </c>
      <c r="L133" s="109">
        <f>IF(OR($A133="",NOT(OR($B133="Necessidade",$B133="Desejo",$B133="Poupança"))),"",'Fluxo anual'!I30)</f>
        <v/>
      </c>
      <c r="M133" s="109">
        <f>IF(OR($A133="",NOT(OR($B133="Necessidade",$B133="Desejo",$B133="Poupança"))),"",'Fluxo anual'!J30)</f>
        <v/>
      </c>
      <c r="N133" s="109">
        <f>IF(OR($A133="",NOT(OR($B133="Necessidade",$B133="Desejo",$B133="Poupança"))),"",'Fluxo anual'!K30)</f>
        <v/>
      </c>
      <c r="O133" s="109">
        <f>IF(OR($A133="",NOT(OR($B133="Necessidade",$B133="Desejo",$B133="Poupança"))),"",'Fluxo anual'!L30)</f>
        <v/>
      </c>
      <c r="P133" s="109">
        <f>IF(OR($A133="",NOT(OR($B133="Necessidade",$B133="Desejo",$B133="Poupança"))),"",'Fluxo anual'!M30)</f>
        <v/>
      </c>
      <c r="Q133" s="109">
        <f>IF(OR($A133="",NOT(OR($B133="Necessidade",$B133="Desejo",$B133="Poupança"))),"",'Fluxo anual'!N30)</f>
        <v/>
      </c>
      <c r="R133" s="85">
        <f>IF($A133="","",SUM(F133:Q133))</f>
        <v/>
      </c>
    </row>
    <row r="134">
      <c r="A134" s="75">
        <f>IF('Fluxo anual'!A31="","",'Fluxo anual'!A31)</f>
        <v/>
      </c>
      <c r="B134" s="75">
        <f>IF($A134="","",'Fluxo anual'!B31)</f>
        <v/>
      </c>
      <c r="C134" s="108" t="n"/>
      <c r="D134" s="108" t="n"/>
      <c r="E134" s="108" t="n"/>
      <c r="F134" s="109">
        <f>IF(OR($A134="",NOT(OR($B134="Necessidade",$B134="Desejo",$B134="Poupança"))),"",'Fluxo anual'!C31)</f>
        <v/>
      </c>
      <c r="G134" s="109">
        <f>IF(OR($A134="",NOT(OR($B134="Necessidade",$B134="Desejo",$B134="Poupança"))),"",'Fluxo anual'!D31)</f>
        <v/>
      </c>
      <c r="H134" s="109">
        <f>IF(OR($A134="",NOT(OR($B134="Necessidade",$B134="Desejo",$B134="Poupança"))),"",'Fluxo anual'!E31)</f>
        <v/>
      </c>
      <c r="I134" s="109">
        <f>IF(OR($A134="",NOT(OR($B134="Necessidade",$B134="Desejo",$B134="Poupança"))),"",'Fluxo anual'!F31)</f>
        <v/>
      </c>
      <c r="J134" s="109">
        <f>IF(OR($A134="",NOT(OR($B134="Necessidade",$B134="Desejo",$B134="Poupança"))),"",'Fluxo anual'!G31)</f>
        <v/>
      </c>
      <c r="K134" s="109">
        <f>IF(OR($A134="",NOT(OR($B134="Necessidade",$B134="Desejo",$B134="Poupança"))),"",'Fluxo anual'!H31)</f>
        <v/>
      </c>
      <c r="L134" s="109">
        <f>IF(OR($A134="",NOT(OR($B134="Necessidade",$B134="Desejo",$B134="Poupança"))),"",'Fluxo anual'!I31)</f>
        <v/>
      </c>
      <c r="M134" s="109">
        <f>IF(OR($A134="",NOT(OR($B134="Necessidade",$B134="Desejo",$B134="Poupança"))),"",'Fluxo anual'!J31)</f>
        <v/>
      </c>
      <c r="N134" s="109">
        <f>IF(OR($A134="",NOT(OR($B134="Necessidade",$B134="Desejo",$B134="Poupança"))),"",'Fluxo anual'!K31)</f>
        <v/>
      </c>
      <c r="O134" s="109">
        <f>IF(OR($A134="",NOT(OR($B134="Necessidade",$B134="Desejo",$B134="Poupança"))),"",'Fluxo anual'!L31)</f>
        <v/>
      </c>
      <c r="P134" s="109">
        <f>IF(OR($A134="",NOT(OR($B134="Necessidade",$B134="Desejo",$B134="Poupança"))),"",'Fluxo anual'!M31)</f>
        <v/>
      </c>
      <c r="Q134" s="109">
        <f>IF(OR($A134="",NOT(OR($B134="Necessidade",$B134="Desejo",$B134="Poupança"))),"",'Fluxo anual'!N31)</f>
        <v/>
      </c>
      <c r="R134" s="85">
        <f>IF($A134="","",SUM(F134:Q134))</f>
        <v/>
      </c>
    </row>
    <row r="135">
      <c r="A135" s="75">
        <f>IF('Fluxo anual'!A32="","",'Fluxo anual'!A32)</f>
        <v/>
      </c>
      <c r="B135" s="75">
        <f>IF($A135="","",'Fluxo anual'!B32)</f>
        <v/>
      </c>
      <c r="C135" s="108" t="n"/>
      <c r="D135" s="108" t="n"/>
      <c r="E135" s="108" t="n"/>
      <c r="F135" s="109">
        <f>IF(OR($A135="",NOT(OR($B135="Necessidade",$B135="Desejo",$B135="Poupança"))),"",'Fluxo anual'!C32)</f>
        <v/>
      </c>
      <c r="G135" s="109">
        <f>IF(OR($A135="",NOT(OR($B135="Necessidade",$B135="Desejo",$B135="Poupança"))),"",'Fluxo anual'!D32)</f>
        <v/>
      </c>
      <c r="H135" s="109">
        <f>IF(OR($A135="",NOT(OR($B135="Necessidade",$B135="Desejo",$B135="Poupança"))),"",'Fluxo anual'!E32)</f>
        <v/>
      </c>
      <c r="I135" s="109">
        <f>IF(OR($A135="",NOT(OR($B135="Necessidade",$B135="Desejo",$B135="Poupança"))),"",'Fluxo anual'!F32)</f>
        <v/>
      </c>
      <c r="J135" s="109">
        <f>IF(OR($A135="",NOT(OR($B135="Necessidade",$B135="Desejo",$B135="Poupança"))),"",'Fluxo anual'!G32)</f>
        <v/>
      </c>
      <c r="K135" s="109">
        <f>IF(OR($A135="",NOT(OR($B135="Necessidade",$B135="Desejo",$B135="Poupança"))),"",'Fluxo anual'!H32)</f>
        <v/>
      </c>
      <c r="L135" s="109">
        <f>IF(OR($A135="",NOT(OR($B135="Necessidade",$B135="Desejo",$B135="Poupança"))),"",'Fluxo anual'!I32)</f>
        <v/>
      </c>
      <c r="M135" s="109">
        <f>IF(OR($A135="",NOT(OR($B135="Necessidade",$B135="Desejo",$B135="Poupança"))),"",'Fluxo anual'!J32)</f>
        <v/>
      </c>
      <c r="N135" s="109">
        <f>IF(OR($A135="",NOT(OR($B135="Necessidade",$B135="Desejo",$B135="Poupança"))),"",'Fluxo anual'!K32)</f>
        <v/>
      </c>
      <c r="O135" s="109">
        <f>IF(OR($A135="",NOT(OR($B135="Necessidade",$B135="Desejo",$B135="Poupança"))),"",'Fluxo anual'!L32)</f>
        <v/>
      </c>
      <c r="P135" s="109">
        <f>IF(OR($A135="",NOT(OR($B135="Necessidade",$B135="Desejo",$B135="Poupança"))),"",'Fluxo anual'!M32)</f>
        <v/>
      </c>
      <c r="Q135" s="109">
        <f>IF(OR($A135="",NOT(OR($B135="Necessidade",$B135="Desejo",$B135="Poupança"))),"",'Fluxo anual'!N32)</f>
        <v/>
      </c>
      <c r="R135" s="85">
        <f>IF($A135="","",SUM(F135:Q135))</f>
        <v/>
      </c>
    </row>
    <row r="136">
      <c r="A136" s="75">
        <f>IF('Fluxo anual'!A33="","",'Fluxo anual'!A33)</f>
        <v/>
      </c>
      <c r="B136" s="75">
        <f>IF($A136="","",'Fluxo anual'!B33)</f>
        <v/>
      </c>
      <c r="C136" s="108" t="n"/>
      <c r="D136" s="108" t="n"/>
      <c r="E136" s="108" t="n"/>
      <c r="F136" s="109">
        <f>IF(OR($A136="",NOT(OR($B136="Necessidade",$B136="Desejo",$B136="Poupança"))),"",'Fluxo anual'!C33)</f>
        <v/>
      </c>
      <c r="G136" s="109">
        <f>IF(OR($A136="",NOT(OR($B136="Necessidade",$B136="Desejo",$B136="Poupança"))),"",'Fluxo anual'!D33)</f>
        <v/>
      </c>
      <c r="H136" s="109">
        <f>IF(OR($A136="",NOT(OR($B136="Necessidade",$B136="Desejo",$B136="Poupança"))),"",'Fluxo anual'!E33)</f>
        <v/>
      </c>
      <c r="I136" s="109">
        <f>IF(OR($A136="",NOT(OR($B136="Necessidade",$B136="Desejo",$B136="Poupança"))),"",'Fluxo anual'!F33)</f>
        <v/>
      </c>
      <c r="J136" s="109">
        <f>IF(OR($A136="",NOT(OR($B136="Necessidade",$B136="Desejo",$B136="Poupança"))),"",'Fluxo anual'!G33)</f>
        <v/>
      </c>
      <c r="K136" s="109">
        <f>IF(OR($A136="",NOT(OR($B136="Necessidade",$B136="Desejo",$B136="Poupança"))),"",'Fluxo anual'!H33)</f>
        <v/>
      </c>
      <c r="L136" s="109">
        <f>IF(OR($A136="",NOT(OR($B136="Necessidade",$B136="Desejo",$B136="Poupança"))),"",'Fluxo anual'!I33)</f>
        <v/>
      </c>
      <c r="M136" s="109">
        <f>IF(OR($A136="",NOT(OR($B136="Necessidade",$B136="Desejo",$B136="Poupança"))),"",'Fluxo anual'!J33)</f>
        <v/>
      </c>
      <c r="N136" s="109">
        <f>IF(OR($A136="",NOT(OR($B136="Necessidade",$B136="Desejo",$B136="Poupança"))),"",'Fluxo anual'!K33)</f>
        <v/>
      </c>
      <c r="O136" s="109">
        <f>IF(OR($A136="",NOT(OR($B136="Necessidade",$B136="Desejo",$B136="Poupança"))),"",'Fluxo anual'!L33)</f>
        <v/>
      </c>
      <c r="P136" s="109">
        <f>IF(OR($A136="",NOT(OR($B136="Necessidade",$B136="Desejo",$B136="Poupança"))),"",'Fluxo anual'!M33)</f>
        <v/>
      </c>
      <c r="Q136" s="109">
        <f>IF(OR($A136="",NOT(OR($B136="Necessidade",$B136="Desejo",$B136="Poupança"))),"",'Fluxo anual'!N33)</f>
        <v/>
      </c>
      <c r="R136" s="85">
        <f>IF($A136="","",SUM(F136:Q136))</f>
        <v/>
      </c>
    </row>
    <row r="137">
      <c r="A137" s="75">
        <f>IF('Fluxo anual'!A34="","",'Fluxo anual'!A34)</f>
        <v/>
      </c>
      <c r="B137" s="75">
        <f>IF($A137="","",'Fluxo anual'!B34)</f>
        <v/>
      </c>
      <c r="C137" s="108" t="n"/>
      <c r="D137" s="108" t="n"/>
      <c r="E137" s="108" t="n"/>
      <c r="F137" s="109">
        <f>IF(OR($A137="",NOT(OR($B137="Necessidade",$B137="Desejo",$B137="Poupança"))),"",'Fluxo anual'!C34)</f>
        <v/>
      </c>
      <c r="G137" s="109">
        <f>IF(OR($A137="",NOT(OR($B137="Necessidade",$B137="Desejo",$B137="Poupança"))),"",'Fluxo anual'!D34)</f>
        <v/>
      </c>
      <c r="H137" s="109">
        <f>IF(OR($A137="",NOT(OR($B137="Necessidade",$B137="Desejo",$B137="Poupança"))),"",'Fluxo anual'!E34)</f>
        <v/>
      </c>
      <c r="I137" s="109">
        <f>IF(OR($A137="",NOT(OR($B137="Necessidade",$B137="Desejo",$B137="Poupança"))),"",'Fluxo anual'!F34)</f>
        <v/>
      </c>
      <c r="J137" s="109">
        <f>IF(OR($A137="",NOT(OR($B137="Necessidade",$B137="Desejo",$B137="Poupança"))),"",'Fluxo anual'!G34)</f>
        <v/>
      </c>
      <c r="K137" s="109">
        <f>IF(OR($A137="",NOT(OR($B137="Necessidade",$B137="Desejo",$B137="Poupança"))),"",'Fluxo anual'!H34)</f>
        <v/>
      </c>
      <c r="L137" s="109">
        <f>IF(OR($A137="",NOT(OR($B137="Necessidade",$B137="Desejo",$B137="Poupança"))),"",'Fluxo anual'!I34)</f>
        <v/>
      </c>
      <c r="M137" s="109">
        <f>IF(OR($A137="",NOT(OR($B137="Necessidade",$B137="Desejo",$B137="Poupança"))),"",'Fluxo anual'!J34)</f>
        <v/>
      </c>
      <c r="N137" s="109">
        <f>IF(OR($A137="",NOT(OR($B137="Necessidade",$B137="Desejo",$B137="Poupança"))),"",'Fluxo anual'!K34)</f>
        <v/>
      </c>
      <c r="O137" s="109">
        <f>IF(OR($A137="",NOT(OR($B137="Necessidade",$B137="Desejo",$B137="Poupança"))),"",'Fluxo anual'!L34)</f>
        <v/>
      </c>
      <c r="P137" s="109">
        <f>IF(OR($A137="",NOT(OR($B137="Necessidade",$B137="Desejo",$B137="Poupança"))),"",'Fluxo anual'!M34)</f>
        <v/>
      </c>
      <c r="Q137" s="109">
        <f>IF(OR($A137="",NOT(OR($B137="Necessidade",$B137="Desejo",$B137="Poupança"))),"",'Fluxo anual'!N34)</f>
        <v/>
      </c>
      <c r="R137" s="85">
        <f>IF($A137="","",SUM(F137:Q137))</f>
        <v/>
      </c>
    </row>
    <row r="138">
      <c r="A138" s="75">
        <f>IF('Fluxo anual'!A35="","",'Fluxo anual'!A35)</f>
        <v/>
      </c>
      <c r="B138" s="75">
        <f>IF($A138="","",'Fluxo anual'!B35)</f>
        <v/>
      </c>
      <c r="C138" s="108" t="n"/>
      <c r="D138" s="108" t="n"/>
      <c r="E138" s="108" t="n"/>
      <c r="F138" s="109">
        <f>IF(OR($A138="",NOT(OR($B138="Necessidade",$B138="Desejo",$B138="Poupança"))),"",'Fluxo anual'!C35)</f>
        <v/>
      </c>
      <c r="G138" s="109">
        <f>IF(OR($A138="",NOT(OR($B138="Necessidade",$B138="Desejo",$B138="Poupança"))),"",'Fluxo anual'!D35)</f>
        <v/>
      </c>
      <c r="H138" s="109">
        <f>IF(OR($A138="",NOT(OR($B138="Necessidade",$B138="Desejo",$B138="Poupança"))),"",'Fluxo anual'!E35)</f>
        <v/>
      </c>
      <c r="I138" s="109">
        <f>IF(OR($A138="",NOT(OR($B138="Necessidade",$B138="Desejo",$B138="Poupança"))),"",'Fluxo anual'!F35)</f>
        <v/>
      </c>
      <c r="J138" s="109">
        <f>IF(OR($A138="",NOT(OR($B138="Necessidade",$B138="Desejo",$B138="Poupança"))),"",'Fluxo anual'!G35)</f>
        <v/>
      </c>
      <c r="K138" s="109">
        <f>IF(OR($A138="",NOT(OR($B138="Necessidade",$B138="Desejo",$B138="Poupança"))),"",'Fluxo anual'!H35)</f>
        <v/>
      </c>
      <c r="L138" s="109">
        <f>IF(OR($A138="",NOT(OR($B138="Necessidade",$B138="Desejo",$B138="Poupança"))),"",'Fluxo anual'!I35)</f>
        <v/>
      </c>
      <c r="M138" s="109">
        <f>IF(OR($A138="",NOT(OR($B138="Necessidade",$B138="Desejo",$B138="Poupança"))),"",'Fluxo anual'!J35)</f>
        <v/>
      </c>
      <c r="N138" s="109">
        <f>IF(OR($A138="",NOT(OR($B138="Necessidade",$B138="Desejo",$B138="Poupança"))),"",'Fluxo anual'!K35)</f>
        <v/>
      </c>
      <c r="O138" s="109">
        <f>IF(OR($A138="",NOT(OR($B138="Necessidade",$B138="Desejo",$B138="Poupança"))),"",'Fluxo anual'!L35)</f>
        <v/>
      </c>
      <c r="P138" s="109">
        <f>IF(OR($A138="",NOT(OR($B138="Necessidade",$B138="Desejo",$B138="Poupança"))),"",'Fluxo anual'!M35)</f>
        <v/>
      </c>
      <c r="Q138" s="109">
        <f>IF(OR($A138="",NOT(OR($B138="Necessidade",$B138="Desejo",$B138="Poupança"))),"",'Fluxo anual'!N35)</f>
        <v/>
      </c>
      <c r="R138" s="85">
        <f>IF($A138="","",SUM(F138:Q138))</f>
        <v/>
      </c>
    </row>
    <row r="139">
      <c r="A139" s="75">
        <f>IF('Fluxo anual'!A36="","",'Fluxo anual'!A36)</f>
        <v/>
      </c>
      <c r="B139" s="75">
        <f>IF($A139="","",'Fluxo anual'!B36)</f>
        <v/>
      </c>
      <c r="C139" s="108" t="n"/>
      <c r="D139" s="108" t="n"/>
      <c r="E139" s="108" t="n"/>
      <c r="F139" s="109">
        <f>IF(OR($A139="",NOT(OR($B139="Necessidade",$B139="Desejo",$B139="Poupança"))),"",'Fluxo anual'!C36)</f>
        <v/>
      </c>
      <c r="G139" s="109">
        <f>IF(OR($A139="",NOT(OR($B139="Necessidade",$B139="Desejo",$B139="Poupança"))),"",'Fluxo anual'!D36)</f>
        <v/>
      </c>
      <c r="H139" s="109">
        <f>IF(OR($A139="",NOT(OR($B139="Necessidade",$B139="Desejo",$B139="Poupança"))),"",'Fluxo anual'!E36)</f>
        <v/>
      </c>
      <c r="I139" s="109">
        <f>IF(OR($A139="",NOT(OR($B139="Necessidade",$B139="Desejo",$B139="Poupança"))),"",'Fluxo anual'!F36)</f>
        <v/>
      </c>
      <c r="J139" s="109">
        <f>IF(OR($A139="",NOT(OR($B139="Necessidade",$B139="Desejo",$B139="Poupança"))),"",'Fluxo anual'!G36)</f>
        <v/>
      </c>
      <c r="K139" s="109">
        <f>IF(OR($A139="",NOT(OR($B139="Necessidade",$B139="Desejo",$B139="Poupança"))),"",'Fluxo anual'!H36)</f>
        <v/>
      </c>
      <c r="L139" s="109">
        <f>IF(OR($A139="",NOT(OR($B139="Necessidade",$B139="Desejo",$B139="Poupança"))),"",'Fluxo anual'!I36)</f>
        <v/>
      </c>
      <c r="M139" s="109">
        <f>IF(OR($A139="",NOT(OR($B139="Necessidade",$B139="Desejo",$B139="Poupança"))),"",'Fluxo anual'!J36)</f>
        <v/>
      </c>
      <c r="N139" s="109">
        <f>IF(OR($A139="",NOT(OR($B139="Necessidade",$B139="Desejo",$B139="Poupança"))),"",'Fluxo anual'!K36)</f>
        <v/>
      </c>
      <c r="O139" s="109">
        <f>IF(OR($A139="",NOT(OR($B139="Necessidade",$B139="Desejo",$B139="Poupança"))),"",'Fluxo anual'!L36)</f>
        <v/>
      </c>
      <c r="P139" s="109">
        <f>IF(OR($A139="",NOT(OR($B139="Necessidade",$B139="Desejo",$B139="Poupança"))),"",'Fluxo anual'!M36)</f>
        <v/>
      </c>
      <c r="Q139" s="109">
        <f>IF(OR($A139="",NOT(OR($B139="Necessidade",$B139="Desejo",$B139="Poupança"))),"",'Fluxo anual'!N36)</f>
        <v/>
      </c>
      <c r="R139" s="85">
        <f>IF($A139="","",SUM(F139:Q139))</f>
        <v/>
      </c>
    </row>
    <row r="140">
      <c r="A140" s="75">
        <f>IF('Fluxo anual'!A37="","",'Fluxo anual'!A37)</f>
        <v/>
      </c>
      <c r="B140" s="75">
        <f>IF($A140="","",'Fluxo anual'!B37)</f>
        <v/>
      </c>
      <c r="C140" s="108" t="n"/>
      <c r="D140" s="108" t="n"/>
      <c r="E140" s="108" t="n"/>
      <c r="F140" s="109">
        <f>IF(OR($A140="",NOT(OR($B140="Necessidade",$B140="Desejo",$B140="Poupança"))),"",'Fluxo anual'!C37)</f>
        <v/>
      </c>
      <c r="G140" s="109">
        <f>IF(OR($A140="",NOT(OR($B140="Necessidade",$B140="Desejo",$B140="Poupança"))),"",'Fluxo anual'!D37)</f>
        <v/>
      </c>
      <c r="H140" s="109">
        <f>IF(OR($A140="",NOT(OR($B140="Necessidade",$B140="Desejo",$B140="Poupança"))),"",'Fluxo anual'!E37)</f>
        <v/>
      </c>
      <c r="I140" s="109">
        <f>IF(OR($A140="",NOT(OR($B140="Necessidade",$B140="Desejo",$B140="Poupança"))),"",'Fluxo anual'!F37)</f>
        <v/>
      </c>
      <c r="J140" s="109">
        <f>IF(OR($A140="",NOT(OR($B140="Necessidade",$B140="Desejo",$B140="Poupança"))),"",'Fluxo anual'!G37)</f>
        <v/>
      </c>
      <c r="K140" s="109">
        <f>IF(OR($A140="",NOT(OR($B140="Necessidade",$B140="Desejo",$B140="Poupança"))),"",'Fluxo anual'!H37)</f>
        <v/>
      </c>
      <c r="L140" s="109">
        <f>IF(OR($A140="",NOT(OR($B140="Necessidade",$B140="Desejo",$B140="Poupança"))),"",'Fluxo anual'!I37)</f>
        <v/>
      </c>
      <c r="M140" s="109">
        <f>IF(OR($A140="",NOT(OR($B140="Necessidade",$B140="Desejo",$B140="Poupança"))),"",'Fluxo anual'!J37)</f>
        <v/>
      </c>
      <c r="N140" s="109">
        <f>IF(OR($A140="",NOT(OR($B140="Necessidade",$B140="Desejo",$B140="Poupança"))),"",'Fluxo anual'!K37)</f>
        <v/>
      </c>
      <c r="O140" s="109">
        <f>IF(OR($A140="",NOT(OR($B140="Necessidade",$B140="Desejo",$B140="Poupança"))),"",'Fluxo anual'!L37)</f>
        <v/>
      </c>
      <c r="P140" s="109">
        <f>IF(OR($A140="",NOT(OR($B140="Necessidade",$B140="Desejo",$B140="Poupança"))),"",'Fluxo anual'!M37)</f>
        <v/>
      </c>
      <c r="Q140" s="109">
        <f>IF(OR($A140="",NOT(OR($B140="Necessidade",$B140="Desejo",$B140="Poupança"))),"",'Fluxo anual'!N37)</f>
        <v/>
      </c>
      <c r="R140" s="85">
        <f>IF($A140="","",SUM(F140:Q140))</f>
        <v/>
      </c>
    </row>
    <row r="141">
      <c r="A141" s="75">
        <f>IF('Fluxo anual'!A38="","",'Fluxo anual'!A38)</f>
        <v/>
      </c>
      <c r="B141" s="75">
        <f>IF($A141="","",'Fluxo anual'!B38)</f>
        <v/>
      </c>
      <c r="C141" s="108" t="n"/>
      <c r="D141" s="108" t="n"/>
      <c r="E141" s="108" t="n"/>
      <c r="F141" s="109">
        <f>IF(OR($A141="",NOT(OR($B141="Necessidade",$B141="Desejo",$B141="Poupança"))),"",'Fluxo anual'!C38)</f>
        <v/>
      </c>
      <c r="G141" s="109">
        <f>IF(OR($A141="",NOT(OR($B141="Necessidade",$B141="Desejo",$B141="Poupança"))),"",'Fluxo anual'!D38)</f>
        <v/>
      </c>
      <c r="H141" s="109">
        <f>IF(OR($A141="",NOT(OR($B141="Necessidade",$B141="Desejo",$B141="Poupança"))),"",'Fluxo anual'!E38)</f>
        <v/>
      </c>
      <c r="I141" s="109">
        <f>IF(OR($A141="",NOT(OR($B141="Necessidade",$B141="Desejo",$B141="Poupança"))),"",'Fluxo anual'!F38)</f>
        <v/>
      </c>
      <c r="J141" s="109">
        <f>IF(OR($A141="",NOT(OR($B141="Necessidade",$B141="Desejo",$B141="Poupança"))),"",'Fluxo anual'!G38)</f>
        <v/>
      </c>
      <c r="K141" s="109">
        <f>IF(OR($A141="",NOT(OR($B141="Necessidade",$B141="Desejo",$B141="Poupança"))),"",'Fluxo anual'!H38)</f>
        <v/>
      </c>
      <c r="L141" s="109">
        <f>IF(OR($A141="",NOT(OR($B141="Necessidade",$B141="Desejo",$B141="Poupança"))),"",'Fluxo anual'!I38)</f>
        <v/>
      </c>
      <c r="M141" s="109">
        <f>IF(OR($A141="",NOT(OR($B141="Necessidade",$B141="Desejo",$B141="Poupança"))),"",'Fluxo anual'!J38)</f>
        <v/>
      </c>
      <c r="N141" s="109">
        <f>IF(OR($A141="",NOT(OR($B141="Necessidade",$B141="Desejo",$B141="Poupança"))),"",'Fluxo anual'!K38)</f>
        <v/>
      </c>
      <c r="O141" s="109">
        <f>IF(OR($A141="",NOT(OR($B141="Necessidade",$B141="Desejo",$B141="Poupança"))),"",'Fluxo anual'!L38)</f>
        <v/>
      </c>
      <c r="P141" s="109">
        <f>IF(OR($A141="",NOT(OR($B141="Necessidade",$B141="Desejo",$B141="Poupança"))),"",'Fluxo anual'!M38)</f>
        <v/>
      </c>
      <c r="Q141" s="109">
        <f>IF(OR($A141="",NOT(OR($B141="Necessidade",$B141="Desejo",$B141="Poupança"))),"",'Fluxo anual'!N38)</f>
        <v/>
      </c>
      <c r="R141" s="85">
        <f>IF($A141="","",SUM(F141:Q141))</f>
        <v/>
      </c>
    </row>
    <row r="142">
      <c r="A142" s="75">
        <f>IF('Fluxo anual'!A39="","",'Fluxo anual'!A39)</f>
        <v/>
      </c>
      <c r="B142" s="75">
        <f>IF($A142="","",'Fluxo anual'!B39)</f>
        <v/>
      </c>
      <c r="C142" s="108" t="n"/>
      <c r="D142" s="108" t="n"/>
      <c r="E142" s="108" t="n"/>
      <c r="F142" s="109">
        <f>IF(OR($A142="",NOT(OR($B142="Necessidade",$B142="Desejo",$B142="Poupança"))),"",'Fluxo anual'!C39)</f>
        <v/>
      </c>
      <c r="G142" s="109">
        <f>IF(OR($A142="",NOT(OR($B142="Necessidade",$B142="Desejo",$B142="Poupança"))),"",'Fluxo anual'!D39)</f>
        <v/>
      </c>
      <c r="H142" s="109">
        <f>IF(OR($A142="",NOT(OR($B142="Necessidade",$B142="Desejo",$B142="Poupança"))),"",'Fluxo anual'!E39)</f>
        <v/>
      </c>
      <c r="I142" s="109">
        <f>IF(OR($A142="",NOT(OR($B142="Necessidade",$B142="Desejo",$B142="Poupança"))),"",'Fluxo anual'!F39)</f>
        <v/>
      </c>
      <c r="J142" s="109">
        <f>IF(OR($A142="",NOT(OR($B142="Necessidade",$B142="Desejo",$B142="Poupança"))),"",'Fluxo anual'!G39)</f>
        <v/>
      </c>
      <c r="K142" s="109">
        <f>IF(OR($A142="",NOT(OR($B142="Necessidade",$B142="Desejo",$B142="Poupança"))),"",'Fluxo anual'!H39)</f>
        <v/>
      </c>
      <c r="L142" s="109">
        <f>IF(OR($A142="",NOT(OR($B142="Necessidade",$B142="Desejo",$B142="Poupança"))),"",'Fluxo anual'!I39)</f>
        <v/>
      </c>
      <c r="M142" s="109">
        <f>IF(OR($A142="",NOT(OR($B142="Necessidade",$B142="Desejo",$B142="Poupança"))),"",'Fluxo anual'!J39)</f>
        <v/>
      </c>
      <c r="N142" s="109">
        <f>IF(OR($A142="",NOT(OR($B142="Necessidade",$B142="Desejo",$B142="Poupança"))),"",'Fluxo anual'!K39)</f>
        <v/>
      </c>
      <c r="O142" s="109">
        <f>IF(OR($A142="",NOT(OR($B142="Necessidade",$B142="Desejo",$B142="Poupança"))),"",'Fluxo anual'!L39)</f>
        <v/>
      </c>
      <c r="P142" s="109">
        <f>IF(OR($A142="",NOT(OR($B142="Necessidade",$B142="Desejo",$B142="Poupança"))),"",'Fluxo anual'!M39)</f>
        <v/>
      </c>
      <c r="Q142" s="109">
        <f>IF(OR($A142="",NOT(OR($B142="Necessidade",$B142="Desejo",$B142="Poupança"))),"",'Fluxo anual'!N39)</f>
        <v/>
      </c>
      <c r="R142" s="85">
        <f>IF($A142="","",SUM(F142:Q142))</f>
        <v/>
      </c>
    </row>
    <row r="143">
      <c r="A143" s="75">
        <f>IF('Fluxo anual'!A40="","",'Fluxo anual'!A40)</f>
        <v/>
      </c>
      <c r="B143" s="75">
        <f>IF($A143="","",'Fluxo anual'!B40)</f>
        <v/>
      </c>
      <c r="C143" s="108" t="n"/>
      <c r="D143" s="108" t="n"/>
      <c r="E143" s="108" t="n"/>
      <c r="F143" s="109">
        <f>IF(OR($A143="",NOT(OR($B143="Necessidade",$B143="Desejo",$B143="Poupança"))),"",'Fluxo anual'!C40)</f>
        <v/>
      </c>
      <c r="G143" s="109">
        <f>IF(OR($A143="",NOT(OR($B143="Necessidade",$B143="Desejo",$B143="Poupança"))),"",'Fluxo anual'!D40)</f>
        <v/>
      </c>
      <c r="H143" s="109">
        <f>IF(OR($A143="",NOT(OR($B143="Necessidade",$B143="Desejo",$B143="Poupança"))),"",'Fluxo anual'!E40)</f>
        <v/>
      </c>
      <c r="I143" s="109">
        <f>IF(OR($A143="",NOT(OR($B143="Necessidade",$B143="Desejo",$B143="Poupança"))),"",'Fluxo anual'!F40)</f>
        <v/>
      </c>
      <c r="J143" s="109">
        <f>IF(OR($A143="",NOT(OR($B143="Necessidade",$B143="Desejo",$B143="Poupança"))),"",'Fluxo anual'!G40)</f>
        <v/>
      </c>
      <c r="K143" s="109">
        <f>IF(OR($A143="",NOT(OR($B143="Necessidade",$B143="Desejo",$B143="Poupança"))),"",'Fluxo anual'!H40)</f>
        <v/>
      </c>
      <c r="L143" s="109">
        <f>IF(OR($A143="",NOT(OR($B143="Necessidade",$B143="Desejo",$B143="Poupança"))),"",'Fluxo anual'!I40)</f>
        <v/>
      </c>
      <c r="M143" s="109">
        <f>IF(OR($A143="",NOT(OR($B143="Necessidade",$B143="Desejo",$B143="Poupança"))),"",'Fluxo anual'!J40)</f>
        <v/>
      </c>
      <c r="N143" s="109">
        <f>IF(OR($A143="",NOT(OR($B143="Necessidade",$B143="Desejo",$B143="Poupança"))),"",'Fluxo anual'!K40)</f>
        <v/>
      </c>
      <c r="O143" s="109">
        <f>IF(OR($A143="",NOT(OR($B143="Necessidade",$B143="Desejo",$B143="Poupança"))),"",'Fluxo anual'!L40)</f>
        <v/>
      </c>
      <c r="P143" s="109">
        <f>IF(OR($A143="",NOT(OR($B143="Necessidade",$B143="Desejo",$B143="Poupança"))),"",'Fluxo anual'!M40)</f>
        <v/>
      </c>
      <c r="Q143" s="109">
        <f>IF(OR($A143="",NOT(OR($B143="Necessidade",$B143="Desejo",$B143="Poupança"))),"",'Fluxo anual'!N40)</f>
        <v/>
      </c>
      <c r="R143" s="85">
        <f>IF($A143="","",SUM(F143:Q143))</f>
        <v/>
      </c>
    </row>
    <row r="144">
      <c r="A144" s="75">
        <f>IF('Fluxo anual'!A41="","",'Fluxo anual'!A41)</f>
        <v/>
      </c>
      <c r="B144" s="75">
        <f>IF($A144="","",'Fluxo anual'!B41)</f>
        <v/>
      </c>
      <c r="C144" s="108" t="n"/>
      <c r="D144" s="108" t="n"/>
      <c r="E144" s="108" t="n"/>
      <c r="F144" s="109">
        <f>IF(OR($A144="",NOT(OR($B144="Necessidade",$B144="Desejo",$B144="Poupança"))),"",'Fluxo anual'!C41)</f>
        <v/>
      </c>
      <c r="G144" s="109">
        <f>IF(OR($A144="",NOT(OR($B144="Necessidade",$B144="Desejo",$B144="Poupança"))),"",'Fluxo anual'!D41)</f>
        <v/>
      </c>
      <c r="H144" s="109">
        <f>IF(OR($A144="",NOT(OR($B144="Necessidade",$B144="Desejo",$B144="Poupança"))),"",'Fluxo anual'!E41)</f>
        <v/>
      </c>
      <c r="I144" s="109">
        <f>IF(OR($A144="",NOT(OR($B144="Necessidade",$B144="Desejo",$B144="Poupança"))),"",'Fluxo anual'!F41)</f>
        <v/>
      </c>
      <c r="J144" s="109">
        <f>IF(OR($A144="",NOT(OR($B144="Necessidade",$B144="Desejo",$B144="Poupança"))),"",'Fluxo anual'!G41)</f>
        <v/>
      </c>
      <c r="K144" s="109">
        <f>IF(OR($A144="",NOT(OR($B144="Necessidade",$B144="Desejo",$B144="Poupança"))),"",'Fluxo anual'!H41)</f>
        <v/>
      </c>
      <c r="L144" s="109">
        <f>IF(OR($A144="",NOT(OR($B144="Necessidade",$B144="Desejo",$B144="Poupança"))),"",'Fluxo anual'!I41)</f>
        <v/>
      </c>
      <c r="M144" s="109">
        <f>IF(OR($A144="",NOT(OR($B144="Necessidade",$B144="Desejo",$B144="Poupança"))),"",'Fluxo anual'!J41)</f>
        <v/>
      </c>
      <c r="N144" s="109">
        <f>IF(OR($A144="",NOT(OR($B144="Necessidade",$B144="Desejo",$B144="Poupança"))),"",'Fluxo anual'!K41)</f>
        <v/>
      </c>
      <c r="O144" s="109">
        <f>IF(OR($A144="",NOT(OR($B144="Necessidade",$B144="Desejo",$B144="Poupança"))),"",'Fluxo anual'!L41)</f>
        <v/>
      </c>
      <c r="P144" s="109">
        <f>IF(OR($A144="",NOT(OR($B144="Necessidade",$B144="Desejo",$B144="Poupança"))),"",'Fluxo anual'!M41)</f>
        <v/>
      </c>
      <c r="Q144" s="109">
        <f>IF(OR($A144="",NOT(OR($B144="Necessidade",$B144="Desejo",$B144="Poupança"))),"",'Fluxo anual'!N41)</f>
        <v/>
      </c>
      <c r="R144" s="85">
        <f>IF($A144="","",SUM(F144:Q144))</f>
        <v/>
      </c>
    </row>
    <row r="145">
      <c r="A145" s="75">
        <f>IF('Fluxo anual'!A42="","",'Fluxo anual'!A42)</f>
        <v/>
      </c>
      <c r="B145" s="75">
        <f>IF($A145="","",'Fluxo anual'!B42)</f>
        <v/>
      </c>
      <c r="C145" s="108" t="n"/>
      <c r="D145" s="108" t="n"/>
      <c r="E145" s="108" t="n"/>
      <c r="F145" s="109">
        <f>IF(OR($A145="",NOT(OR($B145="Necessidade",$B145="Desejo",$B145="Poupança"))),"",'Fluxo anual'!C42)</f>
        <v/>
      </c>
      <c r="G145" s="109">
        <f>IF(OR($A145="",NOT(OR($B145="Necessidade",$B145="Desejo",$B145="Poupança"))),"",'Fluxo anual'!D42)</f>
        <v/>
      </c>
      <c r="H145" s="109">
        <f>IF(OR($A145="",NOT(OR($B145="Necessidade",$B145="Desejo",$B145="Poupança"))),"",'Fluxo anual'!E42)</f>
        <v/>
      </c>
      <c r="I145" s="109">
        <f>IF(OR($A145="",NOT(OR($B145="Necessidade",$B145="Desejo",$B145="Poupança"))),"",'Fluxo anual'!F42)</f>
        <v/>
      </c>
      <c r="J145" s="109">
        <f>IF(OR($A145="",NOT(OR($B145="Necessidade",$B145="Desejo",$B145="Poupança"))),"",'Fluxo anual'!G42)</f>
        <v/>
      </c>
      <c r="K145" s="109">
        <f>IF(OR($A145="",NOT(OR($B145="Necessidade",$B145="Desejo",$B145="Poupança"))),"",'Fluxo anual'!H42)</f>
        <v/>
      </c>
      <c r="L145" s="109">
        <f>IF(OR($A145="",NOT(OR($B145="Necessidade",$B145="Desejo",$B145="Poupança"))),"",'Fluxo anual'!I42)</f>
        <v/>
      </c>
      <c r="M145" s="109">
        <f>IF(OR($A145="",NOT(OR($B145="Necessidade",$B145="Desejo",$B145="Poupança"))),"",'Fluxo anual'!J42)</f>
        <v/>
      </c>
      <c r="N145" s="109">
        <f>IF(OR($A145="",NOT(OR($B145="Necessidade",$B145="Desejo",$B145="Poupança"))),"",'Fluxo anual'!K42)</f>
        <v/>
      </c>
      <c r="O145" s="109">
        <f>IF(OR($A145="",NOT(OR($B145="Necessidade",$B145="Desejo",$B145="Poupança"))),"",'Fluxo anual'!L42)</f>
        <v/>
      </c>
      <c r="P145" s="109">
        <f>IF(OR($A145="",NOT(OR($B145="Necessidade",$B145="Desejo",$B145="Poupança"))),"",'Fluxo anual'!M42)</f>
        <v/>
      </c>
      <c r="Q145" s="109">
        <f>IF(OR($A145="",NOT(OR($B145="Necessidade",$B145="Desejo",$B145="Poupança"))),"",'Fluxo anual'!N42)</f>
        <v/>
      </c>
      <c r="R145" s="85">
        <f>IF($A145="","",SUM(F145:Q145))</f>
        <v/>
      </c>
    </row>
    <row r="146">
      <c r="A146" s="75">
        <f>IF('Fluxo anual'!A43="","",'Fluxo anual'!A43)</f>
        <v/>
      </c>
      <c r="B146" s="75">
        <f>IF($A146="","",'Fluxo anual'!B43)</f>
        <v/>
      </c>
      <c r="C146" s="108" t="n"/>
      <c r="D146" s="108" t="n"/>
      <c r="E146" s="108" t="n"/>
      <c r="F146" s="109">
        <f>IF(OR($A146="",NOT(OR($B146="Necessidade",$B146="Desejo",$B146="Poupança"))),"",'Fluxo anual'!C43)</f>
        <v/>
      </c>
      <c r="G146" s="109">
        <f>IF(OR($A146="",NOT(OR($B146="Necessidade",$B146="Desejo",$B146="Poupança"))),"",'Fluxo anual'!D43)</f>
        <v/>
      </c>
      <c r="H146" s="109">
        <f>IF(OR($A146="",NOT(OR($B146="Necessidade",$B146="Desejo",$B146="Poupança"))),"",'Fluxo anual'!E43)</f>
        <v/>
      </c>
      <c r="I146" s="109">
        <f>IF(OR($A146="",NOT(OR($B146="Necessidade",$B146="Desejo",$B146="Poupança"))),"",'Fluxo anual'!F43)</f>
        <v/>
      </c>
      <c r="J146" s="109">
        <f>IF(OR($A146="",NOT(OR($B146="Necessidade",$B146="Desejo",$B146="Poupança"))),"",'Fluxo anual'!G43)</f>
        <v/>
      </c>
      <c r="K146" s="109">
        <f>IF(OR($A146="",NOT(OR($B146="Necessidade",$B146="Desejo",$B146="Poupança"))),"",'Fluxo anual'!H43)</f>
        <v/>
      </c>
      <c r="L146" s="109">
        <f>IF(OR($A146="",NOT(OR($B146="Necessidade",$B146="Desejo",$B146="Poupança"))),"",'Fluxo anual'!I43)</f>
        <v/>
      </c>
      <c r="M146" s="109">
        <f>IF(OR($A146="",NOT(OR($B146="Necessidade",$B146="Desejo",$B146="Poupança"))),"",'Fluxo anual'!J43)</f>
        <v/>
      </c>
      <c r="N146" s="109">
        <f>IF(OR($A146="",NOT(OR($B146="Necessidade",$B146="Desejo",$B146="Poupança"))),"",'Fluxo anual'!K43)</f>
        <v/>
      </c>
      <c r="O146" s="109">
        <f>IF(OR($A146="",NOT(OR($B146="Necessidade",$B146="Desejo",$B146="Poupança"))),"",'Fluxo anual'!L43)</f>
        <v/>
      </c>
      <c r="P146" s="109">
        <f>IF(OR($A146="",NOT(OR($B146="Necessidade",$B146="Desejo",$B146="Poupança"))),"",'Fluxo anual'!M43)</f>
        <v/>
      </c>
      <c r="Q146" s="109">
        <f>IF(OR($A146="",NOT(OR($B146="Necessidade",$B146="Desejo",$B146="Poupança"))),"",'Fluxo anual'!N43)</f>
        <v/>
      </c>
      <c r="R146" s="85">
        <f>IF($A146="","",SUM(F146:Q146))</f>
        <v/>
      </c>
    </row>
    <row r="147">
      <c r="A147" s="75">
        <f>IF('Fluxo anual'!A44="","",'Fluxo anual'!A44)</f>
        <v/>
      </c>
      <c r="B147" s="75">
        <f>IF($A147="","",'Fluxo anual'!B44)</f>
        <v/>
      </c>
      <c r="C147" s="108" t="n"/>
      <c r="D147" s="108" t="n"/>
      <c r="E147" s="108" t="n"/>
      <c r="F147" s="109">
        <f>IF(OR($A147="",NOT(OR($B147="Necessidade",$B147="Desejo",$B147="Poupança"))),"",'Fluxo anual'!C44)</f>
        <v/>
      </c>
      <c r="G147" s="109">
        <f>IF(OR($A147="",NOT(OR($B147="Necessidade",$B147="Desejo",$B147="Poupança"))),"",'Fluxo anual'!D44)</f>
        <v/>
      </c>
      <c r="H147" s="109">
        <f>IF(OR($A147="",NOT(OR($B147="Necessidade",$B147="Desejo",$B147="Poupança"))),"",'Fluxo anual'!E44)</f>
        <v/>
      </c>
      <c r="I147" s="109">
        <f>IF(OR($A147="",NOT(OR($B147="Necessidade",$B147="Desejo",$B147="Poupança"))),"",'Fluxo anual'!F44)</f>
        <v/>
      </c>
      <c r="J147" s="109">
        <f>IF(OR($A147="",NOT(OR($B147="Necessidade",$B147="Desejo",$B147="Poupança"))),"",'Fluxo anual'!G44)</f>
        <v/>
      </c>
      <c r="K147" s="109">
        <f>IF(OR($A147="",NOT(OR($B147="Necessidade",$B147="Desejo",$B147="Poupança"))),"",'Fluxo anual'!H44)</f>
        <v/>
      </c>
      <c r="L147" s="109">
        <f>IF(OR($A147="",NOT(OR($B147="Necessidade",$B147="Desejo",$B147="Poupança"))),"",'Fluxo anual'!I44)</f>
        <v/>
      </c>
      <c r="M147" s="109">
        <f>IF(OR($A147="",NOT(OR($B147="Necessidade",$B147="Desejo",$B147="Poupança"))),"",'Fluxo anual'!J44)</f>
        <v/>
      </c>
      <c r="N147" s="109">
        <f>IF(OR($A147="",NOT(OR($B147="Necessidade",$B147="Desejo",$B147="Poupança"))),"",'Fluxo anual'!K44)</f>
        <v/>
      </c>
      <c r="O147" s="109">
        <f>IF(OR($A147="",NOT(OR($B147="Necessidade",$B147="Desejo",$B147="Poupança"))),"",'Fluxo anual'!L44)</f>
        <v/>
      </c>
      <c r="P147" s="109">
        <f>IF(OR($A147="",NOT(OR($B147="Necessidade",$B147="Desejo",$B147="Poupança"))),"",'Fluxo anual'!M44)</f>
        <v/>
      </c>
      <c r="Q147" s="109">
        <f>IF(OR($A147="",NOT(OR($B147="Necessidade",$B147="Desejo",$B147="Poupança"))),"",'Fluxo anual'!N44)</f>
        <v/>
      </c>
      <c r="R147" s="85">
        <f>IF($A147="","",SUM(F147:Q147))</f>
        <v/>
      </c>
    </row>
    <row r="148">
      <c r="A148" s="75">
        <f>IF('Fluxo anual'!A45="","",'Fluxo anual'!A45)</f>
        <v/>
      </c>
      <c r="B148" s="75">
        <f>IF($A148="","",'Fluxo anual'!B45)</f>
        <v/>
      </c>
      <c r="C148" s="108" t="n"/>
      <c r="D148" s="108" t="n"/>
      <c r="E148" s="108" t="n"/>
      <c r="F148" s="109">
        <f>IF(OR($A148="",NOT(OR($B148="Necessidade",$B148="Desejo",$B148="Poupança"))),"",'Fluxo anual'!C45)</f>
        <v/>
      </c>
      <c r="G148" s="109">
        <f>IF(OR($A148="",NOT(OR($B148="Necessidade",$B148="Desejo",$B148="Poupança"))),"",'Fluxo anual'!D45)</f>
        <v/>
      </c>
      <c r="H148" s="109">
        <f>IF(OR($A148="",NOT(OR($B148="Necessidade",$B148="Desejo",$B148="Poupança"))),"",'Fluxo anual'!E45)</f>
        <v/>
      </c>
      <c r="I148" s="109">
        <f>IF(OR($A148="",NOT(OR($B148="Necessidade",$B148="Desejo",$B148="Poupança"))),"",'Fluxo anual'!F45)</f>
        <v/>
      </c>
      <c r="J148" s="109">
        <f>IF(OR($A148="",NOT(OR($B148="Necessidade",$B148="Desejo",$B148="Poupança"))),"",'Fluxo anual'!G45)</f>
        <v/>
      </c>
      <c r="K148" s="109">
        <f>IF(OR($A148="",NOT(OR($B148="Necessidade",$B148="Desejo",$B148="Poupança"))),"",'Fluxo anual'!H45)</f>
        <v/>
      </c>
      <c r="L148" s="109">
        <f>IF(OR($A148="",NOT(OR($B148="Necessidade",$B148="Desejo",$B148="Poupança"))),"",'Fluxo anual'!I45)</f>
        <v/>
      </c>
      <c r="M148" s="109">
        <f>IF(OR($A148="",NOT(OR($B148="Necessidade",$B148="Desejo",$B148="Poupança"))),"",'Fluxo anual'!J45)</f>
        <v/>
      </c>
      <c r="N148" s="109">
        <f>IF(OR($A148="",NOT(OR($B148="Necessidade",$B148="Desejo",$B148="Poupança"))),"",'Fluxo anual'!K45)</f>
        <v/>
      </c>
      <c r="O148" s="109">
        <f>IF(OR($A148="",NOT(OR($B148="Necessidade",$B148="Desejo",$B148="Poupança"))),"",'Fluxo anual'!L45)</f>
        <v/>
      </c>
      <c r="P148" s="109">
        <f>IF(OR($A148="",NOT(OR($B148="Necessidade",$B148="Desejo",$B148="Poupança"))),"",'Fluxo anual'!M45)</f>
        <v/>
      </c>
      <c r="Q148" s="109">
        <f>IF(OR($A148="",NOT(OR($B148="Necessidade",$B148="Desejo",$B148="Poupança"))),"",'Fluxo anual'!N45)</f>
        <v/>
      </c>
      <c r="R148" s="85">
        <f>IF($A148="","",SUM(F148:Q148))</f>
        <v/>
      </c>
    </row>
    <row r="149">
      <c r="A149" s="75">
        <f>IF('Fluxo anual'!A46="","",'Fluxo anual'!A46)</f>
        <v/>
      </c>
      <c r="B149" s="75">
        <f>IF($A149="","",'Fluxo anual'!B46)</f>
        <v/>
      </c>
      <c r="C149" s="108" t="n"/>
      <c r="D149" s="108" t="n"/>
      <c r="E149" s="108" t="n"/>
      <c r="F149" s="109">
        <f>IF(OR($A149="",NOT(OR($B149="Necessidade",$B149="Desejo",$B149="Poupança"))),"",'Fluxo anual'!C46)</f>
        <v/>
      </c>
      <c r="G149" s="109">
        <f>IF(OR($A149="",NOT(OR($B149="Necessidade",$B149="Desejo",$B149="Poupança"))),"",'Fluxo anual'!D46)</f>
        <v/>
      </c>
      <c r="H149" s="109">
        <f>IF(OR($A149="",NOT(OR($B149="Necessidade",$B149="Desejo",$B149="Poupança"))),"",'Fluxo anual'!E46)</f>
        <v/>
      </c>
      <c r="I149" s="109">
        <f>IF(OR($A149="",NOT(OR($B149="Necessidade",$B149="Desejo",$B149="Poupança"))),"",'Fluxo anual'!F46)</f>
        <v/>
      </c>
      <c r="J149" s="109">
        <f>IF(OR($A149="",NOT(OR($B149="Necessidade",$B149="Desejo",$B149="Poupança"))),"",'Fluxo anual'!G46)</f>
        <v/>
      </c>
      <c r="K149" s="109">
        <f>IF(OR($A149="",NOT(OR($B149="Necessidade",$B149="Desejo",$B149="Poupança"))),"",'Fluxo anual'!H46)</f>
        <v/>
      </c>
      <c r="L149" s="109">
        <f>IF(OR($A149="",NOT(OR($B149="Necessidade",$B149="Desejo",$B149="Poupança"))),"",'Fluxo anual'!I46)</f>
        <v/>
      </c>
      <c r="M149" s="109">
        <f>IF(OR($A149="",NOT(OR($B149="Necessidade",$B149="Desejo",$B149="Poupança"))),"",'Fluxo anual'!J46)</f>
        <v/>
      </c>
      <c r="N149" s="109">
        <f>IF(OR($A149="",NOT(OR($B149="Necessidade",$B149="Desejo",$B149="Poupança"))),"",'Fluxo anual'!K46)</f>
        <v/>
      </c>
      <c r="O149" s="109">
        <f>IF(OR($A149="",NOT(OR($B149="Necessidade",$B149="Desejo",$B149="Poupança"))),"",'Fluxo anual'!L46)</f>
        <v/>
      </c>
      <c r="P149" s="109">
        <f>IF(OR($A149="",NOT(OR($B149="Necessidade",$B149="Desejo",$B149="Poupança"))),"",'Fluxo anual'!M46)</f>
        <v/>
      </c>
      <c r="Q149" s="109">
        <f>IF(OR($A149="",NOT(OR($B149="Necessidade",$B149="Desejo",$B149="Poupança"))),"",'Fluxo anual'!N46)</f>
        <v/>
      </c>
      <c r="R149" s="85">
        <f>IF($A149="","",SUM(F149:Q149))</f>
        <v/>
      </c>
    </row>
    <row r="150">
      <c r="A150" s="75">
        <f>IF('Fluxo anual'!A47="","",'Fluxo anual'!A47)</f>
        <v/>
      </c>
      <c r="B150" s="75">
        <f>IF($A150="","",'Fluxo anual'!B47)</f>
        <v/>
      </c>
      <c r="C150" s="108" t="n"/>
      <c r="D150" s="108" t="n"/>
      <c r="E150" s="108" t="n"/>
      <c r="F150" s="109">
        <f>IF(OR($A150="",NOT(OR($B150="Necessidade",$B150="Desejo",$B150="Poupança"))),"",'Fluxo anual'!C47)</f>
        <v/>
      </c>
      <c r="G150" s="109">
        <f>IF(OR($A150="",NOT(OR($B150="Necessidade",$B150="Desejo",$B150="Poupança"))),"",'Fluxo anual'!D47)</f>
        <v/>
      </c>
      <c r="H150" s="109">
        <f>IF(OR($A150="",NOT(OR($B150="Necessidade",$B150="Desejo",$B150="Poupança"))),"",'Fluxo anual'!E47)</f>
        <v/>
      </c>
      <c r="I150" s="109">
        <f>IF(OR($A150="",NOT(OR($B150="Necessidade",$B150="Desejo",$B150="Poupança"))),"",'Fluxo anual'!F47)</f>
        <v/>
      </c>
      <c r="J150" s="109">
        <f>IF(OR($A150="",NOT(OR($B150="Necessidade",$B150="Desejo",$B150="Poupança"))),"",'Fluxo anual'!G47)</f>
        <v/>
      </c>
      <c r="K150" s="109">
        <f>IF(OR($A150="",NOT(OR($B150="Necessidade",$B150="Desejo",$B150="Poupança"))),"",'Fluxo anual'!H47)</f>
        <v/>
      </c>
      <c r="L150" s="109">
        <f>IF(OR($A150="",NOT(OR($B150="Necessidade",$B150="Desejo",$B150="Poupança"))),"",'Fluxo anual'!I47)</f>
        <v/>
      </c>
      <c r="M150" s="109">
        <f>IF(OR($A150="",NOT(OR($B150="Necessidade",$B150="Desejo",$B150="Poupança"))),"",'Fluxo anual'!J47)</f>
        <v/>
      </c>
      <c r="N150" s="109">
        <f>IF(OR($A150="",NOT(OR($B150="Necessidade",$B150="Desejo",$B150="Poupança"))),"",'Fluxo anual'!K47)</f>
        <v/>
      </c>
      <c r="O150" s="109">
        <f>IF(OR($A150="",NOT(OR($B150="Necessidade",$B150="Desejo",$B150="Poupança"))),"",'Fluxo anual'!L47)</f>
        <v/>
      </c>
      <c r="P150" s="109">
        <f>IF(OR($A150="",NOT(OR($B150="Necessidade",$B150="Desejo",$B150="Poupança"))),"",'Fluxo anual'!M47)</f>
        <v/>
      </c>
      <c r="Q150" s="109">
        <f>IF(OR($A150="",NOT(OR($B150="Necessidade",$B150="Desejo",$B150="Poupança"))),"",'Fluxo anual'!N47)</f>
        <v/>
      </c>
      <c r="R150" s="85">
        <f>IF($A150="","",SUM(F150:Q150))</f>
        <v/>
      </c>
    </row>
    <row r="151">
      <c r="A151" s="75">
        <f>IF('Fluxo anual'!A48="","",'Fluxo anual'!A48)</f>
        <v/>
      </c>
      <c r="B151" s="75">
        <f>IF($A151="","",'Fluxo anual'!B48)</f>
        <v/>
      </c>
      <c r="C151" s="108" t="n"/>
      <c r="D151" s="108" t="n"/>
      <c r="E151" s="108" t="n"/>
      <c r="F151" s="109">
        <f>IF(OR($A151="",NOT(OR($B151="Necessidade",$B151="Desejo",$B151="Poupança"))),"",'Fluxo anual'!C48)</f>
        <v/>
      </c>
      <c r="G151" s="109">
        <f>IF(OR($A151="",NOT(OR($B151="Necessidade",$B151="Desejo",$B151="Poupança"))),"",'Fluxo anual'!D48)</f>
        <v/>
      </c>
      <c r="H151" s="109">
        <f>IF(OR($A151="",NOT(OR($B151="Necessidade",$B151="Desejo",$B151="Poupança"))),"",'Fluxo anual'!E48)</f>
        <v/>
      </c>
      <c r="I151" s="109">
        <f>IF(OR($A151="",NOT(OR($B151="Necessidade",$B151="Desejo",$B151="Poupança"))),"",'Fluxo anual'!F48)</f>
        <v/>
      </c>
      <c r="J151" s="109">
        <f>IF(OR($A151="",NOT(OR($B151="Necessidade",$B151="Desejo",$B151="Poupança"))),"",'Fluxo anual'!G48)</f>
        <v/>
      </c>
      <c r="K151" s="109">
        <f>IF(OR($A151="",NOT(OR($B151="Necessidade",$B151="Desejo",$B151="Poupança"))),"",'Fluxo anual'!H48)</f>
        <v/>
      </c>
      <c r="L151" s="109">
        <f>IF(OR($A151="",NOT(OR($B151="Necessidade",$B151="Desejo",$B151="Poupança"))),"",'Fluxo anual'!I48)</f>
        <v/>
      </c>
      <c r="M151" s="109">
        <f>IF(OR($A151="",NOT(OR($B151="Necessidade",$B151="Desejo",$B151="Poupança"))),"",'Fluxo anual'!J48)</f>
        <v/>
      </c>
      <c r="N151" s="109">
        <f>IF(OR($A151="",NOT(OR($B151="Necessidade",$B151="Desejo",$B151="Poupança"))),"",'Fluxo anual'!K48)</f>
        <v/>
      </c>
      <c r="O151" s="109">
        <f>IF(OR($A151="",NOT(OR($B151="Necessidade",$B151="Desejo",$B151="Poupança"))),"",'Fluxo anual'!L48)</f>
        <v/>
      </c>
      <c r="P151" s="109">
        <f>IF(OR($A151="",NOT(OR($B151="Necessidade",$B151="Desejo",$B151="Poupança"))),"",'Fluxo anual'!M48)</f>
        <v/>
      </c>
      <c r="Q151" s="109">
        <f>IF(OR($A151="",NOT(OR($B151="Necessidade",$B151="Desejo",$B151="Poupança"))),"",'Fluxo anual'!N48)</f>
        <v/>
      </c>
      <c r="R151" s="85">
        <f>IF($A151="","",SUM(F151:Q151))</f>
        <v/>
      </c>
    </row>
    <row r="152">
      <c r="A152" s="75">
        <f>IF('Fluxo anual'!A49="","",'Fluxo anual'!A49)</f>
        <v/>
      </c>
      <c r="B152" s="75">
        <f>IF($A152="","",'Fluxo anual'!B49)</f>
        <v/>
      </c>
      <c r="C152" s="108" t="n"/>
      <c r="D152" s="108" t="n"/>
      <c r="E152" s="108" t="n"/>
      <c r="F152" s="109">
        <f>IF(OR($A152="",NOT(OR($B152="Necessidade",$B152="Desejo",$B152="Poupança"))),"",'Fluxo anual'!C49)</f>
        <v/>
      </c>
      <c r="G152" s="109">
        <f>IF(OR($A152="",NOT(OR($B152="Necessidade",$B152="Desejo",$B152="Poupança"))),"",'Fluxo anual'!D49)</f>
        <v/>
      </c>
      <c r="H152" s="109">
        <f>IF(OR($A152="",NOT(OR($B152="Necessidade",$B152="Desejo",$B152="Poupança"))),"",'Fluxo anual'!E49)</f>
        <v/>
      </c>
      <c r="I152" s="109">
        <f>IF(OR($A152="",NOT(OR($B152="Necessidade",$B152="Desejo",$B152="Poupança"))),"",'Fluxo anual'!F49)</f>
        <v/>
      </c>
      <c r="J152" s="109">
        <f>IF(OR($A152="",NOT(OR($B152="Necessidade",$B152="Desejo",$B152="Poupança"))),"",'Fluxo anual'!G49)</f>
        <v/>
      </c>
      <c r="K152" s="109">
        <f>IF(OR($A152="",NOT(OR($B152="Necessidade",$B152="Desejo",$B152="Poupança"))),"",'Fluxo anual'!H49)</f>
        <v/>
      </c>
      <c r="L152" s="109">
        <f>IF(OR($A152="",NOT(OR($B152="Necessidade",$B152="Desejo",$B152="Poupança"))),"",'Fluxo anual'!I49)</f>
        <v/>
      </c>
      <c r="M152" s="109">
        <f>IF(OR($A152="",NOT(OR($B152="Necessidade",$B152="Desejo",$B152="Poupança"))),"",'Fluxo anual'!J49)</f>
        <v/>
      </c>
      <c r="N152" s="109">
        <f>IF(OR($A152="",NOT(OR($B152="Necessidade",$B152="Desejo",$B152="Poupança"))),"",'Fluxo anual'!K49)</f>
        <v/>
      </c>
      <c r="O152" s="109">
        <f>IF(OR($A152="",NOT(OR($B152="Necessidade",$B152="Desejo",$B152="Poupança"))),"",'Fluxo anual'!L49)</f>
        <v/>
      </c>
      <c r="P152" s="109">
        <f>IF(OR($A152="",NOT(OR($B152="Necessidade",$B152="Desejo",$B152="Poupança"))),"",'Fluxo anual'!M49)</f>
        <v/>
      </c>
      <c r="Q152" s="109">
        <f>IF(OR($A152="",NOT(OR($B152="Necessidade",$B152="Desejo",$B152="Poupança"))),"",'Fluxo anual'!N49)</f>
        <v/>
      </c>
      <c r="R152" s="85">
        <f>IF($A152="","",SUM(F152:Q152))</f>
        <v/>
      </c>
    </row>
    <row r="153">
      <c r="A153" s="75">
        <f>IF('Fluxo anual'!A50="","",'Fluxo anual'!A50)</f>
        <v/>
      </c>
      <c r="B153" s="75">
        <f>IF($A153="","",'Fluxo anual'!B50)</f>
        <v/>
      </c>
      <c r="C153" s="108" t="n"/>
      <c r="D153" s="108" t="n"/>
      <c r="E153" s="108" t="n"/>
      <c r="F153" s="109">
        <f>IF(OR($A153="",NOT(OR($B153="Necessidade",$B153="Desejo",$B153="Poupança"))),"",'Fluxo anual'!C50)</f>
        <v/>
      </c>
      <c r="G153" s="109">
        <f>IF(OR($A153="",NOT(OR($B153="Necessidade",$B153="Desejo",$B153="Poupança"))),"",'Fluxo anual'!D50)</f>
        <v/>
      </c>
      <c r="H153" s="109">
        <f>IF(OR($A153="",NOT(OR($B153="Necessidade",$B153="Desejo",$B153="Poupança"))),"",'Fluxo anual'!E50)</f>
        <v/>
      </c>
      <c r="I153" s="109">
        <f>IF(OR($A153="",NOT(OR($B153="Necessidade",$B153="Desejo",$B153="Poupança"))),"",'Fluxo anual'!F50)</f>
        <v/>
      </c>
      <c r="J153" s="109">
        <f>IF(OR($A153="",NOT(OR($B153="Necessidade",$B153="Desejo",$B153="Poupança"))),"",'Fluxo anual'!G50)</f>
        <v/>
      </c>
      <c r="K153" s="109">
        <f>IF(OR($A153="",NOT(OR($B153="Necessidade",$B153="Desejo",$B153="Poupança"))),"",'Fluxo anual'!H50)</f>
        <v/>
      </c>
      <c r="L153" s="109">
        <f>IF(OR($A153="",NOT(OR($B153="Necessidade",$B153="Desejo",$B153="Poupança"))),"",'Fluxo anual'!I50)</f>
        <v/>
      </c>
      <c r="M153" s="109">
        <f>IF(OR($A153="",NOT(OR($B153="Necessidade",$B153="Desejo",$B153="Poupança"))),"",'Fluxo anual'!J50)</f>
        <v/>
      </c>
      <c r="N153" s="109">
        <f>IF(OR($A153="",NOT(OR($B153="Necessidade",$B153="Desejo",$B153="Poupança"))),"",'Fluxo anual'!K50)</f>
        <v/>
      </c>
      <c r="O153" s="109">
        <f>IF(OR($A153="",NOT(OR($B153="Necessidade",$B153="Desejo",$B153="Poupança"))),"",'Fluxo anual'!L50)</f>
        <v/>
      </c>
      <c r="P153" s="109">
        <f>IF(OR($A153="",NOT(OR($B153="Necessidade",$B153="Desejo",$B153="Poupança"))),"",'Fluxo anual'!M50)</f>
        <v/>
      </c>
      <c r="Q153" s="109">
        <f>IF(OR($A153="",NOT(OR($B153="Necessidade",$B153="Desejo",$B153="Poupança"))),"",'Fluxo anual'!N50)</f>
        <v/>
      </c>
      <c r="R153" s="85">
        <f>IF($A153="","",SUM(F153:Q153))</f>
        <v/>
      </c>
    </row>
    <row r="154">
      <c r="A154" s="75">
        <f>IF('Fluxo anual'!A51="","",'Fluxo anual'!A51)</f>
        <v/>
      </c>
      <c r="B154" s="75">
        <f>IF($A154="","",'Fluxo anual'!B51)</f>
        <v/>
      </c>
      <c r="C154" s="108" t="n"/>
      <c r="D154" s="108" t="n"/>
      <c r="E154" s="108" t="n"/>
      <c r="F154" s="109">
        <f>IF(OR($A154="",NOT(OR($B154="Necessidade",$B154="Desejo",$B154="Poupança"))),"",'Fluxo anual'!C51)</f>
        <v/>
      </c>
      <c r="G154" s="109">
        <f>IF(OR($A154="",NOT(OR($B154="Necessidade",$B154="Desejo",$B154="Poupança"))),"",'Fluxo anual'!D51)</f>
        <v/>
      </c>
      <c r="H154" s="109">
        <f>IF(OR($A154="",NOT(OR($B154="Necessidade",$B154="Desejo",$B154="Poupança"))),"",'Fluxo anual'!E51)</f>
        <v/>
      </c>
      <c r="I154" s="109">
        <f>IF(OR($A154="",NOT(OR($B154="Necessidade",$B154="Desejo",$B154="Poupança"))),"",'Fluxo anual'!F51)</f>
        <v/>
      </c>
      <c r="J154" s="109">
        <f>IF(OR($A154="",NOT(OR($B154="Necessidade",$B154="Desejo",$B154="Poupança"))),"",'Fluxo anual'!G51)</f>
        <v/>
      </c>
      <c r="K154" s="109">
        <f>IF(OR($A154="",NOT(OR($B154="Necessidade",$B154="Desejo",$B154="Poupança"))),"",'Fluxo anual'!H51)</f>
        <v/>
      </c>
      <c r="L154" s="109">
        <f>IF(OR($A154="",NOT(OR($B154="Necessidade",$B154="Desejo",$B154="Poupança"))),"",'Fluxo anual'!I51)</f>
        <v/>
      </c>
      <c r="M154" s="109">
        <f>IF(OR($A154="",NOT(OR($B154="Necessidade",$B154="Desejo",$B154="Poupança"))),"",'Fluxo anual'!J51)</f>
        <v/>
      </c>
      <c r="N154" s="109">
        <f>IF(OR($A154="",NOT(OR($B154="Necessidade",$B154="Desejo",$B154="Poupança"))),"",'Fluxo anual'!K51)</f>
        <v/>
      </c>
      <c r="O154" s="109">
        <f>IF(OR($A154="",NOT(OR($B154="Necessidade",$B154="Desejo",$B154="Poupança"))),"",'Fluxo anual'!L51)</f>
        <v/>
      </c>
      <c r="P154" s="109">
        <f>IF(OR($A154="",NOT(OR($B154="Necessidade",$B154="Desejo",$B154="Poupança"))),"",'Fluxo anual'!M51)</f>
        <v/>
      </c>
      <c r="Q154" s="109">
        <f>IF(OR($A154="",NOT(OR($B154="Necessidade",$B154="Desejo",$B154="Poupança"))),"",'Fluxo anual'!N51)</f>
        <v/>
      </c>
      <c r="R154" s="85">
        <f>IF($A154="","",SUM(F154:Q154))</f>
        <v/>
      </c>
    </row>
    <row r="155">
      <c r="A155" s="75">
        <f>IF('Fluxo anual'!A52="","",'Fluxo anual'!A52)</f>
        <v/>
      </c>
      <c r="B155" s="75">
        <f>IF($A155="","",'Fluxo anual'!B52)</f>
        <v/>
      </c>
      <c r="C155" s="108" t="n"/>
      <c r="D155" s="108" t="n"/>
      <c r="E155" s="108" t="n"/>
      <c r="F155" s="109">
        <f>IF(OR($A155="",NOT(OR($B155="Necessidade",$B155="Desejo",$B155="Poupança"))),"",'Fluxo anual'!C52)</f>
        <v/>
      </c>
      <c r="G155" s="109">
        <f>IF(OR($A155="",NOT(OR($B155="Necessidade",$B155="Desejo",$B155="Poupança"))),"",'Fluxo anual'!D52)</f>
        <v/>
      </c>
      <c r="H155" s="109">
        <f>IF(OR($A155="",NOT(OR($B155="Necessidade",$B155="Desejo",$B155="Poupança"))),"",'Fluxo anual'!E52)</f>
        <v/>
      </c>
      <c r="I155" s="109">
        <f>IF(OR($A155="",NOT(OR($B155="Necessidade",$B155="Desejo",$B155="Poupança"))),"",'Fluxo anual'!F52)</f>
        <v/>
      </c>
      <c r="J155" s="109">
        <f>IF(OR($A155="",NOT(OR($B155="Necessidade",$B155="Desejo",$B155="Poupança"))),"",'Fluxo anual'!G52)</f>
        <v/>
      </c>
      <c r="K155" s="109">
        <f>IF(OR($A155="",NOT(OR($B155="Necessidade",$B155="Desejo",$B155="Poupança"))),"",'Fluxo anual'!H52)</f>
        <v/>
      </c>
      <c r="L155" s="109">
        <f>IF(OR($A155="",NOT(OR($B155="Necessidade",$B155="Desejo",$B155="Poupança"))),"",'Fluxo anual'!I52)</f>
        <v/>
      </c>
      <c r="M155" s="109">
        <f>IF(OR($A155="",NOT(OR($B155="Necessidade",$B155="Desejo",$B155="Poupança"))),"",'Fluxo anual'!J52)</f>
        <v/>
      </c>
      <c r="N155" s="109">
        <f>IF(OR($A155="",NOT(OR($B155="Necessidade",$B155="Desejo",$B155="Poupança"))),"",'Fluxo anual'!K52)</f>
        <v/>
      </c>
      <c r="O155" s="109">
        <f>IF(OR($A155="",NOT(OR($B155="Necessidade",$B155="Desejo",$B155="Poupança"))),"",'Fluxo anual'!L52)</f>
        <v/>
      </c>
      <c r="P155" s="109">
        <f>IF(OR($A155="",NOT(OR($B155="Necessidade",$B155="Desejo",$B155="Poupança"))),"",'Fluxo anual'!M52)</f>
        <v/>
      </c>
      <c r="Q155" s="109">
        <f>IF(OR($A155="",NOT(OR($B155="Necessidade",$B155="Desejo",$B155="Poupança"))),"",'Fluxo anual'!N52)</f>
        <v/>
      </c>
      <c r="R155" s="85">
        <f>IF($A155="","",SUM(F155:Q155))</f>
        <v/>
      </c>
    </row>
    <row r="156">
      <c r="A156" s="75">
        <f>IF('Fluxo anual'!A53="","",'Fluxo anual'!A53)</f>
        <v/>
      </c>
      <c r="B156" s="75">
        <f>IF($A156="","",'Fluxo anual'!B53)</f>
        <v/>
      </c>
      <c r="C156" s="108" t="n"/>
      <c r="D156" s="108" t="n"/>
      <c r="E156" s="108" t="n"/>
      <c r="F156" s="109">
        <f>IF(OR($A156="",NOT(OR($B156="Necessidade",$B156="Desejo",$B156="Poupança"))),"",'Fluxo anual'!C53)</f>
        <v/>
      </c>
      <c r="G156" s="109">
        <f>IF(OR($A156="",NOT(OR($B156="Necessidade",$B156="Desejo",$B156="Poupança"))),"",'Fluxo anual'!D53)</f>
        <v/>
      </c>
      <c r="H156" s="109">
        <f>IF(OR($A156="",NOT(OR($B156="Necessidade",$B156="Desejo",$B156="Poupança"))),"",'Fluxo anual'!E53)</f>
        <v/>
      </c>
      <c r="I156" s="109">
        <f>IF(OR($A156="",NOT(OR($B156="Necessidade",$B156="Desejo",$B156="Poupança"))),"",'Fluxo anual'!F53)</f>
        <v/>
      </c>
      <c r="J156" s="109">
        <f>IF(OR($A156="",NOT(OR($B156="Necessidade",$B156="Desejo",$B156="Poupança"))),"",'Fluxo anual'!G53)</f>
        <v/>
      </c>
      <c r="K156" s="109">
        <f>IF(OR($A156="",NOT(OR($B156="Necessidade",$B156="Desejo",$B156="Poupança"))),"",'Fluxo anual'!H53)</f>
        <v/>
      </c>
      <c r="L156" s="109">
        <f>IF(OR($A156="",NOT(OR($B156="Necessidade",$B156="Desejo",$B156="Poupança"))),"",'Fluxo anual'!I53)</f>
        <v/>
      </c>
      <c r="M156" s="109">
        <f>IF(OR($A156="",NOT(OR($B156="Necessidade",$B156="Desejo",$B156="Poupança"))),"",'Fluxo anual'!J53)</f>
        <v/>
      </c>
      <c r="N156" s="109">
        <f>IF(OR($A156="",NOT(OR($B156="Necessidade",$B156="Desejo",$B156="Poupança"))),"",'Fluxo anual'!K53)</f>
        <v/>
      </c>
      <c r="O156" s="109">
        <f>IF(OR($A156="",NOT(OR($B156="Necessidade",$B156="Desejo",$B156="Poupança"))),"",'Fluxo anual'!L53)</f>
        <v/>
      </c>
      <c r="P156" s="109">
        <f>IF(OR($A156="",NOT(OR($B156="Necessidade",$B156="Desejo",$B156="Poupança"))),"",'Fluxo anual'!M53)</f>
        <v/>
      </c>
      <c r="Q156" s="109">
        <f>IF(OR($A156="",NOT(OR($B156="Necessidade",$B156="Desejo",$B156="Poupança"))),"",'Fluxo anual'!N53)</f>
        <v/>
      </c>
      <c r="R156" s="85">
        <f>IF($A156="","",SUM(F156:Q156))</f>
        <v/>
      </c>
    </row>
    <row r="157">
      <c r="A157" s="75">
        <f>IF('Fluxo anual'!A54="","",'Fluxo anual'!A54)</f>
        <v/>
      </c>
      <c r="B157" s="75">
        <f>IF($A157="","",'Fluxo anual'!B54)</f>
        <v/>
      </c>
      <c r="C157" s="108" t="n"/>
      <c r="D157" s="108" t="n"/>
      <c r="E157" s="108" t="n"/>
      <c r="F157" s="109">
        <f>IF(OR($A157="",NOT(OR($B157="Necessidade",$B157="Desejo",$B157="Poupança"))),"",'Fluxo anual'!C54)</f>
        <v/>
      </c>
      <c r="G157" s="109">
        <f>IF(OR($A157="",NOT(OR($B157="Necessidade",$B157="Desejo",$B157="Poupança"))),"",'Fluxo anual'!D54)</f>
        <v/>
      </c>
      <c r="H157" s="109">
        <f>IF(OR($A157="",NOT(OR($B157="Necessidade",$B157="Desejo",$B157="Poupança"))),"",'Fluxo anual'!E54)</f>
        <v/>
      </c>
      <c r="I157" s="109">
        <f>IF(OR($A157="",NOT(OR($B157="Necessidade",$B157="Desejo",$B157="Poupança"))),"",'Fluxo anual'!F54)</f>
        <v/>
      </c>
      <c r="J157" s="109">
        <f>IF(OR($A157="",NOT(OR($B157="Necessidade",$B157="Desejo",$B157="Poupança"))),"",'Fluxo anual'!G54)</f>
        <v/>
      </c>
      <c r="K157" s="109">
        <f>IF(OR($A157="",NOT(OR($B157="Necessidade",$B157="Desejo",$B157="Poupança"))),"",'Fluxo anual'!H54)</f>
        <v/>
      </c>
      <c r="L157" s="109">
        <f>IF(OR($A157="",NOT(OR($B157="Necessidade",$B157="Desejo",$B157="Poupança"))),"",'Fluxo anual'!I54)</f>
        <v/>
      </c>
      <c r="M157" s="109">
        <f>IF(OR($A157="",NOT(OR($B157="Necessidade",$B157="Desejo",$B157="Poupança"))),"",'Fluxo anual'!J54)</f>
        <v/>
      </c>
      <c r="N157" s="109">
        <f>IF(OR($A157="",NOT(OR($B157="Necessidade",$B157="Desejo",$B157="Poupança"))),"",'Fluxo anual'!K54)</f>
        <v/>
      </c>
      <c r="O157" s="109">
        <f>IF(OR($A157="",NOT(OR($B157="Necessidade",$B157="Desejo",$B157="Poupança"))),"",'Fluxo anual'!L54)</f>
        <v/>
      </c>
      <c r="P157" s="109">
        <f>IF(OR($A157="",NOT(OR($B157="Necessidade",$B157="Desejo",$B157="Poupança"))),"",'Fluxo anual'!M54)</f>
        <v/>
      </c>
      <c r="Q157" s="109">
        <f>IF(OR($A157="",NOT(OR($B157="Necessidade",$B157="Desejo",$B157="Poupança"))),"",'Fluxo anual'!N54)</f>
        <v/>
      </c>
      <c r="R157" s="85">
        <f>IF($A157="","",SUM(F157:Q157))</f>
        <v/>
      </c>
    </row>
    <row r="158">
      <c r="A158" s="75">
        <f>IF('Fluxo anual'!A55="","",'Fluxo anual'!A55)</f>
        <v/>
      </c>
      <c r="B158" s="75">
        <f>IF($A158="","",'Fluxo anual'!B55)</f>
        <v/>
      </c>
      <c r="C158" s="108" t="n"/>
      <c r="D158" s="108" t="n"/>
      <c r="E158" s="108" t="n"/>
      <c r="F158" s="109">
        <f>IF(OR($A158="",NOT(OR($B158="Necessidade",$B158="Desejo",$B158="Poupança"))),"",'Fluxo anual'!C55)</f>
        <v/>
      </c>
      <c r="G158" s="109">
        <f>IF(OR($A158="",NOT(OR($B158="Necessidade",$B158="Desejo",$B158="Poupança"))),"",'Fluxo anual'!D55)</f>
        <v/>
      </c>
      <c r="H158" s="109">
        <f>IF(OR($A158="",NOT(OR($B158="Necessidade",$B158="Desejo",$B158="Poupança"))),"",'Fluxo anual'!E55)</f>
        <v/>
      </c>
      <c r="I158" s="109">
        <f>IF(OR($A158="",NOT(OR($B158="Necessidade",$B158="Desejo",$B158="Poupança"))),"",'Fluxo anual'!F55)</f>
        <v/>
      </c>
      <c r="J158" s="109">
        <f>IF(OR($A158="",NOT(OR($B158="Necessidade",$B158="Desejo",$B158="Poupança"))),"",'Fluxo anual'!G55)</f>
        <v/>
      </c>
      <c r="K158" s="109">
        <f>IF(OR($A158="",NOT(OR($B158="Necessidade",$B158="Desejo",$B158="Poupança"))),"",'Fluxo anual'!H55)</f>
        <v/>
      </c>
      <c r="L158" s="109">
        <f>IF(OR($A158="",NOT(OR($B158="Necessidade",$B158="Desejo",$B158="Poupança"))),"",'Fluxo anual'!I55)</f>
        <v/>
      </c>
      <c r="M158" s="109">
        <f>IF(OR($A158="",NOT(OR($B158="Necessidade",$B158="Desejo",$B158="Poupança"))),"",'Fluxo anual'!J55)</f>
        <v/>
      </c>
      <c r="N158" s="109">
        <f>IF(OR($A158="",NOT(OR($B158="Necessidade",$B158="Desejo",$B158="Poupança"))),"",'Fluxo anual'!K55)</f>
        <v/>
      </c>
      <c r="O158" s="109">
        <f>IF(OR($A158="",NOT(OR($B158="Necessidade",$B158="Desejo",$B158="Poupança"))),"",'Fluxo anual'!L55)</f>
        <v/>
      </c>
      <c r="P158" s="109">
        <f>IF(OR($A158="",NOT(OR($B158="Necessidade",$B158="Desejo",$B158="Poupança"))),"",'Fluxo anual'!M55)</f>
        <v/>
      </c>
      <c r="Q158" s="109">
        <f>IF(OR($A158="",NOT(OR($B158="Necessidade",$B158="Desejo",$B158="Poupança"))),"",'Fluxo anual'!N55)</f>
        <v/>
      </c>
      <c r="R158" s="85">
        <f>IF($A158="","",SUM(F158:Q158))</f>
        <v/>
      </c>
    </row>
    <row r="159">
      <c r="A159" s="75">
        <f>IF('Fluxo anual'!A56="","",'Fluxo anual'!A56)</f>
        <v/>
      </c>
      <c r="B159" s="75">
        <f>IF($A159="","",'Fluxo anual'!B56)</f>
        <v/>
      </c>
      <c r="C159" s="108" t="n"/>
      <c r="D159" s="108" t="n"/>
      <c r="E159" s="108" t="n"/>
      <c r="F159" s="109">
        <f>IF(OR($A159="",NOT(OR($B159="Necessidade",$B159="Desejo",$B159="Poupança"))),"",'Fluxo anual'!C56)</f>
        <v/>
      </c>
      <c r="G159" s="109">
        <f>IF(OR($A159="",NOT(OR($B159="Necessidade",$B159="Desejo",$B159="Poupança"))),"",'Fluxo anual'!D56)</f>
        <v/>
      </c>
      <c r="H159" s="109">
        <f>IF(OR($A159="",NOT(OR($B159="Necessidade",$B159="Desejo",$B159="Poupança"))),"",'Fluxo anual'!E56)</f>
        <v/>
      </c>
      <c r="I159" s="109">
        <f>IF(OR($A159="",NOT(OR($B159="Necessidade",$B159="Desejo",$B159="Poupança"))),"",'Fluxo anual'!F56)</f>
        <v/>
      </c>
      <c r="J159" s="109">
        <f>IF(OR($A159="",NOT(OR($B159="Necessidade",$B159="Desejo",$B159="Poupança"))),"",'Fluxo anual'!G56)</f>
        <v/>
      </c>
      <c r="K159" s="109">
        <f>IF(OR($A159="",NOT(OR($B159="Necessidade",$B159="Desejo",$B159="Poupança"))),"",'Fluxo anual'!H56)</f>
        <v/>
      </c>
      <c r="L159" s="109">
        <f>IF(OR($A159="",NOT(OR($B159="Necessidade",$B159="Desejo",$B159="Poupança"))),"",'Fluxo anual'!I56)</f>
        <v/>
      </c>
      <c r="M159" s="109">
        <f>IF(OR($A159="",NOT(OR($B159="Necessidade",$B159="Desejo",$B159="Poupança"))),"",'Fluxo anual'!J56)</f>
        <v/>
      </c>
      <c r="N159" s="109">
        <f>IF(OR($A159="",NOT(OR($B159="Necessidade",$B159="Desejo",$B159="Poupança"))),"",'Fluxo anual'!K56)</f>
        <v/>
      </c>
      <c r="O159" s="109">
        <f>IF(OR($A159="",NOT(OR($B159="Necessidade",$B159="Desejo",$B159="Poupança"))),"",'Fluxo anual'!L56)</f>
        <v/>
      </c>
      <c r="P159" s="109">
        <f>IF(OR($A159="",NOT(OR($B159="Necessidade",$B159="Desejo",$B159="Poupança"))),"",'Fluxo anual'!M56)</f>
        <v/>
      </c>
      <c r="Q159" s="109">
        <f>IF(OR($A159="",NOT(OR($B159="Necessidade",$B159="Desejo",$B159="Poupança"))),"",'Fluxo anual'!N56)</f>
        <v/>
      </c>
      <c r="R159" s="85">
        <f>IF($A159="","",SUM(F159:Q159))</f>
        <v/>
      </c>
    </row>
    <row r="160">
      <c r="A160" s="75">
        <f>IF('Fluxo anual'!A57="","",'Fluxo anual'!A57)</f>
        <v/>
      </c>
      <c r="B160" s="75">
        <f>IF($A160="","",'Fluxo anual'!B57)</f>
        <v/>
      </c>
      <c r="C160" s="108" t="n"/>
      <c r="D160" s="108" t="n"/>
      <c r="E160" s="108" t="n"/>
      <c r="F160" s="109">
        <f>IF(OR($A160="",NOT(OR($B160="Necessidade",$B160="Desejo",$B160="Poupança"))),"",'Fluxo anual'!C57)</f>
        <v/>
      </c>
      <c r="G160" s="109">
        <f>IF(OR($A160="",NOT(OR($B160="Necessidade",$B160="Desejo",$B160="Poupança"))),"",'Fluxo anual'!D57)</f>
        <v/>
      </c>
      <c r="H160" s="109">
        <f>IF(OR($A160="",NOT(OR($B160="Necessidade",$B160="Desejo",$B160="Poupança"))),"",'Fluxo anual'!E57)</f>
        <v/>
      </c>
      <c r="I160" s="109">
        <f>IF(OR($A160="",NOT(OR($B160="Necessidade",$B160="Desejo",$B160="Poupança"))),"",'Fluxo anual'!F57)</f>
        <v/>
      </c>
      <c r="J160" s="109">
        <f>IF(OR($A160="",NOT(OR($B160="Necessidade",$B160="Desejo",$B160="Poupança"))),"",'Fluxo anual'!G57)</f>
        <v/>
      </c>
      <c r="K160" s="109">
        <f>IF(OR($A160="",NOT(OR($B160="Necessidade",$B160="Desejo",$B160="Poupança"))),"",'Fluxo anual'!H57)</f>
        <v/>
      </c>
      <c r="L160" s="109">
        <f>IF(OR($A160="",NOT(OR($B160="Necessidade",$B160="Desejo",$B160="Poupança"))),"",'Fluxo anual'!I57)</f>
        <v/>
      </c>
      <c r="M160" s="109">
        <f>IF(OR($A160="",NOT(OR($B160="Necessidade",$B160="Desejo",$B160="Poupança"))),"",'Fluxo anual'!J57)</f>
        <v/>
      </c>
      <c r="N160" s="109">
        <f>IF(OR($A160="",NOT(OR($B160="Necessidade",$B160="Desejo",$B160="Poupança"))),"",'Fluxo anual'!K57)</f>
        <v/>
      </c>
      <c r="O160" s="109">
        <f>IF(OR($A160="",NOT(OR($B160="Necessidade",$B160="Desejo",$B160="Poupança"))),"",'Fluxo anual'!L57)</f>
        <v/>
      </c>
      <c r="P160" s="109">
        <f>IF(OR($A160="",NOT(OR($B160="Necessidade",$B160="Desejo",$B160="Poupança"))),"",'Fluxo anual'!M57)</f>
        <v/>
      </c>
      <c r="Q160" s="109">
        <f>IF(OR($A160="",NOT(OR($B160="Necessidade",$B160="Desejo",$B160="Poupança"))),"",'Fluxo anual'!N57)</f>
        <v/>
      </c>
      <c r="R160" s="85">
        <f>IF($A160="","",SUM(F160:Q160))</f>
        <v/>
      </c>
    </row>
    <row r="161">
      <c r="A161" s="75">
        <f>IF('Fluxo anual'!A58="","",'Fluxo anual'!A58)</f>
        <v/>
      </c>
      <c r="B161" s="75">
        <f>IF($A161="","",'Fluxo anual'!B58)</f>
        <v/>
      </c>
      <c r="C161" s="108" t="n"/>
      <c r="D161" s="108" t="n"/>
      <c r="E161" s="108" t="n"/>
      <c r="F161" s="109">
        <f>IF(OR($A161="",NOT(OR($B161="Necessidade",$B161="Desejo",$B161="Poupança"))),"",'Fluxo anual'!C58)</f>
        <v/>
      </c>
      <c r="G161" s="109">
        <f>IF(OR($A161="",NOT(OR($B161="Necessidade",$B161="Desejo",$B161="Poupança"))),"",'Fluxo anual'!D58)</f>
        <v/>
      </c>
      <c r="H161" s="109">
        <f>IF(OR($A161="",NOT(OR($B161="Necessidade",$B161="Desejo",$B161="Poupança"))),"",'Fluxo anual'!E58)</f>
        <v/>
      </c>
      <c r="I161" s="109">
        <f>IF(OR($A161="",NOT(OR($B161="Necessidade",$B161="Desejo",$B161="Poupança"))),"",'Fluxo anual'!F58)</f>
        <v/>
      </c>
      <c r="J161" s="109">
        <f>IF(OR($A161="",NOT(OR($B161="Necessidade",$B161="Desejo",$B161="Poupança"))),"",'Fluxo anual'!G58)</f>
        <v/>
      </c>
      <c r="K161" s="109">
        <f>IF(OR($A161="",NOT(OR($B161="Necessidade",$B161="Desejo",$B161="Poupança"))),"",'Fluxo anual'!H58)</f>
        <v/>
      </c>
      <c r="L161" s="109">
        <f>IF(OR($A161="",NOT(OR($B161="Necessidade",$B161="Desejo",$B161="Poupança"))),"",'Fluxo anual'!I58)</f>
        <v/>
      </c>
      <c r="M161" s="109">
        <f>IF(OR($A161="",NOT(OR($B161="Necessidade",$B161="Desejo",$B161="Poupança"))),"",'Fluxo anual'!J58)</f>
        <v/>
      </c>
      <c r="N161" s="109">
        <f>IF(OR($A161="",NOT(OR($B161="Necessidade",$B161="Desejo",$B161="Poupança"))),"",'Fluxo anual'!K58)</f>
        <v/>
      </c>
      <c r="O161" s="109">
        <f>IF(OR($A161="",NOT(OR($B161="Necessidade",$B161="Desejo",$B161="Poupança"))),"",'Fluxo anual'!L58)</f>
        <v/>
      </c>
      <c r="P161" s="109">
        <f>IF(OR($A161="",NOT(OR($B161="Necessidade",$B161="Desejo",$B161="Poupança"))),"",'Fluxo anual'!M58)</f>
        <v/>
      </c>
      <c r="Q161" s="109">
        <f>IF(OR($A161="",NOT(OR($B161="Necessidade",$B161="Desejo",$B161="Poupança"))),"",'Fluxo anual'!N58)</f>
        <v/>
      </c>
      <c r="R161" s="85">
        <f>IF($A161="","",SUM(F161:Q161))</f>
        <v/>
      </c>
    </row>
    <row r="162">
      <c r="A162" s="75">
        <f>IF('Fluxo anual'!A59="","",'Fluxo anual'!A59)</f>
        <v/>
      </c>
      <c r="B162" s="75">
        <f>IF($A162="","",'Fluxo anual'!B59)</f>
        <v/>
      </c>
      <c r="C162" s="108" t="n"/>
      <c r="D162" s="108" t="n"/>
      <c r="E162" s="108" t="n"/>
      <c r="F162" s="109">
        <f>IF(OR($A162="",NOT(OR($B162="Necessidade",$B162="Desejo",$B162="Poupança"))),"",'Fluxo anual'!C59)</f>
        <v/>
      </c>
      <c r="G162" s="109">
        <f>IF(OR($A162="",NOT(OR($B162="Necessidade",$B162="Desejo",$B162="Poupança"))),"",'Fluxo anual'!D59)</f>
        <v/>
      </c>
      <c r="H162" s="109">
        <f>IF(OR($A162="",NOT(OR($B162="Necessidade",$B162="Desejo",$B162="Poupança"))),"",'Fluxo anual'!E59)</f>
        <v/>
      </c>
      <c r="I162" s="109">
        <f>IF(OR($A162="",NOT(OR($B162="Necessidade",$B162="Desejo",$B162="Poupança"))),"",'Fluxo anual'!F59)</f>
        <v/>
      </c>
      <c r="J162" s="109">
        <f>IF(OR($A162="",NOT(OR($B162="Necessidade",$B162="Desejo",$B162="Poupança"))),"",'Fluxo anual'!G59)</f>
        <v/>
      </c>
      <c r="K162" s="109">
        <f>IF(OR($A162="",NOT(OR($B162="Necessidade",$B162="Desejo",$B162="Poupança"))),"",'Fluxo anual'!H59)</f>
        <v/>
      </c>
      <c r="L162" s="109">
        <f>IF(OR($A162="",NOT(OR($B162="Necessidade",$B162="Desejo",$B162="Poupança"))),"",'Fluxo anual'!I59)</f>
        <v/>
      </c>
      <c r="M162" s="109">
        <f>IF(OR($A162="",NOT(OR($B162="Necessidade",$B162="Desejo",$B162="Poupança"))),"",'Fluxo anual'!J59)</f>
        <v/>
      </c>
      <c r="N162" s="109">
        <f>IF(OR($A162="",NOT(OR($B162="Necessidade",$B162="Desejo",$B162="Poupança"))),"",'Fluxo anual'!K59)</f>
        <v/>
      </c>
      <c r="O162" s="109">
        <f>IF(OR($A162="",NOT(OR($B162="Necessidade",$B162="Desejo",$B162="Poupança"))),"",'Fluxo anual'!L59)</f>
        <v/>
      </c>
      <c r="P162" s="109">
        <f>IF(OR($A162="",NOT(OR($B162="Necessidade",$B162="Desejo",$B162="Poupança"))),"",'Fluxo anual'!M59)</f>
        <v/>
      </c>
      <c r="Q162" s="109">
        <f>IF(OR($A162="",NOT(OR($B162="Necessidade",$B162="Desejo",$B162="Poupança"))),"",'Fluxo anual'!N59)</f>
        <v/>
      </c>
      <c r="R162" s="85">
        <f>IF($A162="","",SUM(F162:Q162))</f>
        <v/>
      </c>
    </row>
    <row r="163">
      <c r="A163" s="75">
        <f>IF('Fluxo anual'!A60="","",'Fluxo anual'!A60)</f>
        <v/>
      </c>
      <c r="B163" s="75">
        <f>IF($A163="","",'Fluxo anual'!B60)</f>
        <v/>
      </c>
      <c r="C163" s="108" t="n"/>
      <c r="D163" s="108" t="n"/>
      <c r="E163" s="108" t="n"/>
      <c r="F163" s="109">
        <f>IF(OR($A163="",NOT(OR($B163="Necessidade",$B163="Desejo",$B163="Poupança"))),"",'Fluxo anual'!C60)</f>
        <v/>
      </c>
      <c r="G163" s="109">
        <f>IF(OR($A163="",NOT(OR($B163="Necessidade",$B163="Desejo",$B163="Poupança"))),"",'Fluxo anual'!D60)</f>
        <v/>
      </c>
      <c r="H163" s="109">
        <f>IF(OR($A163="",NOT(OR($B163="Necessidade",$B163="Desejo",$B163="Poupança"))),"",'Fluxo anual'!E60)</f>
        <v/>
      </c>
      <c r="I163" s="109">
        <f>IF(OR($A163="",NOT(OR($B163="Necessidade",$B163="Desejo",$B163="Poupança"))),"",'Fluxo anual'!F60)</f>
        <v/>
      </c>
      <c r="J163" s="109">
        <f>IF(OR($A163="",NOT(OR($B163="Necessidade",$B163="Desejo",$B163="Poupança"))),"",'Fluxo anual'!G60)</f>
        <v/>
      </c>
      <c r="K163" s="109">
        <f>IF(OR($A163="",NOT(OR($B163="Necessidade",$B163="Desejo",$B163="Poupança"))),"",'Fluxo anual'!H60)</f>
        <v/>
      </c>
      <c r="L163" s="109">
        <f>IF(OR($A163="",NOT(OR($B163="Necessidade",$B163="Desejo",$B163="Poupança"))),"",'Fluxo anual'!I60)</f>
        <v/>
      </c>
      <c r="M163" s="109">
        <f>IF(OR($A163="",NOT(OR($B163="Necessidade",$B163="Desejo",$B163="Poupança"))),"",'Fluxo anual'!J60)</f>
        <v/>
      </c>
      <c r="N163" s="109">
        <f>IF(OR($A163="",NOT(OR($B163="Necessidade",$B163="Desejo",$B163="Poupança"))),"",'Fluxo anual'!K60)</f>
        <v/>
      </c>
      <c r="O163" s="109">
        <f>IF(OR($A163="",NOT(OR($B163="Necessidade",$B163="Desejo",$B163="Poupança"))),"",'Fluxo anual'!L60)</f>
        <v/>
      </c>
      <c r="P163" s="109">
        <f>IF(OR($A163="",NOT(OR($B163="Necessidade",$B163="Desejo",$B163="Poupança"))),"",'Fluxo anual'!M60)</f>
        <v/>
      </c>
      <c r="Q163" s="109">
        <f>IF(OR($A163="",NOT(OR($B163="Necessidade",$B163="Desejo",$B163="Poupança"))),"",'Fluxo anual'!N60)</f>
        <v/>
      </c>
      <c r="R163" s="85">
        <f>IF($A163="","",SUM(F163:Q163))</f>
        <v/>
      </c>
    </row>
    <row r="164">
      <c r="A164" s="75">
        <f>IF('Fluxo anual'!A61="","",'Fluxo anual'!A61)</f>
        <v/>
      </c>
      <c r="B164" s="75">
        <f>IF($A164="","",'Fluxo anual'!B61)</f>
        <v/>
      </c>
      <c r="C164" s="108" t="n"/>
      <c r="D164" s="108" t="n"/>
      <c r="E164" s="108" t="n"/>
      <c r="F164" s="109">
        <f>IF(OR($A164="",NOT(OR($B164="Necessidade",$B164="Desejo",$B164="Poupança"))),"",'Fluxo anual'!C61)</f>
        <v/>
      </c>
      <c r="G164" s="109">
        <f>IF(OR($A164="",NOT(OR($B164="Necessidade",$B164="Desejo",$B164="Poupança"))),"",'Fluxo anual'!D61)</f>
        <v/>
      </c>
      <c r="H164" s="109">
        <f>IF(OR($A164="",NOT(OR($B164="Necessidade",$B164="Desejo",$B164="Poupança"))),"",'Fluxo anual'!E61)</f>
        <v/>
      </c>
      <c r="I164" s="109">
        <f>IF(OR($A164="",NOT(OR($B164="Necessidade",$B164="Desejo",$B164="Poupança"))),"",'Fluxo anual'!F61)</f>
        <v/>
      </c>
      <c r="J164" s="109">
        <f>IF(OR($A164="",NOT(OR($B164="Necessidade",$B164="Desejo",$B164="Poupança"))),"",'Fluxo anual'!G61)</f>
        <v/>
      </c>
      <c r="K164" s="109">
        <f>IF(OR($A164="",NOT(OR($B164="Necessidade",$B164="Desejo",$B164="Poupança"))),"",'Fluxo anual'!H61)</f>
        <v/>
      </c>
      <c r="L164" s="109">
        <f>IF(OR($A164="",NOT(OR($B164="Necessidade",$B164="Desejo",$B164="Poupança"))),"",'Fluxo anual'!I61)</f>
        <v/>
      </c>
      <c r="M164" s="109">
        <f>IF(OR($A164="",NOT(OR($B164="Necessidade",$B164="Desejo",$B164="Poupança"))),"",'Fluxo anual'!J61)</f>
        <v/>
      </c>
      <c r="N164" s="109">
        <f>IF(OR($A164="",NOT(OR($B164="Necessidade",$B164="Desejo",$B164="Poupança"))),"",'Fluxo anual'!K61)</f>
        <v/>
      </c>
      <c r="O164" s="109">
        <f>IF(OR($A164="",NOT(OR($B164="Necessidade",$B164="Desejo",$B164="Poupança"))),"",'Fluxo anual'!L61)</f>
        <v/>
      </c>
      <c r="P164" s="109">
        <f>IF(OR($A164="",NOT(OR($B164="Necessidade",$B164="Desejo",$B164="Poupança"))),"",'Fluxo anual'!M61)</f>
        <v/>
      </c>
      <c r="Q164" s="109">
        <f>IF(OR($A164="",NOT(OR($B164="Necessidade",$B164="Desejo",$B164="Poupança"))),"",'Fluxo anual'!N61)</f>
        <v/>
      </c>
      <c r="R164" s="85">
        <f>IF($A164="","",SUM(F164:Q164))</f>
        <v/>
      </c>
    </row>
    <row r="165">
      <c r="A165" s="75">
        <f>IF('Fluxo anual'!A62="","",'Fluxo anual'!A62)</f>
        <v/>
      </c>
      <c r="B165" s="75">
        <f>IF($A165="","",'Fluxo anual'!B62)</f>
        <v/>
      </c>
      <c r="C165" s="108" t="n"/>
      <c r="D165" s="108" t="n"/>
      <c r="E165" s="108" t="n"/>
      <c r="F165" s="109">
        <f>IF(OR($A165="",NOT(OR($B165="Necessidade",$B165="Desejo",$B165="Poupança"))),"",'Fluxo anual'!C62)</f>
        <v/>
      </c>
      <c r="G165" s="109">
        <f>IF(OR($A165="",NOT(OR($B165="Necessidade",$B165="Desejo",$B165="Poupança"))),"",'Fluxo anual'!D62)</f>
        <v/>
      </c>
      <c r="H165" s="109">
        <f>IF(OR($A165="",NOT(OR($B165="Necessidade",$B165="Desejo",$B165="Poupança"))),"",'Fluxo anual'!E62)</f>
        <v/>
      </c>
      <c r="I165" s="109">
        <f>IF(OR($A165="",NOT(OR($B165="Necessidade",$B165="Desejo",$B165="Poupança"))),"",'Fluxo anual'!F62)</f>
        <v/>
      </c>
      <c r="J165" s="109">
        <f>IF(OR($A165="",NOT(OR($B165="Necessidade",$B165="Desejo",$B165="Poupança"))),"",'Fluxo anual'!G62)</f>
        <v/>
      </c>
      <c r="K165" s="109">
        <f>IF(OR($A165="",NOT(OR($B165="Necessidade",$B165="Desejo",$B165="Poupança"))),"",'Fluxo anual'!H62)</f>
        <v/>
      </c>
      <c r="L165" s="109">
        <f>IF(OR($A165="",NOT(OR($B165="Necessidade",$B165="Desejo",$B165="Poupança"))),"",'Fluxo anual'!I62)</f>
        <v/>
      </c>
      <c r="M165" s="109">
        <f>IF(OR($A165="",NOT(OR($B165="Necessidade",$B165="Desejo",$B165="Poupança"))),"",'Fluxo anual'!J62)</f>
        <v/>
      </c>
      <c r="N165" s="109">
        <f>IF(OR($A165="",NOT(OR($B165="Necessidade",$B165="Desejo",$B165="Poupança"))),"",'Fluxo anual'!K62)</f>
        <v/>
      </c>
      <c r="O165" s="109">
        <f>IF(OR($A165="",NOT(OR($B165="Necessidade",$B165="Desejo",$B165="Poupança"))),"",'Fluxo anual'!L62)</f>
        <v/>
      </c>
      <c r="P165" s="109">
        <f>IF(OR($A165="",NOT(OR($B165="Necessidade",$B165="Desejo",$B165="Poupança"))),"",'Fluxo anual'!M62)</f>
        <v/>
      </c>
      <c r="Q165" s="109">
        <f>IF(OR($A165="",NOT(OR($B165="Necessidade",$B165="Desejo",$B165="Poupança"))),"",'Fluxo anual'!N62)</f>
        <v/>
      </c>
      <c r="R165" s="85">
        <f>IF($A165="","",SUM(F165:Q165))</f>
        <v/>
      </c>
    </row>
    <row r="166">
      <c r="A166" s="75">
        <f>IF('Fluxo anual'!A63="","",'Fluxo anual'!A63)</f>
        <v/>
      </c>
      <c r="B166" s="75">
        <f>IF($A166="","",'Fluxo anual'!B63)</f>
        <v/>
      </c>
      <c r="C166" s="108" t="n"/>
      <c r="D166" s="108" t="n"/>
      <c r="E166" s="108" t="n"/>
      <c r="F166" s="109">
        <f>IF(OR($A166="",NOT(OR($B166="Necessidade",$B166="Desejo",$B166="Poupança"))),"",'Fluxo anual'!C63)</f>
        <v/>
      </c>
      <c r="G166" s="109">
        <f>IF(OR($A166="",NOT(OR($B166="Necessidade",$B166="Desejo",$B166="Poupança"))),"",'Fluxo anual'!D63)</f>
        <v/>
      </c>
      <c r="H166" s="109">
        <f>IF(OR($A166="",NOT(OR($B166="Necessidade",$B166="Desejo",$B166="Poupança"))),"",'Fluxo anual'!E63)</f>
        <v/>
      </c>
      <c r="I166" s="109">
        <f>IF(OR($A166="",NOT(OR($B166="Necessidade",$B166="Desejo",$B166="Poupança"))),"",'Fluxo anual'!F63)</f>
        <v/>
      </c>
      <c r="J166" s="109">
        <f>IF(OR($A166="",NOT(OR($B166="Necessidade",$B166="Desejo",$B166="Poupança"))),"",'Fluxo anual'!G63)</f>
        <v/>
      </c>
      <c r="K166" s="109">
        <f>IF(OR($A166="",NOT(OR($B166="Necessidade",$B166="Desejo",$B166="Poupança"))),"",'Fluxo anual'!H63)</f>
        <v/>
      </c>
      <c r="L166" s="109">
        <f>IF(OR($A166="",NOT(OR($B166="Necessidade",$B166="Desejo",$B166="Poupança"))),"",'Fluxo anual'!I63)</f>
        <v/>
      </c>
      <c r="M166" s="109">
        <f>IF(OR($A166="",NOT(OR($B166="Necessidade",$B166="Desejo",$B166="Poupança"))),"",'Fluxo anual'!J63)</f>
        <v/>
      </c>
      <c r="N166" s="109">
        <f>IF(OR($A166="",NOT(OR($B166="Necessidade",$B166="Desejo",$B166="Poupança"))),"",'Fluxo anual'!K63)</f>
        <v/>
      </c>
      <c r="O166" s="109">
        <f>IF(OR($A166="",NOT(OR($B166="Necessidade",$B166="Desejo",$B166="Poupança"))),"",'Fluxo anual'!L63)</f>
        <v/>
      </c>
      <c r="P166" s="109">
        <f>IF(OR($A166="",NOT(OR($B166="Necessidade",$B166="Desejo",$B166="Poupança"))),"",'Fluxo anual'!M63)</f>
        <v/>
      </c>
      <c r="Q166" s="109">
        <f>IF(OR($A166="",NOT(OR($B166="Necessidade",$B166="Desejo",$B166="Poupança"))),"",'Fluxo anual'!N63)</f>
        <v/>
      </c>
      <c r="R166" s="85">
        <f>IF($A166="","",SUM(F166:Q166))</f>
        <v/>
      </c>
    </row>
    <row r="167">
      <c r="A167" s="75">
        <f>IF('Fluxo anual'!A64="","",'Fluxo anual'!A64)</f>
        <v/>
      </c>
      <c r="B167" s="75">
        <f>IF($A167="","",'Fluxo anual'!B64)</f>
        <v/>
      </c>
      <c r="C167" s="108" t="n"/>
      <c r="D167" s="108" t="n"/>
      <c r="E167" s="108" t="n"/>
      <c r="F167" s="109">
        <f>IF(OR($A167="",NOT(OR($B167="Necessidade",$B167="Desejo",$B167="Poupança"))),"",'Fluxo anual'!C64)</f>
        <v/>
      </c>
      <c r="G167" s="109">
        <f>IF(OR($A167="",NOT(OR($B167="Necessidade",$B167="Desejo",$B167="Poupança"))),"",'Fluxo anual'!D64)</f>
        <v/>
      </c>
      <c r="H167" s="109">
        <f>IF(OR($A167="",NOT(OR($B167="Necessidade",$B167="Desejo",$B167="Poupança"))),"",'Fluxo anual'!E64)</f>
        <v/>
      </c>
      <c r="I167" s="109">
        <f>IF(OR($A167="",NOT(OR($B167="Necessidade",$B167="Desejo",$B167="Poupança"))),"",'Fluxo anual'!F64)</f>
        <v/>
      </c>
      <c r="J167" s="109">
        <f>IF(OR($A167="",NOT(OR($B167="Necessidade",$B167="Desejo",$B167="Poupança"))),"",'Fluxo anual'!G64)</f>
        <v/>
      </c>
      <c r="K167" s="109">
        <f>IF(OR($A167="",NOT(OR($B167="Necessidade",$B167="Desejo",$B167="Poupança"))),"",'Fluxo anual'!H64)</f>
        <v/>
      </c>
      <c r="L167" s="109">
        <f>IF(OR($A167="",NOT(OR($B167="Necessidade",$B167="Desejo",$B167="Poupança"))),"",'Fluxo anual'!I64)</f>
        <v/>
      </c>
      <c r="M167" s="109">
        <f>IF(OR($A167="",NOT(OR($B167="Necessidade",$B167="Desejo",$B167="Poupança"))),"",'Fluxo anual'!J64)</f>
        <v/>
      </c>
      <c r="N167" s="109">
        <f>IF(OR($A167="",NOT(OR($B167="Necessidade",$B167="Desejo",$B167="Poupança"))),"",'Fluxo anual'!K64)</f>
        <v/>
      </c>
      <c r="O167" s="109">
        <f>IF(OR($A167="",NOT(OR($B167="Necessidade",$B167="Desejo",$B167="Poupança"))),"",'Fluxo anual'!L64)</f>
        <v/>
      </c>
      <c r="P167" s="109">
        <f>IF(OR($A167="",NOT(OR($B167="Necessidade",$B167="Desejo",$B167="Poupança"))),"",'Fluxo anual'!M64)</f>
        <v/>
      </c>
      <c r="Q167" s="109">
        <f>IF(OR($A167="",NOT(OR($B167="Necessidade",$B167="Desejo",$B167="Poupança"))),"",'Fluxo anual'!N64)</f>
        <v/>
      </c>
      <c r="R167" s="85">
        <f>IF($A167="","",SUM(F167:Q167))</f>
        <v/>
      </c>
    </row>
    <row r="168">
      <c r="A168" s="75">
        <f>IF('Fluxo anual'!A65="","",'Fluxo anual'!A65)</f>
        <v/>
      </c>
      <c r="B168" s="75">
        <f>IF($A168="","",'Fluxo anual'!B65)</f>
        <v/>
      </c>
      <c r="C168" s="108" t="n"/>
      <c r="D168" s="108" t="n"/>
      <c r="E168" s="108" t="n"/>
      <c r="F168" s="109">
        <f>IF(OR($A168="",NOT(OR($B168="Necessidade",$B168="Desejo",$B168="Poupança"))),"",'Fluxo anual'!C65)</f>
        <v/>
      </c>
      <c r="G168" s="109">
        <f>IF(OR($A168="",NOT(OR($B168="Necessidade",$B168="Desejo",$B168="Poupança"))),"",'Fluxo anual'!D65)</f>
        <v/>
      </c>
      <c r="H168" s="109">
        <f>IF(OR($A168="",NOT(OR($B168="Necessidade",$B168="Desejo",$B168="Poupança"))),"",'Fluxo anual'!E65)</f>
        <v/>
      </c>
      <c r="I168" s="109">
        <f>IF(OR($A168="",NOT(OR($B168="Necessidade",$B168="Desejo",$B168="Poupança"))),"",'Fluxo anual'!F65)</f>
        <v/>
      </c>
      <c r="J168" s="109">
        <f>IF(OR($A168="",NOT(OR($B168="Necessidade",$B168="Desejo",$B168="Poupança"))),"",'Fluxo anual'!G65)</f>
        <v/>
      </c>
      <c r="K168" s="109">
        <f>IF(OR($A168="",NOT(OR($B168="Necessidade",$B168="Desejo",$B168="Poupança"))),"",'Fluxo anual'!H65)</f>
        <v/>
      </c>
      <c r="L168" s="109">
        <f>IF(OR($A168="",NOT(OR($B168="Necessidade",$B168="Desejo",$B168="Poupança"))),"",'Fluxo anual'!I65)</f>
        <v/>
      </c>
      <c r="M168" s="109">
        <f>IF(OR($A168="",NOT(OR($B168="Necessidade",$B168="Desejo",$B168="Poupança"))),"",'Fluxo anual'!J65)</f>
        <v/>
      </c>
      <c r="N168" s="109">
        <f>IF(OR($A168="",NOT(OR($B168="Necessidade",$B168="Desejo",$B168="Poupança"))),"",'Fluxo anual'!K65)</f>
        <v/>
      </c>
      <c r="O168" s="109">
        <f>IF(OR($A168="",NOT(OR($B168="Necessidade",$B168="Desejo",$B168="Poupança"))),"",'Fluxo anual'!L65)</f>
        <v/>
      </c>
      <c r="P168" s="109">
        <f>IF(OR($A168="",NOT(OR($B168="Necessidade",$B168="Desejo",$B168="Poupança"))),"",'Fluxo anual'!M65)</f>
        <v/>
      </c>
      <c r="Q168" s="109">
        <f>IF(OR($A168="",NOT(OR($B168="Necessidade",$B168="Desejo",$B168="Poupança"))),"",'Fluxo anual'!N65)</f>
        <v/>
      </c>
      <c r="R168" s="85">
        <f>IF($A168="","",SUM(F168:Q168))</f>
        <v/>
      </c>
    </row>
    <row r="169">
      <c r="A169" s="75">
        <f>IF('Fluxo anual'!A66="","",'Fluxo anual'!A66)</f>
        <v/>
      </c>
      <c r="B169" s="75">
        <f>IF($A169="","",'Fluxo anual'!B66)</f>
        <v/>
      </c>
      <c r="C169" s="108" t="n"/>
      <c r="D169" s="108" t="n"/>
      <c r="E169" s="108" t="n"/>
      <c r="F169" s="109">
        <f>IF(OR($A169="",NOT(OR($B169="Necessidade",$B169="Desejo",$B169="Poupança"))),"",'Fluxo anual'!C66)</f>
        <v/>
      </c>
      <c r="G169" s="109">
        <f>IF(OR($A169="",NOT(OR($B169="Necessidade",$B169="Desejo",$B169="Poupança"))),"",'Fluxo anual'!D66)</f>
        <v/>
      </c>
      <c r="H169" s="109">
        <f>IF(OR($A169="",NOT(OR($B169="Necessidade",$B169="Desejo",$B169="Poupança"))),"",'Fluxo anual'!E66)</f>
        <v/>
      </c>
      <c r="I169" s="109">
        <f>IF(OR($A169="",NOT(OR($B169="Necessidade",$B169="Desejo",$B169="Poupança"))),"",'Fluxo anual'!F66)</f>
        <v/>
      </c>
      <c r="J169" s="109">
        <f>IF(OR($A169="",NOT(OR($B169="Necessidade",$B169="Desejo",$B169="Poupança"))),"",'Fluxo anual'!G66)</f>
        <v/>
      </c>
      <c r="K169" s="109">
        <f>IF(OR($A169="",NOT(OR($B169="Necessidade",$B169="Desejo",$B169="Poupança"))),"",'Fluxo anual'!H66)</f>
        <v/>
      </c>
      <c r="L169" s="109">
        <f>IF(OR($A169="",NOT(OR($B169="Necessidade",$B169="Desejo",$B169="Poupança"))),"",'Fluxo anual'!I66)</f>
        <v/>
      </c>
      <c r="M169" s="109">
        <f>IF(OR($A169="",NOT(OR($B169="Necessidade",$B169="Desejo",$B169="Poupança"))),"",'Fluxo anual'!J66)</f>
        <v/>
      </c>
      <c r="N169" s="109">
        <f>IF(OR($A169="",NOT(OR($B169="Necessidade",$B169="Desejo",$B169="Poupança"))),"",'Fluxo anual'!K66)</f>
        <v/>
      </c>
      <c r="O169" s="109">
        <f>IF(OR($A169="",NOT(OR($B169="Necessidade",$B169="Desejo",$B169="Poupança"))),"",'Fluxo anual'!L66)</f>
        <v/>
      </c>
      <c r="P169" s="109">
        <f>IF(OR($A169="",NOT(OR($B169="Necessidade",$B169="Desejo",$B169="Poupança"))),"",'Fluxo anual'!M66)</f>
        <v/>
      </c>
      <c r="Q169" s="109">
        <f>IF(OR($A169="",NOT(OR($B169="Necessidade",$B169="Desejo",$B169="Poupança"))),"",'Fluxo anual'!N66)</f>
        <v/>
      </c>
      <c r="R169" s="85">
        <f>IF($A169="","",SUM(F169:Q169))</f>
        <v/>
      </c>
    </row>
    <row r="170">
      <c r="A170" s="75">
        <f>IF('Fluxo anual'!A67="","",'Fluxo anual'!A67)</f>
        <v/>
      </c>
      <c r="B170" s="75">
        <f>IF($A170="","",'Fluxo anual'!B67)</f>
        <v/>
      </c>
      <c r="C170" s="108" t="n"/>
      <c r="D170" s="108" t="n"/>
      <c r="E170" s="108" t="n"/>
      <c r="F170" s="109">
        <f>IF(OR($A170="",NOT(OR($B170="Necessidade",$B170="Desejo",$B170="Poupança"))),"",'Fluxo anual'!C67)</f>
        <v/>
      </c>
      <c r="G170" s="109">
        <f>IF(OR($A170="",NOT(OR($B170="Necessidade",$B170="Desejo",$B170="Poupança"))),"",'Fluxo anual'!D67)</f>
        <v/>
      </c>
      <c r="H170" s="109">
        <f>IF(OR($A170="",NOT(OR($B170="Necessidade",$B170="Desejo",$B170="Poupança"))),"",'Fluxo anual'!E67)</f>
        <v/>
      </c>
      <c r="I170" s="109">
        <f>IF(OR($A170="",NOT(OR($B170="Necessidade",$B170="Desejo",$B170="Poupança"))),"",'Fluxo anual'!F67)</f>
        <v/>
      </c>
      <c r="J170" s="109">
        <f>IF(OR($A170="",NOT(OR($B170="Necessidade",$B170="Desejo",$B170="Poupança"))),"",'Fluxo anual'!G67)</f>
        <v/>
      </c>
      <c r="K170" s="109">
        <f>IF(OR($A170="",NOT(OR($B170="Necessidade",$B170="Desejo",$B170="Poupança"))),"",'Fluxo anual'!H67)</f>
        <v/>
      </c>
      <c r="L170" s="109">
        <f>IF(OR($A170="",NOT(OR($B170="Necessidade",$B170="Desejo",$B170="Poupança"))),"",'Fluxo anual'!I67)</f>
        <v/>
      </c>
      <c r="M170" s="109">
        <f>IF(OR($A170="",NOT(OR($B170="Necessidade",$B170="Desejo",$B170="Poupança"))),"",'Fluxo anual'!J67)</f>
        <v/>
      </c>
      <c r="N170" s="109">
        <f>IF(OR($A170="",NOT(OR($B170="Necessidade",$B170="Desejo",$B170="Poupança"))),"",'Fluxo anual'!K67)</f>
        <v/>
      </c>
      <c r="O170" s="109">
        <f>IF(OR($A170="",NOT(OR($B170="Necessidade",$B170="Desejo",$B170="Poupança"))),"",'Fluxo anual'!L67)</f>
        <v/>
      </c>
      <c r="P170" s="109">
        <f>IF(OR($A170="",NOT(OR($B170="Necessidade",$B170="Desejo",$B170="Poupança"))),"",'Fluxo anual'!M67)</f>
        <v/>
      </c>
      <c r="Q170" s="109">
        <f>IF(OR($A170="",NOT(OR($B170="Necessidade",$B170="Desejo",$B170="Poupança"))),"",'Fluxo anual'!N67)</f>
        <v/>
      </c>
      <c r="R170" s="85">
        <f>IF($A170="","",SUM(F170:Q170))</f>
        <v/>
      </c>
    </row>
    <row r="171">
      <c r="A171" s="75">
        <f>IF('Fluxo anual'!A68="","",'Fluxo anual'!A68)</f>
        <v/>
      </c>
      <c r="B171" s="75">
        <f>IF($A171="","",'Fluxo anual'!B68)</f>
        <v/>
      </c>
      <c r="C171" s="108" t="n"/>
      <c r="D171" s="108" t="n"/>
      <c r="E171" s="108" t="n"/>
      <c r="F171" s="109">
        <f>IF(OR($A171="",NOT(OR($B171="Necessidade",$B171="Desejo",$B171="Poupança"))),"",'Fluxo anual'!C68)</f>
        <v/>
      </c>
      <c r="G171" s="109">
        <f>IF(OR($A171="",NOT(OR($B171="Necessidade",$B171="Desejo",$B171="Poupança"))),"",'Fluxo anual'!D68)</f>
        <v/>
      </c>
      <c r="H171" s="109">
        <f>IF(OR($A171="",NOT(OR($B171="Necessidade",$B171="Desejo",$B171="Poupança"))),"",'Fluxo anual'!E68)</f>
        <v/>
      </c>
      <c r="I171" s="109">
        <f>IF(OR($A171="",NOT(OR($B171="Necessidade",$B171="Desejo",$B171="Poupança"))),"",'Fluxo anual'!F68)</f>
        <v/>
      </c>
      <c r="J171" s="109">
        <f>IF(OR($A171="",NOT(OR($B171="Necessidade",$B171="Desejo",$B171="Poupança"))),"",'Fluxo anual'!G68)</f>
        <v/>
      </c>
      <c r="K171" s="109">
        <f>IF(OR($A171="",NOT(OR($B171="Necessidade",$B171="Desejo",$B171="Poupança"))),"",'Fluxo anual'!H68)</f>
        <v/>
      </c>
      <c r="L171" s="109">
        <f>IF(OR($A171="",NOT(OR($B171="Necessidade",$B171="Desejo",$B171="Poupança"))),"",'Fluxo anual'!I68)</f>
        <v/>
      </c>
      <c r="M171" s="109">
        <f>IF(OR($A171="",NOT(OR($B171="Necessidade",$B171="Desejo",$B171="Poupança"))),"",'Fluxo anual'!J68)</f>
        <v/>
      </c>
      <c r="N171" s="109">
        <f>IF(OR($A171="",NOT(OR($B171="Necessidade",$B171="Desejo",$B171="Poupança"))),"",'Fluxo anual'!K68)</f>
        <v/>
      </c>
      <c r="O171" s="109">
        <f>IF(OR($A171="",NOT(OR($B171="Necessidade",$B171="Desejo",$B171="Poupança"))),"",'Fluxo anual'!L68)</f>
        <v/>
      </c>
      <c r="P171" s="109">
        <f>IF(OR($A171="",NOT(OR($B171="Necessidade",$B171="Desejo",$B171="Poupança"))),"",'Fluxo anual'!M68)</f>
        <v/>
      </c>
      <c r="Q171" s="109">
        <f>IF(OR($A171="",NOT(OR($B171="Necessidade",$B171="Desejo",$B171="Poupança"))),"",'Fluxo anual'!N68)</f>
        <v/>
      </c>
      <c r="R171" s="85">
        <f>IF($A171="","",SUM(F171:Q171))</f>
        <v/>
      </c>
    </row>
    <row r="172">
      <c r="A172" s="75">
        <f>IF('Fluxo anual'!A69="","",'Fluxo anual'!A69)</f>
        <v/>
      </c>
      <c r="B172" s="75">
        <f>IF($A172="","",'Fluxo anual'!B69)</f>
        <v/>
      </c>
      <c r="C172" s="108" t="n"/>
      <c r="D172" s="108" t="n"/>
      <c r="E172" s="108" t="n"/>
      <c r="F172" s="109">
        <f>IF(OR($A172="",NOT(OR($B172="Necessidade",$B172="Desejo",$B172="Poupança"))),"",'Fluxo anual'!C69)</f>
        <v/>
      </c>
      <c r="G172" s="109">
        <f>IF(OR($A172="",NOT(OR($B172="Necessidade",$B172="Desejo",$B172="Poupança"))),"",'Fluxo anual'!D69)</f>
        <v/>
      </c>
      <c r="H172" s="109">
        <f>IF(OR($A172="",NOT(OR($B172="Necessidade",$B172="Desejo",$B172="Poupança"))),"",'Fluxo anual'!E69)</f>
        <v/>
      </c>
      <c r="I172" s="109">
        <f>IF(OR($A172="",NOT(OR($B172="Necessidade",$B172="Desejo",$B172="Poupança"))),"",'Fluxo anual'!F69)</f>
        <v/>
      </c>
      <c r="J172" s="109">
        <f>IF(OR($A172="",NOT(OR($B172="Necessidade",$B172="Desejo",$B172="Poupança"))),"",'Fluxo anual'!G69)</f>
        <v/>
      </c>
      <c r="K172" s="109">
        <f>IF(OR($A172="",NOT(OR($B172="Necessidade",$B172="Desejo",$B172="Poupança"))),"",'Fluxo anual'!H69)</f>
        <v/>
      </c>
      <c r="L172" s="109">
        <f>IF(OR($A172="",NOT(OR($B172="Necessidade",$B172="Desejo",$B172="Poupança"))),"",'Fluxo anual'!I69)</f>
        <v/>
      </c>
      <c r="M172" s="109">
        <f>IF(OR($A172="",NOT(OR($B172="Necessidade",$B172="Desejo",$B172="Poupança"))),"",'Fluxo anual'!J69)</f>
        <v/>
      </c>
      <c r="N172" s="109">
        <f>IF(OR($A172="",NOT(OR($B172="Necessidade",$B172="Desejo",$B172="Poupança"))),"",'Fluxo anual'!K69)</f>
        <v/>
      </c>
      <c r="O172" s="109">
        <f>IF(OR($A172="",NOT(OR($B172="Necessidade",$B172="Desejo",$B172="Poupança"))),"",'Fluxo anual'!L69)</f>
        <v/>
      </c>
      <c r="P172" s="109">
        <f>IF(OR($A172="",NOT(OR($B172="Necessidade",$B172="Desejo",$B172="Poupança"))),"",'Fluxo anual'!M69)</f>
        <v/>
      </c>
      <c r="Q172" s="109">
        <f>IF(OR($A172="",NOT(OR($B172="Necessidade",$B172="Desejo",$B172="Poupança"))),"",'Fluxo anual'!N69)</f>
        <v/>
      </c>
      <c r="R172" s="85">
        <f>IF($A172="","",SUM(F172:Q172))</f>
        <v/>
      </c>
    </row>
    <row r="173">
      <c r="A173" s="75">
        <f>IF('Fluxo anual'!A70="","",'Fluxo anual'!A70)</f>
        <v/>
      </c>
      <c r="B173" s="75">
        <f>IF($A173="","",'Fluxo anual'!B70)</f>
        <v/>
      </c>
      <c r="C173" s="108" t="n"/>
      <c r="D173" s="108" t="n"/>
      <c r="E173" s="108" t="n"/>
      <c r="F173" s="109">
        <f>IF(OR($A173="",NOT(OR($B173="Necessidade",$B173="Desejo",$B173="Poupança"))),"",'Fluxo anual'!C70)</f>
        <v/>
      </c>
      <c r="G173" s="109">
        <f>IF(OR($A173="",NOT(OR($B173="Necessidade",$B173="Desejo",$B173="Poupança"))),"",'Fluxo anual'!D70)</f>
        <v/>
      </c>
      <c r="H173" s="109">
        <f>IF(OR($A173="",NOT(OR($B173="Necessidade",$B173="Desejo",$B173="Poupança"))),"",'Fluxo anual'!E70)</f>
        <v/>
      </c>
      <c r="I173" s="109">
        <f>IF(OR($A173="",NOT(OR($B173="Necessidade",$B173="Desejo",$B173="Poupança"))),"",'Fluxo anual'!F70)</f>
        <v/>
      </c>
      <c r="J173" s="109">
        <f>IF(OR($A173="",NOT(OR($B173="Necessidade",$B173="Desejo",$B173="Poupança"))),"",'Fluxo anual'!G70)</f>
        <v/>
      </c>
      <c r="K173" s="109">
        <f>IF(OR($A173="",NOT(OR($B173="Necessidade",$B173="Desejo",$B173="Poupança"))),"",'Fluxo anual'!H70)</f>
        <v/>
      </c>
      <c r="L173" s="109">
        <f>IF(OR($A173="",NOT(OR($B173="Necessidade",$B173="Desejo",$B173="Poupança"))),"",'Fluxo anual'!I70)</f>
        <v/>
      </c>
      <c r="M173" s="109">
        <f>IF(OR($A173="",NOT(OR($B173="Necessidade",$B173="Desejo",$B173="Poupança"))),"",'Fluxo anual'!J70)</f>
        <v/>
      </c>
      <c r="N173" s="109">
        <f>IF(OR($A173="",NOT(OR($B173="Necessidade",$B173="Desejo",$B173="Poupança"))),"",'Fluxo anual'!K70)</f>
        <v/>
      </c>
      <c r="O173" s="109">
        <f>IF(OR($A173="",NOT(OR($B173="Necessidade",$B173="Desejo",$B173="Poupança"))),"",'Fluxo anual'!L70)</f>
        <v/>
      </c>
      <c r="P173" s="109">
        <f>IF(OR($A173="",NOT(OR($B173="Necessidade",$B173="Desejo",$B173="Poupança"))),"",'Fluxo anual'!M70)</f>
        <v/>
      </c>
      <c r="Q173" s="109">
        <f>IF(OR($A173="",NOT(OR($B173="Necessidade",$B173="Desejo",$B173="Poupança"))),"",'Fluxo anual'!N70)</f>
        <v/>
      </c>
      <c r="R173" s="85">
        <f>IF($A173="","",SUM(F173:Q173))</f>
        <v/>
      </c>
    </row>
    <row r="174">
      <c r="A174" s="75">
        <f>IF('Fluxo anual'!A71="","",'Fluxo anual'!A71)</f>
        <v/>
      </c>
      <c r="B174" s="75">
        <f>IF($A174="","",'Fluxo anual'!B71)</f>
        <v/>
      </c>
      <c r="C174" s="108" t="n"/>
      <c r="D174" s="108" t="n"/>
      <c r="E174" s="108" t="n"/>
      <c r="F174" s="109">
        <f>IF(OR($A174="",NOT(OR($B174="Necessidade",$B174="Desejo",$B174="Poupança"))),"",'Fluxo anual'!C71)</f>
        <v/>
      </c>
      <c r="G174" s="109">
        <f>IF(OR($A174="",NOT(OR($B174="Necessidade",$B174="Desejo",$B174="Poupança"))),"",'Fluxo anual'!D71)</f>
        <v/>
      </c>
      <c r="H174" s="109">
        <f>IF(OR($A174="",NOT(OR($B174="Necessidade",$B174="Desejo",$B174="Poupança"))),"",'Fluxo anual'!E71)</f>
        <v/>
      </c>
      <c r="I174" s="109">
        <f>IF(OR($A174="",NOT(OR($B174="Necessidade",$B174="Desejo",$B174="Poupança"))),"",'Fluxo anual'!F71)</f>
        <v/>
      </c>
      <c r="J174" s="109">
        <f>IF(OR($A174="",NOT(OR($B174="Necessidade",$B174="Desejo",$B174="Poupança"))),"",'Fluxo anual'!G71)</f>
        <v/>
      </c>
      <c r="K174" s="109">
        <f>IF(OR($A174="",NOT(OR($B174="Necessidade",$B174="Desejo",$B174="Poupança"))),"",'Fluxo anual'!H71)</f>
        <v/>
      </c>
      <c r="L174" s="109">
        <f>IF(OR($A174="",NOT(OR($B174="Necessidade",$B174="Desejo",$B174="Poupança"))),"",'Fluxo anual'!I71)</f>
        <v/>
      </c>
      <c r="M174" s="109">
        <f>IF(OR($A174="",NOT(OR($B174="Necessidade",$B174="Desejo",$B174="Poupança"))),"",'Fluxo anual'!J71)</f>
        <v/>
      </c>
      <c r="N174" s="109">
        <f>IF(OR($A174="",NOT(OR($B174="Necessidade",$B174="Desejo",$B174="Poupança"))),"",'Fluxo anual'!K71)</f>
        <v/>
      </c>
      <c r="O174" s="109">
        <f>IF(OR($A174="",NOT(OR($B174="Necessidade",$B174="Desejo",$B174="Poupança"))),"",'Fluxo anual'!L71)</f>
        <v/>
      </c>
      <c r="P174" s="109">
        <f>IF(OR($A174="",NOT(OR($B174="Necessidade",$B174="Desejo",$B174="Poupança"))),"",'Fluxo anual'!M71)</f>
        <v/>
      </c>
      <c r="Q174" s="109">
        <f>IF(OR($A174="",NOT(OR($B174="Necessidade",$B174="Desejo",$B174="Poupança"))),"",'Fluxo anual'!N71)</f>
        <v/>
      </c>
      <c r="R174" s="85">
        <f>IF($A174="","",SUM(F174:Q174))</f>
        <v/>
      </c>
    </row>
    <row r="175">
      <c r="A175" s="75">
        <f>IF('Fluxo anual'!A72="","",'Fluxo anual'!A72)</f>
        <v/>
      </c>
      <c r="B175" s="75">
        <f>IF($A175="","",'Fluxo anual'!B72)</f>
        <v/>
      </c>
      <c r="C175" s="108" t="n"/>
      <c r="D175" s="108" t="n"/>
      <c r="E175" s="108" t="n"/>
      <c r="F175" s="109">
        <f>IF(OR($A175="",NOT(OR($B175="Necessidade",$B175="Desejo",$B175="Poupança"))),"",'Fluxo anual'!C72)</f>
        <v/>
      </c>
      <c r="G175" s="109">
        <f>IF(OR($A175="",NOT(OR($B175="Necessidade",$B175="Desejo",$B175="Poupança"))),"",'Fluxo anual'!D72)</f>
        <v/>
      </c>
      <c r="H175" s="109">
        <f>IF(OR($A175="",NOT(OR($B175="Necessidade",$B175="Desejo",$B175="Poupança"))),"",'Fluxo anual'!E72)</f>
        <v/>
      </c>
      <c r="I175" s="109">
        <f>IF(OR($A175="",NOT(OR($B175="Necessidade",$B175="Desejo",$B175="Poupança"))),"",'Fluxo anual'!F72)</f>
        <v/>
      </c>
      <c r="J175" s="109">
        <f>IF(OR($A175="",NOT(OR($B175="Necessidade",$B175="Desejo",$B175="Poupança"))),"",'Fluxo anual'!G72)</f>
        <v/>
      </c>
      <c r="K175" s="109">
        <f>IF(OR($A175="",NOT(OR($B175="Necessidade",$B175="Desejo",$B175="Poupança"))),"",'Fluxo anual'!H72)</f>
        <v/>
      </c>
      <c r="L175" s="109">
        <f>IF(OR($A175="",NOT(OR($B175="Necessidade",$B175="Desejo",$B175="Poupança"))),"",'Fluxo anual'!I72)</f>
        <v/>
      </c>
      <c r="M175" s="109">
        <f>IF(OR($A175="",NOT(OR($B175="Necessidade",$B175="Desejo",$B175="Poupança"))),"",'Fluxo anual'!J72)</f>
        <v/>
      </c>
      <c r="N175" s="109">
        <f>IF(OR($A175="",NOT(OR($B175="Necessidade",$B175="Desejo",$B175="Poupança"))),"",'Fluxo anual'!K72)</f>
        <v/>
      </c>
      <c r="O175" s="109">
        <f>IF(OR($A175="",NOT(OR($B175="Necessidade",$B175="Desejo",$B175="Poupança"))),"",'Fluxo anual'!L72)</f>
        <v/>
      </c>
      <c r="P175" s="109">
        <f>IF(OR($A175="",NOT(OR($B175="Necessidade",$B175="Desejo",$B175="Poupança"))),"",'Fluxo anual'!M72)</f>
        <v/>
      </c>
      <c r="Q175" s="109">
        <f>IF(OR($A175="",NOT(OR($B175="Necessidade",$B175="Desejo",$B175="Poupança"))),"",'Fluxo anual'!N72)</f>
        <v/>
      </c>
      <c r="R175" s="85">
        <f>IF($A175="","",SUM(F175:Q175))</f>
        <v/>
      </c>
    </row>
    <row r="176">
      <c r="A176" s="75">
        <f>IF('Fluxo anual'!A73="","",'Fluxo anual'!A73)</f>
        <v/>
      </c>
      <c r="B176" s="75">
        <f>IF($A176="","",'Fluxo anual'!B73)</f>
        <v/>
      </c>
      <c r="C176" s="108" t="n"/>
      <c r="D176" s="108" t="n"/>
      <c r="E176" s="108" t="n"/>
      <c r="F176" s="109">
        <f>IF(OR($A176="",NOT(OR($B176="Necessidade",$B176="Desejo",$B176="Poupança"))),"",'Fluxo anual'!C73)</f>
        <v/>
      </c>
      <c r="G176" s="109">
        <f>IF(OR($A176="",NOT(OR($B176="Necessidade",$B176="Desejo",$B176="Poupança"))),"",'Fluxo anual'!D73)</f>
        <v/>
      </c>
      <c r="H176" s="109">
        <f>IF(OR($A176="",NOT(OR($B176="Necessidade",$B176="Desejo",$B176="Poupança"))),"",'Fluxo anual'!E73)</f>
        <v/>
      </c>
      <c r="I176" s="109">
        <f>IF(OR($A176="",NOT(OR($B176="Necessidade",$B176="Desejo",$B176="Poupança"))),"",'Fluxo anual'!F73)</f>
        <v/>
      </c>
      <c r="J176" s="109">
        <f>IF(OR($A176="",NOT(OR($B176="Necessidade",$B176="Desejo",$B176="Poupança"))),"",'Fluxo anual'!G73)</f>
        <v/>
      </c>
      <c r="K176" s="109">
        <f>IF(OR($A176="",NOT(OR($B176="Necessidade",$B176="Desejo",$B176="Poupança"))),"",'Fluxo anual'!H73)</f>
        <v/>
      </c>
      <c r="L176" s="109">
        <f>IF(OR($A176="",NOT(OR($B176="Necessidade",$B176="Desejo",$B176="Poupança"))),"",'Fluxo anual'!I73)</f>
        <v/>
      </c>
      <c r="M176" s="109">
        <f>IF(OR($A176="",NOT(OR($B176="Necessidade",$B176="Desejo",$B176="Poupança"))),"",'Fluxo anual'!J73)</f>
        <v/>
      </c>
      <c r="N176" s="109">
        <f>IF(OR($A176="",NOT(OR($B176="Necessidade",$B176="Desejo",$B176="Poupança"))),"",'Fluxo anual'!K73)</f>
        <v/>
      </c>
      <c r="O176" s="109">
        <f>IF(OR($A176="",NOT(OR($B176="Necessidade",$B176="Desejo",$B176="Poupança"))),"",'Fluxo anual'!L73)</f>
        <v/>
      </c>
      <c r="P176" s="109">
        <f>IF(OR($A176="",NOT(OR($B176="Necessidade",$B176="Desejo",$B176="Poupança"))),"",'Fluxo anual'!M73)</f>
        <v/>
      </c>
      <c r="Q176" s="109">
        <f>IF(OR($A176="",NOT(OR($B176="Necessidade",$B176="Desejo",$B176="Poupança"))),"",'Fluxo anual'!N73)</f>
        <v/>
      </c>
      <c r="R176" s="85">
        <f>IF($A176="","",SUM(F176:Q176))</f>
        <v/>
      </c>
    </row>
    <row r="177">
      <c r="A177" s="75">
        <f>IF('Fluxo anual'!A74="","",'Fluxo anual'!A74)</f>
        <v/>
      </c>
      <c r="B177" s="75">
        <f>IF($A177="","",'Fluxo anual'!B74)</f>
        <v/>
      </c>
      <c r="C177" s="108" t="n"/>
      <c r="D177" s="108" t="n"/>
      <c r="E177" s="108" t="n"/>
      <c r="F177" s="109">
        <f>IF(OR($A177="",NOT(OR($B177="Necessidade",$B177="Desejo",$B177="Poupança"))),"",'Fluxo anual'!C74)</f>
        <v/>
      </c>
      <c r="G177" s="109">
        <f>IF(OR($A177="",NOT(OR($B177="Necessidade",$B177="Desejo",$B177="Poupança"))),"",'Fluxo anual'!D74)</f>
        <v/>
      </c>
      <c r="H177" s="109">
        <f>IF(OR($A177="",NOT(OR($B177="Necessidade",$B177="Desejo",$B177="Poupança"))),"",'Fluxo anual'!E74)</f>
        <v/>
      </c>
      <c r="I177" s="109">
        <f>IF(OR($A177="",NOT(OR($B177="Necessidade",$B177="Desejo",$B177="Poupança"))),"",'Fluxo anual'!F74)</f>
        <v/>
      </c>
      <c r="J177" s="109">
        <f>IF(OR($A177="",NOT(OR($B177="Necessidade",$B177="Desejo",$B177="Poupança"))),"",'Fluxo anual'!G74)</f>
        <v/>
      </c>
      <c r="K177" s="109">
        <f>IF(OR($A177="",NOT(OR($B177="Necessidade",$B177="Desejo",$B177="Poupança"))),"",'Fluxo anual'!H74)</f>
        <v/>
      </c>
      <c r="L177" s="109">
        <f>IF(OR($A177="",NOT(OR($B177="Necessidade",$B177="Desejo",$B177="Poupança"))),"",'Fluxo anual'!I74)</f>
        <v/>
      </c>
      <c r="M177" s="109">
        <f>IF(OR($A177="",NOT(OR($B177="Necessidade",$B177="Desejo",$B177="Poupança"))),"",'Fluxo anual'!J74)</f>
        <v/>
      </c>
      <c r="N177" s="109">
        <f>IF(OR($A177="",NOT(OR($B177="Necessidade",$B177="Desejo",$B177="Poupança"))),"",'Fluxo anual'!K74)</f>
        <v/>
      </c>
      <c r="O177" s="109">
        <f>IF(OR($A177="",NOT(OR($B177="Necessidade",$B177="Desejo",$B177="Poupança"))),"",'Fluxo anual'!L74)</f>
        <v/>
      </c>
      <c r="P177" s="109">
        <f>IF(OR($A177="",NOT(OR($B177="Necessidade",$B177="Desejo",$B177="Poupança"))),"",'Fluxo anual'!M74)</f>
        <v/>
      </c>
      <c r="Q177" s="109">
        <f>IF(OR($A177="",NOT(OR($B177="Necessidade",$B177="Desejo",$B177="Poupança"))),"",'Fluxo anual'!N74)</f>
        <v/>
      </c>
      <c r="R177" s="85">
        <f>IF($A177="","",SUM(F177:Q177))</f>
        <v/>
      </c>
    </row>
    <row r="178">
      <c r="A178" s="75">
        <f>IF('Fluxo anual'!A75="","",'Fluxo anual'!A75)</f>
        <v/>
      </c>
      <c r="B178" s="75">
        <f>IF($A178="","",'Fluxo anual'!B75)</f>
        <v/>
      </c>
      <c r="C178" s="108" t="n"/>
      <c r="D178" s="108" t="n"/>
      <c r="E178" s="108" t="n"/>
      <c r="F178" s="109">
        <f>IF(OR($A178="",NOT(OR($B178="Necessidade",$B178="Desejo",$B178="Poupança"))),"",'Fluxo anual'!C75)</f>
        <v/>
      </c>
      <c r="G178" s="109">
        <f>IF(OR($A178="",NOT(OR($B178="Necessidade",$B178="Desejo",$B178="Poupança"))),"",'Fluxo anual'!D75)</f>
        <v/>
      </c>
      <c r="H178" s="109">
        <f>IF(OR($A178="",NOT(OR($B178="Necessidade",$B178="Desejo",$B178="Poupança"))),"",'Fluxo anual'!E75)</f>
        <v/>
      </c>
      <c r="I178" s="109">
        <f>IF(OR($A178="",NOT(OR($B178="Necessidade",$B178="Desejo",$B178="Poupança"))),"",'Fluxo anual'!F75)</f>
        <v/>
      </c>
      <c r="J178" s="109">
        <f>IF(OR($A178="",NOT(OR($B178="Necessidade",$B178="Desejo",$B178="Poupança"))),"",'Fluxo anual'!G75)</f>
        <v/>
      </c>
      <c r="K178" s="109">
        <f>IF(OR($A178="",NOT(OR($B178="Necessidade",$B178="Desejo",$B178="Poupança"))),"",'Fluxo anual'!H75)</f>
        <v/>
      </c>
      <c r="L178" s="109">
        <f>IF(OR($A178="",NOT(OR($B178="Necessidade",$B178="Desejo",$B178="Poupança"))),"",'Fluxo anual'!I75)</f>
        <v/>
      </c>
      <c r="M178" s="109">
        <f>IF(OR($A178="",NOT(OR($B178="Necessidade",$B178="Desejo",$B178="Poupança"))),"",'Fluxo anual'!J75)</f>
        <v/>
      </c>
      <c r="N178" s="109">
        <f>IF(OR($A178="",NOT(OR($B178="Necessidade",$B178="Desejo",$B178="Poupança"))),"",'Fluxo anual'!K75)</f>
        <v/>
      </c>
      <c r="O178" s="109">
        <f>IF(OR($A178="",NOT(OR($B178="Necessidade",$B178="Desejo",$B178="Poupança"))),"",'Fluxo anual'!L75)</f>
        <v/>
      </c>
      <c r="P178" s="109">
        <f>IF(OR($A178="",NOT(OR($B178="Necessidade",$B178="Desejo",$B178="Poupança"))),"",'Fluxo anual'!M75)</f>
        <v/>
      </c>
      <c r="Q178" s="109">
        <f>IF(OR($A178="",NOT(OR($B178="Necessidade",$B178="Desejo",$B178="Poupança"))),"",'Fluxo anual'!N75)</f>
        <v/>
      </c>
      <c r="R178" s="85">
        <f>IF($A178="","",SUM(F178:Q178))</f>
        <v/>
      </c>
    </row>
    <row r="179">
      <c r="A179" s="87" t="inlineStr">
        <is>
          <t>Necessidades</t>
        </is>
      </c>
      <c r="B179" s="104" t="n"/>
      <c r="F179" s="88">
        <f>SUMIFS(F$131:F$178,$B$131:$B$178,"Necessidade")</f>
        <v/>
      </c>
      <c r="G179" s="88">
        <f>SUMIFS(G$131:G$178,$B$131:$B$178,"Necessidade")</f>
        <v/>
      </c>
      <c r="H179" s="88">
        <f>SUMIFS(H$131:H$178,$B$131:$B$178,"Necessidade")</f>
        <v/>
      </c>
      <c r="I179" s="88">
        <f>SUMIFS(I$131:I$178,$B$131:$B$178,"Necessidade")</f>
        <v/>
      </c>
      <c r="J179" s="88">
        <f>SUMIFS(J$131:J$178,$B$131:$B$178,"Necessidade")</f>
        <v/>
      </c>
      <c r="K179" s="88">
        <f>SUMIFS(K$131:K$178,$B$131:$B$178,"Necessidade")</f>
        <v/>
      </c>
      <c r="L179" s="88">
        <f>SUMIFS(L$131:L$178,$B$131:$B$178,"Necessidade")</f>
        <v/>
      </c>
      <c r="M179" s="88">
        <f>SUMIFS(M$131:M$178,$B$131:$B$178,"Necessidade")</f>
        <v/>
      </c>
      <c r="N179" s="88">
        <f>SUMIFS(N$131:N$178,$B$131:$B$178,"Necessidade")</f>
        <v/>
      </c>
      <c r="O179" s="88">
        <f>SUMIFS(O$131:O$178,$B$131:$B$178,"Necessidade")</f>
        <v/>
      </c>
      <c r="P179" s="88">
        <f>SUMIFS(P$131:P$178,$B$131:$B$178,"Necessidade")</f>
        <v/>
      </c>
      <c r="Q179" s="88">
        <f>SUMIFS(Q$131:Q$178,$B$131:$B$178,"Necessidade")</f>
        <v/>
      </c>
      <c r="R179" s="88">
        <f>SUMIFS(R$131:R$178,$B$131:$B$178,"Necessidade")</f>
        <v/>
      </c>
    </row>
    <row r="180">
      <c r="A180" s="87" t="inlineStr">
        <is>
          <t>Desejos</t>
        </is>
      </c>
      <c r="B180" s="104" t="n"/>
      <c r="F180" s="88">
        <f>SUMIFS(F$131:F$178,$B$131:$B$178,"Desejo")</f>
        <v/>
      </c>
      <c r="G180" s="88">
        <f>SUMIFS(G$131:G$178,$B$131:$B$178,"Desejo")</f>
        <v/>
      </c>
      <c r="H180" s="88">
        <f>SUMIFS(H$131:H$178,$B$131:$B$178,"Desejo")</f>
        <v/>
      </c>
      <c r="I180" s="88">
        <f>SUMIFS(I$131:I$178,$B$131:$B$178,"Desejo")</f>
        <v/>
      </c>
      <c r="J180" s="88">
        <f>SUMIFS(J$131:J$178,$B$131:$B$178,"Desejo")</f>
        <v/>
      </c>
      <c r="K180" s="88">
        <f>SUMIFS(K$131:K$178,$B$131:$B$178,"Desejo")</f>
        <v/>
      </c>
      <c r="L180" s="88">
        <f>SUMIFS(L$131:L$178,$B$131:$B$178,"Desejo")</f>
        <v/>
      </c>
      <c r="M180" s="88">
        <f>SUMIFS(M$131:M$178,$B$131:$B$178,"Desejo")</f>
        <v/>
      </c>
      <c r="N180" s="88">
        <f>SUMIFS(N$131:N$178,$B$131:$B$178,"Desejo")</f>
        <v/>
      </c>
      <c r="O180" s="88">
        <f>SUMIFS(O$131:O$178,$B$131:$B$178,"Desejo")</f>
        <v/>
      </c>
      <c r="P180" s="88">
        <f>SUMIFS(P$131:P$178,$B$131:$B$178,"Desejo")</f>
        <v/>
      </c>
      <c r="Q180" s="88">
        <f>SUMIFS(Q$131:Q$178,$B$131:$B$178,"Desejo")</f>
        <v/>
      </c>
      <c r="R180" s="88">
        <f>SUMIFS(R$131:R$178,$B$131:$B$178,"Desejo")</f>
        <v/>
      </c>
    </row>
    <row r="181">
      <c r="A181" s="87" t="inlineStr">
        <is>
          <t>Total de despesas (necessidades + desejos)</t>
        </is>
      </c>
      <c r="B181" s="104" t="n"/>
      <c r="F181" s="88">
        <f>F179+F180</f>
        <v/>
      </c>
      <c r="G181" s="88">
        <f>G179+G180</f>
        <v/>
      </c>
      <c r="H181" s="88">
        <f>H179+H180</f>
        <v/>
      </c>
      <c r="I181" s="88">
        <f>I179+I180</f>
        <v/>
      </c>
      <c r="J181" s="88">
        <f>J179+J180</f>
        <v/>
      </c>
      <c r="K181" s="88">
        <f>K179+K180</f>
        <v/>
      </c>
      <c r="L181" s="88">
        <f>L179+L180</f>
        <v/>
      </c>
      <c r="M181" s="88">
        <f>M179+M180</f>
        <v/>
      </c>
      <c r="N181" s="88">
        <f>N179+N180</f>
        <v/>
      </c>
      <c r="O181" s="88">
        <f>O179+O180</f>
        <v/>
      </c>
      <c r="P181" s="88">
        <f>P179+P180</f>
        <v/>
      </c>
      <c r="Q181" s="88">
        <f>Q179+Q180</f>
        <v/>
      </c>
      <c r="R181" s="88">
        <f>R179+R180</f>
        <v/>
      </c>
    </row>
    <row r="182">
      <c r="A182" s="87" t="inlineStr">
        <is>
          <t>Poupança e aportes</t>
        </is>
      </c>
      <c r="B182" s="104" t="n"/>
      <c r="F182" s="88">
        <f>SUMIFS(F$131:F$178,$B$131:$B$178,"Poupança")</f>
        <v/>
      </c>
      <c r="G182" s="88">
        <f>SUMIFS(G$131:G$178,$B$131:$B$178,"Poupança")</f>
        <v/>
      </c>
      <c r="H182" s="88">
        <f>SUMIFS(H$131:H$178,$B$131:$B$178,"Poupança")</f>
        <v/>
      </c>
      <c r="I182" s="88">
        <f>SUMIFS(I$131:I$178,$B$131:$B$178,"Poupança")</f>
        <v/>
      </c>
      <c r="J182" s="88">
        <f>SUMIFS(J$131:J$178,$B$131:$B$178,"Poupança")</f>
        <v/>
      </c>
      <c r="K182" s="88">
        <f>SUMIFS(K$131:K$178,$B$131:$B$178,"Poupança")</f>
        <v/>
      </c>
      <c r="L182" s="88">
        <f>SUMIFS(L$131:L$178,$B$131:$B$178,"Poupança")</f>
        <v/>
      </c>
      <c r="M182" s="88">
        <f>SUMIFS(M$131:M$178,$B$131:$B$178,"Poupança")</f>
        <v/>
      </c>
      <c r="N182" s="88">
        <f>SUMIFS(N$131:N$178,$B$131:$B$178,"Poupança")</f>
        <v/>
      </c>
      <c r="O182" s="88">
        <f>SUMIFS(O$131:O$178,$B$131:$B$178,"Poupança")</f>
        <v/>
      </c>
      <c r="P182" s="88">
        <f>SUMIFS(P$131:P$178,$B$131:$B$178,"Poupança")</f>
        <v/>
      </c>
      <c r="Q182" s="88">
        <f>SUMIFS(Q$131:Q$178,$B$131:$B$178,"Poupança")</f>
        <v/>
      </c>
      <c r="R182" s="88">
        <f>SUMIFS(R$131:R$178,$B$131:$B$178,"Poupança")</f>
        <v/>
      </c>
    </row>
    <row r="185">
      <c r="A185" s="5" t="inlineStr">
        <is>
          <t>Variação no ano: positivo (verde) = dentro do plano / guardou mais; negativo (vermelho) = estourou / guardou menos</t>
        </is>
      </c>
    </row>
    <row r="186" ht="30" customHeight="1">
      <c r="A186" s="44" t="inlineStr">
        <is>
          <t>Categoria</t>
        </is>
      </c>
      <c r="B186" s="44" t="inlineStr">
        <is>
          <t>Grupo</t>
        </is>
      </c>
      <c r="C186" s="44" t="inlineStr"/>
      <c r="D186" s="44" t="inlineStr"/>
      <c r="E186" s="44" t="inlineStr"/>
      <c r="F186" s="44" t="inlineStr">
        <is>
          <t>Jan</t>
        </is>
      </c>
      <c r="G186" s="44" t="inlineStr">
        <is>
          <t>Fev</t>
        </is>
      </c>
      <c r="H186" s="44" t="inlineStr">
        <is>
          <t>Mar</t>
        </is>
      </c>
      <c r="I186" s="44" t="inlineStr">
        <is>
          <t>Abr</t>
        </is>
      </c>
      <c r="J186" s="44" t="inlineStr">
        <is>
          <t>Mai</t>
        </is>
      </c>
      <c r="K186" s="44" t="inlineStr">
        <is>
          <t>Jun</t>
        </is>
      </c>
      <c r="L186" s="44" t="inlineStr">
        <is>
          <t>Jul</t>
        </is>
      </c>
      <c r="M186" s="44" t="inlineStr">
        <is>
          <t>Ago</t>
        </is>
      </c>
      <c r="N186" s="44" t="inlineStr">
        <is>
          <t>Set</t>
        </is>
      </c>
      <c r="O186" s="44" t="inlineStr">
        <is>
          <t>Out</t>
        </is>
      </c>
      <c r="P186" s="44" t="inlineStr">
        <is>
          <t>Nov</t>
        </is>
      </c>
      <c r="Q186" s="44" t="inlineStr">
        <is>
          <t>Dez</t>
        </is>
      </c>
      <c r="R186" s="44" t="inlineStr">
        <is>
          <t>Total do ano</t>
        </is>
      </c>
      <c r="S186" s="44" t="inlineStr">
        <is>
          <t>Variação %</t>
        </is>
      </c>
    </row>
    <row r="187">
      <c r="A187" s="75">
        <f>IF('Fluxo anual'!A28="","",'Fluxo anual'!A28)</f>
        <v/>
      </c>
      <c r="B187" s="75">
        <f>IF($A187="","",'Fluxo anual'!B28)</f>
        <v/>
      </c>
      <c r="C187" s="108" t="n"/>
      <c r="D187" s="108" t="n"/>
      <c r="E187" s="108" t="n"/>
      <c r="F187" s="109">
        <f>IF(OR($A187="",NOT(OR($B187="Necessidade",$B187="Desejo",$B187="Poupança"))),"",IF($B187="Poupança",N(F131)-N(F75),N(F75)-N(F131)))</f>
        <v/>
      </c>
      <c r="G187" s="109">
        <f>IF(OR($A187="",NOT(OR($B187="Necessidade",$B187="Desejo",$B187="Poupança"))),"",IF($B187="Poupança",N(G131)-N(G75),N(G75)-N(G131)))</f>
        <v/>
      </c>
      <c r="H187" s="109">
        <f>IF(OR($A187="",NOT(OR($B187="Necessidade",$B187="Desejo",$B187="Poupança"))),"",IF($B187="Poupança",N(H131)-N(H75),N(H75)-N(H131)))</f>
        <v/>
      </c>
      <c r="I187" s="109">
        <f>IF(OR($A187="",NOT(OR($B187="Necessidade",$B187="Desejo",$B187="Poupança"))),"",IF($B187="Poupança",N(I131)-N(I75),N(I75)-N(I131)))</f>
        <v/>
      </c>
      <c r="J187" s="109">
        <f>IF(OR($A187="",NOT(OR($B187="Necessidade",$B187="Desejo",$B187="Poupança"))),"",IF($B187="Poupança",N(J131)-N(J75),N(J75)-N(J131)))</f>
        <v/>
      </c>
      <c r="K187" s="109">
        <f>IF(OR($A187="",NOT(OR($B187="Necessidade",$B187="Desejo",$B187="Poupança"))),"",IF($B187="Poupança",N(K131)-N(K75),N(K75)-N(K131)))</f>
        <v/>
      </c>
      <c r="L187" s="109">
        <f>IF(OR($A187="",NOT(OR($B187="Necessidade",$B187="Desejo",$B187="Poupança"))),"",IF($B187="Poupança",N(L131)-N(L75),N(L75)-N(L131)))</f>
        <v/>
      </c>
      <c r="M187" s="109">
        <f>IF(OR($A187="",NOT(OR($B187="Necessidade",$B187="Desejo",$B187="Poupança"))),"",IF($B187="Poupança",N(M131)-N(M75),N(M75)-N(M131)))</f>
        <v/>
      </c>
      <c r="N187" s="109">
        <f>IF(OR($A187="",NOT(OR($B187="Necessidade",$B187="Desejo",$B187="Poupança"))),"",IF($B187="Poupança",N(N131)-N(N75),N(N75)-N(N131)))</f>
        <v/>
      </c>
      <c r="O187" s="109">
        <f>IF(OR($A187="",NOT(OR($B187="Necessidade",$B187="Desejo",$B187="Poupança"))),"",IF($B187="Poupança",N(O131)-N(O75),N(O75)-N(O131)))</f>
        <v/>
      </c>
      <c r="P187" s="109">
        <f>IF(OR($A187="",NOT(OR($B187="Necessidade",$B187="Desejo",$B187="Poupança"))),"",IF($B187="Poupança",N(P131)-N(P75),N(P75)-N(P131)))</f>
        <v/>
      </c>
      <c r="Q187" s="109">
        <f>IF(OR($A187="",NOT(OR($B187="Necessidade",$B187="Desejo",$B187="Poupança"))),"",IF($B187="Poupança",N(Q131)-N(Q75),N(Q75)-N(Q131)))</f>
        <v/>
      </c>
      <c r="R187" s="85">
        <f>IF($A187="","",SUM(F187:Q187))</f>
        <v/>
      </c>
      <c r="S187" s="86">
        <f>IF(OR($A187="",N($R75)=0),"",R187/R75)</f>
        <v/>
      </c>
    </row>
    <row r="188">
      <c r="A188" s="75">
        <f>IF('Fluxo anual'!A29="","",'Fluxo anual'!A29)</f>
        <v/>
      </c>
      <c r="B188" s="75">
        <f>IF($A188="","",'Fluxo anual'!B29)</f>
        <v/>
      </c>
      <c r="C188" s="108" t="n"/>
      <c r="D188" s="108" t="n"/>
      <c r="E188" s="108" t="n"/>
      <c r="F188" s="109">
        <f>IF(OR($A188="",NOT(OR($B188="Necessidade",$B188="Desejo",$B188="Poupança"))),"",IF($B188="Poupança",N(F132)-N(F76),N(F76)-N(F132)))</f>
        <v/>
      </c>
      <c r="G188" s="109">
        <f>IF(OR($A188="",NOT(OR($B188="Necessidade",$B188="Desejo",$B188="Poupança"))),"",IF($B188="Poupança",N(G132)-N(G76),N(G76)-N(G132)))</f>
        <v/>
      </c>
      <c r="H188" s="109">
        <f>IF(OR($A188="",NOT(OR($B188="Necessidade",$B188="Desejo",$B188="Poupança"))),"",IF($B188="Poupança",N(H132)-N(H76),N(H76)-N(H132)))</f>
        <v/>
      </c>
      <c r="I188" s="109">
        <f>IF(OR($A188="",NOT(OR($B188="Necessidade",$B188="Desejo",$B188="Poupança"))),"",IF($B188="Poupança",N(I132)-N(I76),N(I76)-N(I132)))</f>
        <v/>
      </c>
      <c r="J188" s="109">
        <f>IF(OR($A188="",NOT(OR($B188="Necessidade",$B188="Desejo",$B188="Poupança"))),"",IF($B188="Poupança",N(J132)-N(J76),N(J76)-N(J132)))</f>
        <v/>
      </c>
      <c r="K188" s="109">
        <f>IF(OR($A188="",NOT(OR($B188="Necessidade",$B188="Desejo",$B188="Poupança"))),"",IF($B188="Poupança",N(K132)-N(K76),N(K76)-N(K132)))</f>
        <v/>
      </c>
      <c r="L188" s="109">
        <f>IF(OR($A188="",NOT(OR($B188="Necessidade",$B188="Desejo",$B188="Poupança"))),"",IF($B188="Poupança",N(L132)-N(L76),N(L76)-N(L132)))</f>
        <v/>
      </c>
      <c r="M188" s="109">
        <f>IF(OR($A188="",NOT(OR($B188="Necessidade",$B188="Desejo",$B188="Poupança"))),"",IF($B188="Poupança",N(M132)-N(M76),N(M76)-N(M132)))</f>
        <v/>
      </c>
      <c r="N188" s="109">
        <f>IF(OR($A188="",NOT(OR($B188="Necessidade",$B188="Desejo",$B188="Poupança"))),"",IF($B188="Poupança",N(N132)-N(N76),N(N76)-N(N132)))</f>
        <v/>
      </c>
      <c r="O188" s="109">
        <f>IF(OR($A188="",NOT(OR($B188="Necessidade",$B188="Desejo",$B188="Poupança"))),"",IF($B188="Poupança",N(O132)-N(O76),N(O76)-N(O132)))</f>
        <v/>
      </c>
      <c r="P188" s="109">
        <f>IF(OR($A188="",NOT(OR($B188="Necessidade",$B188="Desejo",$B188="Poupança"))),"",IF($B188="Poupança",N(P132)-N(P76),N(P76)-N(P132)))</f>
        <v/>
      </c>
      <c r="Q188" s="109">
        <f>IF(OR($A188="",NOT(OR($B188="Necessidade",$B188="Desejo",$B188="Poupança"))),"",IF($B188="Poupança",N(Q132)-N(Q76),N(Q76)-N(Q132)))</f>
        <v/>
      </c>
      <c r="R188" s="85">
        <f>IF($A188="","",SUM(F188:Q188))</f>
        <v/>
      </c>
      <c r="S188" s="86">
        <f>IF(OR($A188="",N($R76)=0),"",R188/R76)</f>
        <v/>
      </c>
    </row>
    <row r="189">
      <c r="A189" s="75">
        <f>IF('Fluxo anual'!A30="","",'Fluxo anual'!A30)</f>
        <v/>
      </c>
      <c r="B189" s="75">
        <f>IF($A189="","",'Fluxo anual'!B30)</f>
        <v/>
      </c>
      <c r="C189" s="108" t="n"/>
      <c r="D189" s="108" t="n"/>
      <c r="E189" s="108" t="n"/>
      <c r="F189" s="109">
        <f>IF(OR($A189="",NOT(OR($B189="Necessidade",$B189="Desejo",$B189="Poupança"))),"",IF($B189="Poupança",N(F133)-N(F77),N(F77)-N(F133)))</f>
        <v/>
      </c>
      <c r="G189" s="109">
        <f>IF(OR($A189="",NOT(OR($B189="Necessidade",$B189="Desejo",$B189="Poupança"))),"",IF($B189="Poupança",N(G133)-N(G77),N(G77)-N(G133)))</f>
        <v/>
      </c>
      <c r="H189" s="109">
        <f>IF(OR($A189="",NOT(OR($B189="Necessidade",$B189="Desejo",$B189="Poupança"))),"",IF($B189="Poupança",N(H133)-N(H77),N(H77)-N(H133)))</f>
        <v/>
      </c>
      <c r="I189" s="109">
        <f>IF(OR($A189="",NOT(OR($B189="Necessidade",$B189="Desejo",$B189="Poupança"))),"",IF($B189="Poupança",N(I133)-N(I77),N(I77)-N(I133)))</f>
        <v/>
      </c>
      <c r="J189" s="109">
        <f>IF(OR($A189="",NOT(OR($B189="Necessidade",$B189="Desejo",$B189="Poupança"))),"",IF($B189="Poupança",N(J133)-N(J77),N(J77)-N(J133)))</f>
        <v/>
      </c>
      <c r="K189" s="109">
        <f>IF(OR($A189="",NOT(OR($B189="Necessidade",$B189="Desejo",$B189="Poupança"))),"",IF($B189="Poupança",N(K133)-N(K77),N(K77)-N(K133)))</f>
        <v/>
      </c>
      <c r="L189" s="109">
        <f>IF(OR($A189="",NOT(OR($B189="Necessidade",$B189="Desejo",$B189="Poupança"))),"",IF($B189="Poupança",N(L133)-N(L77),N(L77)-N(L133)))</f>
        <v/>
      </c>
      <c r="M189" s="109">
        <f>IF(OR($A189="",NOT(OR($B189="Necessidade",$B189="Desejo",$B189="Poupança"))),"",IF($B189="Poupança",N(M133)-N(M77),N(M77)-N(M133)))</f>
        <v/>
      </c>
      <c r="N189" s="109">
        <f>IF(OR($A189="",NOT(OR($B189="Necessidade",$B189="Desejo",$B189="Poupança"))),"",IF($B189="Poupança",N(N133)-N(N77),N(N77)-N(N133)))</f>
        <v/>
      </c>
      <c r="O189" s="109">
        <f>IF(OR($A189="",NOT(OR($B189="Necessidade",$B189="Desejo",$B189="Poupança"))),"",IF($B189="Poupança",N(O133)-N(O77),N(O77)-N(O133)))</f>
        <v/>
      </c>
      <c r="P189" s="109">
        <f>IF(OR($A189="",NOT(OR($B189="Necessidade",$B189="Desejo",$B189="Poupança"))),"",IF($B189="Poupança",N(P133)-N(P77),N(P77)-N(P133)))</f>
        <v/>
      </c>
      <c r="Q189" s="109">
        <f>IF(OR($A189="",NOT(OR($B189="Necessidade",$B189="Desejo",$B189="Poupança"))),"",IF($B189="Poupança",N(Q133)-N(Q77),N(Q77)-N(Q133)))</f>
        <v/>
      </c>
      <c r="R189" s="85">
        <f>IF($A189="","",SUM(F189:Q189))</f>
        <v/>
      </c>
      <c r="S189" s="86">
        <f>IF(OR($A189="",N($R77)=0),"",R189/R77)</f>
        <v/>
      </c>
    </row>
    <row r="190">
      <c r="A190" s="75">
        <f>IF('Fluxo anual'!A31="","",'Fluxo anual'!A31)</f>
        <v/>
      </c>
      <c r="B190" s="75">
        <f>IF($A190="","",'Fluxo anual'!B31)</f>
        <v/>
      </c>
      <c r="C190" s="108" t="n"/>
      <c r="D190" s="108" t="n"/>
      <c r="E190" s="108" t="n"/>
      <c r="F190" s="109">
        <f>IF(OR($A190="",NOT(OR($B190="Necessidade",$B190="Desejo",$B190="Poupança"))),"",IF($B190="Poupança",N(F134)-N(F78),N(F78)-N(F134)))</f>
        <v/>
      </c>
      <c r="G190" s="109">
        <f>IF(OR($A190="",NOT(OR($B190="Necessidade",$B190="Desejo",$B190="Poupança"))),"",IF($B190="Poupança",N(G134)-N(G78),N(G78)-N(G134)))</f>
        <v/>
      </c>
      <c r="H190" s="109">
        <f>IF(OR($A190="",NOT(OR($B190="Necessidade",$B190="Desejo",$B190="Poupança"))),"",IF($B190="Poupança",N(H134)-N(H78),N(H78)-N(H134)))</f>
        <v/>
      </c>
      <c r="I190" s="109">
        <f>IF(OR($A190="",NOT(OR($B190="Necessidade",$B190="Desejo",$B190="Poupança"))),"",IF($B190="Poupança",N(I134)-N(I78),N(I78)-N(I134)))</f>
        <v/>
      </c>
      <c r="J190" s="109">
        <f>IF(OR($A190="",NOT(OR($B190="Necessidade",$B190="Desejo",$B190="Poupança"))),"",IF($B190="Poupança",N(J134)-N(J78),N(J78)-N(J134)))</f>
        <v/>
      </c>
      <c r="K190" s="109">
        <f>IF(OR($A190="",NOT(OR($B190="Necessidade",$B190="Desejo",$B190="Poupança"))),"",IF($B190="Poupança",N(K134)-N(K78),N(K78)-N(K134)))</f>
        <v/>
      </c>
      <c r="L190" s="109">
        <f>IF(OR($A190="",NOT(OR($B190="Necessidade",$B190="Desejo",$B190="Poupança"))),"",IF($B190="Poupança",N(L134)-N(L78),N(L78)-N(L134)))</f>
        <v/>
      </c>
      <c r="M190" s="109">
        <f>IF(OR($A190="",NOT(OR($B190="Necessidade",$B190="Desejo",$B190="Poupança"))),"",IF($B190="Poupança",N(M134)-N(M78),N(M78)-N(M134)))</f>
        <v/>
      </c>
      <c r="N190" s="109">
        <f>IF(OR($A190="",NOT(OR($B190="Necessidade",$B190="Desejo",$B190="Poupança"))),"",IF($B190="Poupança",N(N134)-N(N78),N(N78)-N(N134)))</f>
        <v/>
      </c>
      <c r="O190" s="109">
        <f>IF(OR($A190="",NOT(OR($B190="Necessidade",$B190="Desejo",$B190="Poupança"))),"",IF($B190="Poupança",N(O134)-N(O78),N(O78)-N(O134)))</f>
        <v/>
      </c>
      <c r="P190" s="109">
        <f>IF(OR($A190="",NOT(OR($B190="Necessidade",$B190="Desejo",$B190="Poupança"))),"",IF($B190="Poupança",N(P134)-N(P78),N(P78)-N(P134)))</f>
        <v/>
      </c>
      <c r="Q190" s="109">
        <f>IF(OR($A190="",NOT(OR($B190="Necessidade",$B190="Desejo",$B190="Poupança"))),"",IF($B190="Poupança",N(Q134)-N(Q78),N(Q78)-N(Q134)))</f>
        <v/>
      </c>
      <c r="R190" s="85">
        <f>IF($A190="","",SUM(F190:Q190))</f>
        <v/>
      </c>
      <c r="S190" s="86">
        <f>IF(OR($A190="",N($R78)=0),"",R190/R78)</f>
        <v/>
      </c>
    </row>
    <row r="191">
      <c r="A191" s="75">
        <f>IF('Fluxo anual'!A32="","",'Fluxo anual'!A32)</f>
        <v/>
      </c>
      <c r="B191" s="75">
        <f>IF($A191="","",'Fluxo anual'!B32)</f>
        <v/>
      </c>
      <c r="C191" s="108" t="n"/>
      <c r="D191" s="108" t="n"/>
      <c r="E191" s="108" t="n"/>
      <c r="F191" s="109">
        <f>IF(OR($A191="",NOT(OR($B191="Necessidade",$B191="Desejo",$B191="Poupança"))),"",IF($B191="Poupança",N(F135)-N(F79),N(F79)-N(F135)))</f>
        <v/>
      </c>
      <c r="G191" s="109">
        <f>IF(OR($A191="",NOT(OR($B191="Necessidade",$B191="Desejo",$B191="Poupança"))),"",IF($B191="Poupança",N(G135)-N(G79),N(G79)-N(G135)))</f>
        <v/>
      </c>
      <c r="H191" s="109">
        <f>IF(OR($A191="",NOT(OR($B191="Necessidade",$B191="Desejo",$B191="Poupança"))),"",IF($B191="Poupança",N(H135)-N(H79),N(H79)-N(H135)))</f>
        <v/>
      </c>
      <c r="I191" s="109">
        <f>IF(OR($A191="",NOT(OR($B191="Necessidade",$B191="Desejo",$B191="Poupança"))),"",IF($B191="Poupança",N(I135)-N(I79),N(I79)-N(I135)))</f>
        <v/>
      </c>
      <c r="J191" s="109">
        <f>IF(OR($A191="",NOT(OR($B191="Necessidade",$B191="Desejo",$B191="Poupança"))),"",IF($B191="Poupança",N(J135)-N(J79),N(J79)-N(J135)))</f>
        <v/>
      </c>
      <c r="K191" s="109">
        <f>IF(OR($A191="",NOT(OR($B191="Necessidade",$B191="Desejo",$B191="Poupança"))),"",IF($B191="Poupança",N(K135)-N(K79),N(K79)-N(K135)))</f>
        <v/>
      </c>
      <c r="L191" s="109">
        <f>IF(OR($A191="",NOT(OR($B191="Necessidade",$B191="Desejo",$B191="Poupança"))),"",IF($B191="Poupança",N(L135)-N(L79),N(L79)-N(L135)))</f>
        <v/>
      </c>
      <c r="M191" s="109">
        <f>IF(OR($A191="",NOT(OR($B191="Necessidade",$B191="Desejo",$B191="Poupança"))),"",IF($B191="Poupança",N(M135)-N(M79),N(M79)-N(M135)))</f>
        <v/>
      </c>
      <c r="N191" s="109">
        <f>IF(OR($A191="",NOT(OR($B191="Necessidade",$B191="Desejo",$B191="Poupança"))),"",IF($B191="Poupança",N(N135)-N(N79),N(N79)-N(N135)))</f>
        <v/>
      </c>
      <c r="O191" s="109">
        <f>IF(OR($A191="",NOT(OR($B191="Necessidade",$B191="Desejo",$B191="Poupança"))),"",IF($B191="Poupança",N(O135)-N(O79),N(O79)-N(O135)))</f>
        <v/>
      </c>
      <c r="P191" s="109">
        <f>IF(OR($A191="",NOT(OR($B191="Necessidade",$B191="Desejo",$B191="Poupança"))),"",IF($B191="Poupança",N(P135)-N(P79),N(P79)-N(P135)))</f>
        <v/>
      </c>
      <c r="Q191" s="109">
        <f>IF(OR($A191="",NOT(OR($B191="Necessidade",$B191="Desejo",$B191="Poupança"))),"",IF($B191="Poupança",N(Q135)-N(Q79),N(Q79)-N(Q135)))</f>
        <v/>
      </c>
      <c r="R191" s="85">
        <f>IF($A191="","",SUM(F191:Q191))</f>
        <v/>
      </c>
      <c r="S191" s="86">
        <f>IF(OR($A191="",N($R79)=0),"",R191/R79)</f>
        <v/>
      </c>
    </row>
    <row r="192">
      <c r="A192" s="75">
        <f>IF('Fluxo anual'!A33="","",'Fluxo anual'!A33)</f>
        <v/>
      </c>
      <c r="B192" s="75">
        <f>IF($A192="","",'Fluxo anual'!B33)</f>
        <v/>
      </c>
      <c r="C192" s="108" t="n"/>
      <c r="D192" s="108" t="n"/>
      <c r="E192" s="108" t="n"/>
      <c r="F192" s="109">
        <f>IF(OR($A192="",NOT(OR($B192="Necessidade",$B192="Desejo",$B192="Poupança"))),"",IF($B192="Poupança",N(F136)-N(F80),N(F80)-N(F136)))</f>
        <v/>
      </c>
      <c r="G192" s="109">
        <f>IF(OR($A192="",NOT(OR($B192="Necessidade",$B192="Desejo",$B192="Poupança"))),"",IF($B192="Poupança",N(G136)-N(G80),N(G80)-N(G136)))</f>
        <v/>
      </c>
      <c r="H192" s="109">
        <f>IF(OR($A192="",NOT(OR($B192="Necessidade",$B192="Desejo",$B192="Poupança"))),"",IF($B192="Poupança",N(H136)-N(H80),N(H80)-N(H136)))</f>
        <v/>
      </c>
      <c r="I192" s="109">
        <f>IF(OR($A192="",NOT(OR($B192="Necessidade",$B192="Desejo",$B192="Poupança"))),"",IF($B192="Poupança",N(I136)-N(I80),N(I80)-N(I136)))</f>
        <v/>
      </c>
      <c r="J192" s="109">
        <f>IF(OR($A192="",NOT(OR($B192="Necessidade",$B192="Desejo",$B192="Poupança"))),"",IF($B192="Poupança",N(J136)-N(J80),N(J80)-N(J136)))</f>
        <v/>
      </c>
      <c r="K192" s="109">
        <f>IF(OR($A192="",NOT(OR($B192="Necessidade",$B192="Desejo",$B192="Poupança"))),"",IF($B192="Poupança",N(K136)-N(K80),N(K80)-N(K136)))</f>
        <v/>
      </c>
      <c r="L192" s="109">
        <f>IF(OR($A192="",NOT(OR($B192="Necessidade",$B192="Desejo",$B192="Poupança"))),"",IF($B192="Poupança",N(L136)-N(L80),N(L80)-N(L136)))</f>
        <v/>
      </c>
      <c r="M192" s="109">
        <f>IF(OR($A192="",NOT(OR($B192="Necessidade",$B192="Desejo",$B192="Poupança"))),"",IF($B192="Poupança",N(M136)-N(M80),N(M80)-N(M136)))</f>
        <v/>
      </c>
      <c r="N192" s="109">
        <f>IF(OR($A192="",NOT(OR($B192="Necessidade",$B192="Desejo",$B192="Poupança"))),"",IF($B192="Poupança",N(N136)-N(N80),N(N80)-N(N136)))</f>
        <v/>
      </c>
      <c r="O192" s="109">
        <f>IF(OR($A192="",NOT(OR($B192="Necessidade",$B192="Desejo",$B192="Poupança"))),"",IF($B192="Poupança",N(O136)-N(O80),N(O80)-N(O136)))</f>
        <v/>
      </c>
      <c r="P192" s="109">
        <f>IF(OR($A192="",NOT(OR($B192="Necessidade",$B192="Desejo",$B192="Poupança"))),"",IF($B192="Poupança",N(P136)-N(P80),N(P80)-N(P136)))</f>
        <v/>
      </c>
      <c r="Q192" s="109">
        <f>IF(OR($A192="",NOT(OR($B192="Necessidade",$B192="Desejo",$B192="Poupança"))),"",IF($B192="Poupança",N(Q136)-N(Q80),N(Q80)-N(Q136)))</f>
        <v/>
      </c>
      <c r="R192" s="85">
        <f>IF($A192="","",SUM(F192:Q192))</f>
        <v/>
      </c>
      <c r="S192" s="86">
        <f>IF(OR($A192="",N($R80)=0),"",R192/R80)</f>
        <v/>
      </c>
    </row>
    <row r="193">
      <c r="A193" s="75">
        <f>IF('Fluxo anual'!A34="","",'Fluxo anual'!A34)</f>
        <v/>
      </c>
      <c r="B193" s="75">
        <f>IF($A193="","",'Fluxo anual'!B34)</f>
        <v/>
      </c>
      <c r="C193" s="108" t="n"/>
      <c r="D193" s="108" t="n"/>
      <c r="E193" s="108" t="n"/>
      <c r="F193" s="109">
        <f>IF(OR($A193="",NOT(OR($B193="Necessidade",$B193="Desejo",$B193="Poupança"))),"",IF($B193="Poupança",N(F137)-N(F81),N(F81)-N(F137)))</f>
        <v/>
      </c>
      <c r="G193" s="109">
        <f>IF(OR($A193="",NOT(OR($B193="Necessidade",$B193="Desejo",$B193="Poupança"))),"",IF($B193="Poupança",N(G137)-N(G81),N(G81)-N(G137)))</f>
        <v/>
      </c>
      <c r="H193" s="109">
        <f>IF(OR($A193="",NOT(OR($B193="Necessidade",$B193="Desejo",$B193="Poupança"))),"",IF($B193="Poupança",N(H137)-N(H81),N(H81)-N(H137)))</f>
        <v/>
      </c>
      <c r="I193" s="109">
        <f>IF(OR($A193="",NOT(OR($B193="Necessidade",$B193="Desejo",$B193="Poupança"))),"",IF($B193="Poupança",N(I137)-N(I81),N(I81)-N(I137)))</f>
        <v/>
      </c>
      <c r="J193" s="109">
        <f>IF(OR($A193="",NOT(OR($B193="Necessidade",$B193="Desejo",$B193="Poupança"))),"",IF($B193="Poupança",N(J137)-N(J81),N(J81)-N(J137)))</f>
        <v/>
      </c>
      <c r="K193" s="109">
        <f>IF(OR($A193="",NOT(OR($B193="Necessidade",$B193="Desejo",$B193="Poupança"))),"",IF($B193="Poupança",N(K137)-N(K81),N(K81)-N(K137)))</f>
        <v/>
      </c>
      <c r="L193" s="109">
        <f>IF(OR($A193="",NOT(OR($B193="Necessidade",$B193="Desejo",$B193="Poupança"))),"",IF($B193="Poupança",N(L137)-N(L81),N(L81)-N(L137)))</f>
        <v/>
      </c>
      <c r="M193" s="109">
        <f>IF(OR($A193="",NOT(OR($B193="Necessidade",$B193="Desejo",$B193="Poupança"))),"",IF($B193="Poupança",N(M137)-N(M81),N(M81)-N(M137)))</f>
        <v/>
      </c>
      <c r="N193" s="109">
        <f>IF(OR($A193="",NOT(OR($B193="Necessidade",$B193="Desejo",$B193="Poupança"))),"",IF($B193="Poupança",N(N137)-N(N81),N(N81)-N(N137)))</f>
        <v/>
      </c>
      <c r="O193" s="109">
        <f>IF(OR($A193="",NOT(OR($B193="Necessidade",$B193="Desejo",$B193="Poupança"))),"",IF($B193="Poupança",N(O137)-N(O81),N(O81)-N(O137)))</f>
        <v/>
      </c>
      <c r="P193" s="109">
        <f>IF(OR($A193="",NOT(OR($B193="Necessidade",$B193="Desejo",$B193="Poupança"))),"",IF($B193="Poupança",N(P137)-N(P81),N(P81)-N(P137)))</f>
        <v/>
      </c>
      <c r="Q193" s="109">
        <f>IF(OR($A193="",NOT(OR($B193="Necessidade",$B193="Desejo",$B193="Poupança"))),"",IF($B193="Poupança",N(Q137)-N(Q81),N(Q81)-N(Q137)))</f>
        <v/>
      </c>
      <c r="R193" s="85">
        <f>IF($A193="","",SUM(F193:Q193))</f>
        <v/>
      </c>
      <c r="S193" s="86">
        <f>IF(OR($A193="",N($R81)=0),"",R193/R81)</f>
        <v/>
      </c>
    </row>
    <row r="194">
      <c r="A194" s="75">
        <f>IF('Fluxo anual'!A35="","",'Fluxo anual'!A35)</f>
        <v/>
      </c>
      <c r="B194" s="75">
        <f>IF($A194="","",'Fluxo anual'!B35)</f>
        <v/>
      </c>
      <c r="C194" s="108" t="n"/>
      <c r="D194" s="108" t="n"/>
      <c r="E194" s="108" t="n"/>
      <c r="F194" s="109">
        <f>IF(OR($A194="",NOT(OR($B194="Necessidade",$B194="Desejo",$B194="Poupança"))),"",IF($B194="Poupança",N(F138)-N(F82),N(F82)-N(F138)))</f>
        <v/>
      </c>
      <c r="G194" s="109">
        <f>IF(OR($A194="",NOT(OR($B194="Necessidade",$B194="Desejo",$B194="Poupança"))),"",IF($B194="Poupança",N(G138)-N(G82),N(G82)-N(G138)))</f>
        <v/>
      </c>
      <c r="H194" s="109">
        <f>IF(OR($A194="",NOT(OR($B194="Necessidade",$B194="Desejo",$B194="Poupança"))),"",IF($B194="Poupança",N(H138)-N(H82),N(H82)-N(H138)))</f>
        <v/>
      </c>
      <c r="I194" s="109">
        <f>IF(OR($A194="",NOT(OR($B194="Necessidade",$B194="Desejo",$B194="Poupança"))),"",IF($B194="Poupança",N(I138)-N(I82),N(I82)-N(I138)))</f>
        <v/>
      </c>
      <c r="J194" s="109">
        <f>IF(OR($A194="",NOT(OR($B194="Necessidade",$B194="Desejo",$B194="Poupança"))),"",IF($B194="Poupança",N(J138)-N(J82),N(J82)-N(J138)))</f>
        <v/>
      </c>
      <c r="K194" s="109">
        <f>IF(OR($A194="",NOT(OR($B194="Necessidade",$B194="Desejo",$B194="Poupança"))),"",IF($B194="Poupança",N(K138)-N(K82),N(K82)-N(K138)))</f>
        <v/>
      </c>
      <c r="L194" s="109">
        <f>IF(OR($A194="",NOT(OR($B194="Necessidade",$B194="Desejo",$B194="Poupança"))),"",IF($B194="Poupança",N(L138)-N(L82),N(L82)-N(L138)))</f>
        <v/>
      </c>
      <c r="M194" s="109">
        <f>IF(OR($A194="",NOT(OR($B194="Necessidade",$B194="Desejo",$B194="Poupança"))),"",IF($B194="Poupança",N(M138)-N(M82),N(M82)-N(M138)))</f>
        <v/>
      </c>
      <c r="N194" s="109">
        <f>IF(OR($A194="",NOT(OR($B194="Necessidade",$B194="Desejo",$B194="Poupança"))),"",IF($B194="Poupança",N(N138)-N(N82),N(N82)-N(N138)))</f>
        <v/>
      </c>
      <c r="O194" s="109">
        <f>IF(OR($A194="",NOT(OR($B194="Necessidade",$B194="Desejo",$B194="Poupança"))),"",IF($B194="Poupança",N(O138)-N(O82),N(O82)-N(O138)))</f>
        <v/>
      </c>
      <c r="P194" s="109">
        <f>IF(OR($A194="",NOT(OR($B194="Necessidade",$B194="Desejo",$B194="Poupança"))),"",IF($B194="Poupança",N(P138)-N(P82),N(P82)-N(P138)))</f>
        <v/>
      </c>
      <c r="Q194" s="109">
        <f>IF(OR($A194="",NOT(OR($B194="Necessidade",$B194="Desejo",$B194="Poupança"))),"",IF($B194="Poupança",N(Q138)-N(Q82),N(Q82)-N(Q138)))</f>
        <v/>
      </c>
      <c r="R194" s="85">
        <f>IF($A194="","",SUM(F194:Q194))</f>
        <v/>
      </c>
      <c r="S194" s="86">
        <f>IF(OR($A194="",N($R82)=0),"",R194/R82)</f>
        <v/>
      </c>
    </row>
    <row r="195">
      <c r="A195" s="75">
        <f>IF('Fluxo anual'!A36="","",'Fluxo anual'!A36)</f>
        <v/>
      </c>
      <c r="B195" s="75">
        <f>IF($A195="","",'Fluxo anual'!B36)</f>
        <v/>
      </c>
      <c r="C195" s="108" t="n"/>
      <c r="D195" s="108" t="n"/>
      <c r="E195" s="108" t="n"/>
      <c r="F195" s="109">
        <f>IF(OR($A195="",NOT(OR($B195="Necessidade",$B195="Desejo",$B195="Poupança"))),"",IF($B195="Poupança",N(F139)-N(F83),N(F83)-N(F139)))</f>
        <v/>
      </c>
      <c r="G195" s="109">
        <f>IF(OR($A195="",NOT(OR($B195="Necessidade",$B195="Desejo",$B195="Poupança"))),"",IF($B195="Poupança",N(G139)-N(G83),N(G83)-N(G139)))</f>
        <v/>
      </c>
      <c r="H195" s="109">
        <f>IF(OR($A195="",NOT(OR($B195="Necessidade",$B195="Desejo",$B195="Poupança"))),"",IF($B195="Poupança",N(H139)-N(H83),N(H83)-N(H139)))</f>
        <v/>
      </c>
      <c r="I195" s="109">
        <f>IF(OR($A195="",NOT(OR($B195="Necessidade",$B195="Desejo",$B195="Poupança"))),"",IF($B195="Poupança",N(I139)-N(I83),N(I83)-N(I139)))</f>
        <v/>
      </c>
      <c r="J195" s="109">
        <f>IF(OR($A195="",NOT(OR($B195="Necessidade",$B195="Desejo",$B195="Poupança"))),"",IF($B195="Poupança",N(J139)-N(J83),N(J83)-N(J139)))</f>
        <v/>
      </c>
      <c r="K195" s="109">
        <f>IF(OR($A195="",NOT(OR($B195="Necessidade",$B195="Desejo",$B195="Poupança"))),"",IF($B195="Poupança",N(K139)-N(K83),N(K83)-N(K139)))</f>
        <v/>
      </c>
      <c r="L195" s="109">
        <f>IF(OR($A195="",NOT(OR($B195="Necessidade",$B195="Desejo",$B195="Poupança"))),"",IF($B195="Poupança",N(L139)-N(L83),N(L83)-N(L139)))</f>
        <v/>
      </c>
      <c r="M195" s="109">
        <f>IF(OR($A195="",NOT(OR($B195="Necessidade",$B195="Desejo",$B195="Poupança"))),"",IF($B195="Poupança",N(M139)-N(M83),N(M83)-N(M139)))</f>
        <v/>
      </c>
      <c r="N195" s="109">
        <f>IF(OR($A195="",NOT(OR($B195="Necessidade",$B195="Desejo",$B195="Poupança"))),"",IF($B195="Poupança",N(N139)-N(N83),N(N83)-N(N139)))</f>
        <v/>
      </c>
      <c r="O195" s="109">
        <f>IF(OR($A195="",NOT(OR($B195="Necessidade",$B195="Desejo",$B195="Poupança"))),"",IF($B195="Poupança",N(O139)-N(O83),N(O83)-N(O139)))</f>
        <v/>
      </c>
      <c r="P195" s="109">
        <f>IF(OR($A195="",NOT(OR($B195="Necessidade",$B195="Desejo",$B195="Poupança"))),"",IF($B195="Poupança",N(P139)-N(P83),N(P83)-N(P139)))</f>
        <v/>
      </c>
      <c r="Q195" s="109">
        <f>IF(OR($A195="",NOT(OR($B195="Necessidade",$B195="Desejo",$B195="Poupança"))),"",IF($B195="Poupança",N(Q139)-N(Q83),N(Q83)-N(Q139)))</f>
        <v/>
      </c>
      <c r="R195" s="85">
        <f>IF($A195="","",SUM(F195:Q195))</f>
        <v/>
      </c>
      <c r="S195" s="86">
        <f>IF(OR($A195="",N($R83)=0),"",R195/R83)</f>
        <v/>
      </c>
    </row>
    <row r="196">
      <c r="A196" s="75">
        <f>IF('Fluxo anual'!A37="","",'Fluxo anual'!A37)</f>
        <v/>
      </c>
      <c r="B196" s="75">
        <f>IF($A196="","",'Fluxo anual'!B37)</f>
        <v/>
      </c>
      <c r="C196" s="108" t="n"/>
      <c r="D196" s="108" t="n"/>
      <c r="E196" s="108" t="n"/>
      <c r="F196" s="109">
        <f>IF(OR($A196="",NOT(OR($B196="Necessidade",$B196="Desejo",$B196="Poupança"))),"",IF($B196="Poupança",N(F140)-N(F84),N(F84)-N(F140)))</f>
        <v/>
      </c>
      <c r="G196" s="109">
        <f>IF(OR($A196="",NOT(OR($B196="Necessidade",$B196="Desejo",$B196="Poupança"))),"",IF($B196="Poupança",N(G140)-N(G84),N(G84)-N(G140)))</f>
        <v/>
      </c>
      <c r="H196" s="109">
        <f>IF(OR($A196="",NOT(OR($B196="Necessidade",$B196="Desejo",$B196="Poupança"))),"",IF($B196="Poupança",N(H140)-N(H84),N(H84)-N(H140)))</f>
        <v/>
      </c>
      <c r="I196" s="109">
        <f>IF(OR($A196="",NOT(OR($B196="Necessidade",$B196="Desejo",$B196="Poupança"))),"",IF($B196="Poupança",N(I140)-N(I84),N(I84)-N(I140)))</f>
        <v/>
      </c>
      <c r="J196" s="109">
        <f>IF(OR($A196="",NOT(OR($B196="Necessidade",$B196="Desejo",$B196="Poupança"))),"",IF($B196="Poupança",N(J140)-N(J84),N(J84)-N(J140)))</f>
        <v/>
      </c>
      <c r="K196" s="109">
        <f>IF(OR($A196="",NOT(OR($B196="Necessidade",$B196="Desejo",$B196="Poupança"))),"",IF($B196="Poupança",N(K140)-N(K84),N(K84)-N(K140)))</f>
        <v/>
      </c>
      <c r="L196" s="109">
        <f>IF(OR($A196="",NOT(OR($B196="Necessidade",$B196="Desejo",$B196="Poupança"))),"",IF($B196="Poupança",N(L140)-N(L84),N(L84)-N(L140)))</f>
        <v/>
      </c>
      <c r="M196" s="109">
        <f>IF(OR($A196="",NOT(OR($B196="Necessidade",$B196="Desejo",$B196="Poupança"))),"",IF($B196="Poupança",N(M140)-N(M84),N(M84)-N(M140)))</f>
        <v/>
      </c>
      <c r="N196" s="109">
        <f>IF(OR($A196="",NOT(OR($B196="Necessidade",$B196="Desejo",$B196="Poupança"))),"",IF($B196="Poupança",N(N140)-N(N84),N(N84)-N(N140)))</f>
        <v/>
      </c>
      <c r="O196" s="109">
        <f>IF(OR($A196="",NOT(OR($B196="Necessidade",$B196="Desejo",$B196="Poupança"))),"",IF($B196="Poupança",N(O140)-N(O84),N(O84)-N(O140)))</f>
        <v/>
      </c>
      <c r="P196" s="109">
        <f>IF(OR($A196="",NOT(OR($B196="Necessidade",$B196="Desejo",$B196="Poupança"))),"",IF($B196="Poupança",N(P140)-N(P84),N(P84)-N(P140)))</f>
        <v/>
      </c>
      <c r="Q196" s="109">
        <f>IF(OR($A196="",NOT(OR($B196="Necessidade",$B196="Desejo",$B196="Poupança"))),"",IF($B196="Poupança",N(Q140)-N(Q84),N(Q84)-N(Q140)))</f>
        <v/>
      </c>
      <c r="R196" s="85">
        <f>IF($A196="","",SUM(F196:Q196))</f>
        <v/>
      </c>
      <c r="S196" s="86">
        <f>IF(OR($A196="",N($R84)=0),"",R196/R84)</f>
        <v/>
      </c>
    </row>
    <row r="197">
      <c r="A197" s="75">
        <f>IF('Fluxo anual'!A38="","",'Fluxo anual'!A38)</f>
        <v/>
      </c>
      <c r="B197" s="75">
        <f>IF($A197="","",'Fluxo anual'!B38)</f>
        <v/>
      </c>
      <c r="C197" s="108" t="n"/>
      <c r="D197" s="108" t="n"/>
      <c r="E197" s="108" t="n"/>
      <c r="F197" s="109">
        <f>IF(OR($A197="",NOT(OR($B197="Necessidade",$B197="Desejo",$B197="Poupança"))),"",IF($B197="Poupança",N(F141)-N(F85),N(F85)-N(F141)))</f>
        <v/>
      </c>
      <c r="G197" s="109">
        <f>IF(OR($A197="",NOT(OR($B197="Necessidade",$B197="Desejo",$B197="Poupança"))),"",IF($B197="Poupança",N(G141)-N(G85),N(G85)-N(G141)))</f>
        <v/>
      </c>
      <c r="H197" s="109">
        <f>IF(OR($A197="",NOT(OR($B197="Necessidade",$B197="Desejo",$B197="Poupança"))),"",IF($B197="Poupança",N(H141)-N(H85),N(H85)-N(H141)))</f>
        <v/>
      </c>
      <c r="I197" s="109">
        <f>IF(OR($A197="",NOT(OR($B197="Necessidade",$B197="Desejo",$B197="Poupança"))),"",IF($B197="Poupança",N(I141)-N(I85),N(I85)-N(I141)))</f>
        <v/>
      </c>
      <c r="J197" s="109">
        <f>IF(OR($A197="",NOT(OR($B197="Necessidade",$B197="Desejo",$B197="Poupança"))),"",IF($B197="Poupança",N(J141)-N(J85),N(J85)-N(J141)))</f>
        <v/>
      </c>
      <c r="K197" s="109">
        <f>IF(OR($A197="",NOT(OR($B197="Necessidade",$B197="Desejo",$B197="Poupança"))),"",IF($B197="Poupança",N(K141)-N(K85),N(K85)-N(K141)))</f>
        <v/>
      </c>
      <c r="L197" s="109">
        <f>IF(OR($A197="",NOT(OR($B197="Necessidade",$B197="Desejo",$B197="Poupança"))),"",IF($B197="Poupança",N(L141)-N(L85),N(L85)-N(L141)))</f>
        <v/>
      </c>
      <c r="M197" s="109">
        <f>IF(OR($A197="",NOT(OR($B197="Necessidade",$B197="Desejo",$B197="Poupança"))),"",IF($B197="Poupança",N(M141)-N(M85),N(M85)-N(M141)))</f>
        <v/>
      </c>
      <c r="N197" s="109">
        <f>IF(OR($A197="",NOT(OR($B197="Necessidade",$B197="Desejo",$B197="Poupança"))),"",IF($B197="Poupança",N(N141)-N(N85),N(N85)-N(N141)))</f>
        <v/>
      </c>
      <c r="O197" s="109">
        <f>IF(OR($A197="",NOT(OR($B197="Necessidade",$B197="Desejo",$B197="Poupança"))),"",IF($B197="Poupança",N(O141)-N(O85),N(O85)-N(O141)))</f>
        <v/>
      </c>
      <c r="P197" s="109">
        <f>IF(OR($A197="",NOT(OR($B197="Necessidade",$B197="Desejo",$B197="Poupança"))),"",IF($B197="Poupança",N(P141)-N(P85),N(P85)-N(P141)))</f>
        <v/>
      </c>
      <c r="Q197" s="109">
        <f>IF(OR($A197="",NOT(OR($B197="Necessidade",$B197="Desejo",$B197="Poupança"))),"",IF($B197="Poupança",N(Q141)-N(Q85),N(Q85)-N(Q141)))</f>
        <v/>
      </c>
      <c r="R197" s="85">
        <f>IF($A197="","",SUM(F197:Q197))</f>
        <v/>
      </c>
      <c r="S197" s="86">
        <f>IF(OR($A197="",N($R85)=0),"",R197/R85)</f>
        <v/>
      </c>
    </row>
    <row r="198">
      <c r="A198" s="75">
        <f>IF('Fluxo anual'!A39="","",'Fluxo anual'!A39)</f>
        <v/>
      </c>
      <c r="B198" s="75">
        <f>IF($A198="","",'Fluxo anual'!B39)</f>
        <v/>
      </c>
      <c r="C198" s="108" t="n"/>
      <c r="D198" s="108" t="n"/>
      <c r="E198" s="108" t="n"/>
      <c r="F198" s="109">
        <f>IF(OR($A198="",NOT(OR($B198="Necessidade",$B198="Desejo",$B198="Poupança"))),"",IF($B198="Poupança",N(F142)-N(F86),N(F86)-N(F142)))</f>
        <v/>
      </c>
      <c r="G198" s="109">
        <f>IF(OR($A198="",NOT(OR($B198="Necessidade",$B198="Desejo",$B198="Poupança"))),"",IF($B198="Poupança",N(G142)-N(G86),N(G86)-N(G142)))</f>
        <v/>
      </c>
      <c r="H198" s="109">
        <f>IF(OR($A198="",NOT(OR($B198="Necessidade",$B198="Desejo",$B198="Poupança"))),"",IF($B198="Poupança",N(H142)-N(H86),N(H86)-N(H142)))</f>
        <v/>
      </c>
      <c r="I198" s="109">
        <f>IF(OR($A198="",NOT(OR($B198="Necessidade",$B198="Desejo",$B198="Poupança"))),"",IF($B198="Poupança",N(I142)-N(I86),N(I86)-N(I142)))</f>
        <v/>
      </c>
      <c r="J198" s="109">
        <f>IF(OR($A198="",NOT(OR($B198="Necessidade",$B198="Desejo",$B198="Poupança"))),"",IF($B198="Poupança",N(J142)-N(J86),N(J86)-N(J142)))</f>
        <v/>
      </c>
      <c r="K198" s="109">
        <f>IF(OR($A198="",NOT(OR($B198="Necessidade",$B198="Desejo",$B198="Poupança"))),"",IF($B198="Poupança",N(K142)-N(K86),N(K86)-N(K142)))</f>
        <v/>
      </c>
      <c r="L198" s="109">
        <f>IF(OR($A198="",NOT(OR($B198="Necessidade",$B198="Desejo",$B198="Poupança"))),"",IF($B198="Poupança",N(L142)-N(L86),N(L86)-N(L142)))</f>
        <v/>
      </c>
      <c r="M198" s="109">
        <f>IF(OR($A198="",NOT(OR($B198="Necessidade",$B198="Desejo",$B198="Poupança"))),"",IF($B198="Poupança",N(M142)-N(M86),N(M86)-N(M142)))</f>
        <v/>
      </c>
      <c r="N198" s="109">
        <f>IF(OR($A198="",NOT(OR($B198="Necessidade",$B198="Desejo",$B198="Poupança"))),"",IF($B198="Poupança",N(N142)-N(N86),N(N86)-N(N142)))</f>
        <v/>
      </c>
      <c r="O198" s="109">
        <f>IF(OR($A198="",NOT(OR($B198="Necessidade",$B198="Desejo",$B198="Poupança"))),"",IF($B198="Poupança",N(O142)-N(O86),N(O86)-N(O142)))</f>
        <v/>
      </c>
      <c r="P198" s="109">
        <f>IF(OR($A198="",NOT(OR($B198="Necessidade",$B198="Desejo",$B198="Poupança"))),"",IF($B198="Poupança",N(P142)-N(P86),N(P86)-N(P142)))</f>
        <v/>
      </c>
      <c r="Q198" s="109">
        <f>IF(OR($A198="",NOT(OR($B198="Necessidade",$B198="Desejo",$B198="Poupança"))),"",IF($B198="Poupança",N(Q142)-N(Q86),N(Q86)-N(Q142)))</f>
        <v/>
      </c>
      <c r="R198" s="85">
        <f>IF($A198="","",SUM(F198:Q198))</f>
        <v/>
      </c>
      <c r="S198" s="86">
        <f>IF(OR($A198="",N($R86)=0),"",R198/R86)</f>
        <v/>
      </c>
    </row>
    <row r="199">
      <c r="A199" s="75">
        <f>IF('Fluxo anual'!A40="","",'Fluxo anual'!A40)</f>
        <v/>
      </c>
      <c r="B199" s="75">
        <f>IF($A199="","",'Fluxo anual'!B40)</f>
        <v/>
      </c>
      <c r="C199" s="108" t="n"/>
      <c r="D199" s="108" t="n"/>
      <c r="E199" s="108" t="n"/>
      <c r="F199" s="109">
        <f>IF(OR($A199="",NOT(OR($B199="Necessidade",$B199="Desejo",$B199="Poupança"))),"",IF($B199="Poupança",N(F143)-N(F87),N(F87)-N(F143)))</f>
        <v/>
      </c>
      <c r="G199" s="109">
        <f>IF(OR($A199="",NOT(OR($B199="Necessidade",$B199="Desejo",$B199="Poupança"))),"",IF($B199="Poupança",N(G143)-N(G87),N(G87)-N(G143)))</f>
        <v/>
      </c>
      <c r="H199" s="109">
        <f>IF(OR($A199="",NOT(OR($B199="Necessidade",$B199="Desejo",$B199="Poupança"))),"",IF($B199="Poupança",N(H143)-N(H87),N(H87)-N(H143)))</f>
        <v/>
      </c>
      <c r="I199" s="109">
        <f>IF(OR($A199="",NOT(OR($B199="Necessidade",$B199="Desejo",$B199="Poupança"))),"",IF($B199="Poupança",N(I143)-N(I87),N(I87)-N(I143)))</f>
        <v/>
      </c>
      <c r="J199" s="109">
        <f>IF(OR($A199="",NOT(OR($B199="Necessidade",$B199="Desejo",$B199="Poupança"))),"",IF($B199="Poupança",N(J143)-N(J87),N(J87)-N(J143)))</f>
        <v/>
      </c>
      <c r="K199" s="109">
        <f>IF(OR($A199="",NOT(OR($B199="Necessidade",$B199="Desejo",$B199="Poupança"))),"",IF($B199="Poupança",N(K143)-N(K87),N(K87)-N(K143)))</f>
        <v/>
      </c>
      <c r="L199" s="109">
        <f>IF(OR($A199="",NOT(OR($B199="Necessidade",$B199="Desejo",$B199="Poupança"))),"",IF($B199="Poupança",N(L143)-N(L87),N(L87)-N(L143)))</f>
        <v/>
      </c>
      <c r="M199" s="109">
        <f>IF(OR($A199="",NOT(OR($B199="Necessidade",$B199="Desejo",$B199="Poupança"))),"",IF($B199="Poupança",N(M143)-N(M87),N(M87)-N(M143)))</f>
        <v/>
      </c>
      <c r="N199" s="109">
        <f>IF(OR($A199="",NOT(OR($B199="Necessidade",$B199="Desejo",$B199="Poupança"))),"",IF($B199="Poupança",N(N143)-N(N87),N(N87)-N(N143)))</f>
        <v/>
      </c>
      <c r="O199" s="109">
        <f>IF(OR($A199="",NOT(OR($B199="Necessidade",$B199="Desejo",$B199="Poupança"))),"",IF($B199="Poupança",N(O143)-N(O87),N(O87)-N(O143)))</f>
        <v/>
      </c>
      <c r="P199" s="109">
        <f>IF(OR($A199="",NOT(OR($B199="Necessidade",$B199="Desejo",$B199="Poupança"))),"",IF($B199="Poupança",N(P143)-N(P87),N(P87)-N(P143)))</f>
        <v/>
      </c>
      <c r="Q199" s="109">
        <f>IF(OR($A199="",NOT(OR($B199="Necessidade",$B199="Desejo",$B199="Poupança"))),"",IF($B199="Poupança",N(Q143)-N(Q87),N(Q87)-N(Q143)))</f>
        <v/>
      </c>
      <c r="R199" s="85">
        <f>IF($A199="","",SUM(F199:Q199))</f>
        <v/>
      </c>
      <c r="S199" s="86">
        <f>IF(OR($A199="",N($R87)=0),"",R199/R87)</f>
        <v/>
      </c>
    </row>
    <row r="200">
      <c r="A200" s="75">
        <f>IF('Fluxo anual'!A41="","",'Fluxo anual'!A41)</f>
        <v/>
      </c>
      <c r="B200" s="75">
        <f>IF($A200="","",'Fluxo anual'!B41)</f>
        <v/>
      </c>
      <c r="C200" s="108" t="n"/>
      <c r="D200" s="108" t="n"/>
      <c r="E200" s="108" t="n"/>
      <c r="F200" s="109">
        <f>IF(OR($A200="",NOT(OR($B200="Necessidade",$B200="Desejo",$B200="Poupança"))),"",IF($B200="Poupança",N(F144)-N(F88),N(F88)-N(F144)))</f>
        <v/>
      </c>
      <c r="G200" s="109">
        <f>IF(OR($A200="",NOT(OR($B200="Necessidade",$B200="Desejo",$B200="Poupança"))),"",IF($B200="Poupança",N(G144)-N(G88),N(G88)-N(G144)))</f>
        <v/>
      </c>
      <c r="H200" s="109">
        <f>IF(OR($A200="",NOT(OR($B200="Necessidade",$B200="Desejo",$B200="Poupança"))),"",IF($B200="Poupança",N(H144)-N(H88),N(H88)-N(H144)))</f>
        <v/>
      </c>
      <c r="I200" s="109">
        <f>IF(OR($A200="",NOT(OR($B200="Necessidade",$B200="Desejo",$B200="Poupança"))),"",IF($B200="Poupança",N(I144)-N(I88),N(I88)-N(I144)))</f>
        <v/>
      </c>
      <c r="J200" s="109">
        <f>IF(OR($A200="",NOT(OR($B200="Necessidade",$B200="Desejo",$B200="Poupança"))),"",IF($B200="Poupança",N(J144)-N(J88),N(J88)-N(J144)))</f>
        <v/>
      </c>
      <c r="K200" s="109">
        <f>IF(OR($A200="",NOT(OR($B200="Necessidade",$B200="Desejo",$B200="Poupança"))),"",IF($B200="Poupança",N(K144)-N(K88),N(K88)-N(K144)))</f>
        <v/>
      </c>
      <c r="L200" s="109">
        <f>IF(OR($A200="",NOT(OR($B200="Necessidade",$B200="Desejo",$B200="Poupança"))),"",IF($B200="Poupança",N(L144)-N(L88),N(L88)-N(L144)))</f>
        <v/>
      </c>
      <c r="M200" s="109">
        <f>IF(OR($A200="",NOT(OR($B200="Necessidade",$B200="Desejo",$B200="Poupança"))),"",IF($B200="Poupança",N(M144)-N(M88),N(M88)-N(M144)))</f>
        <v/>
      </c>
      <c r="N200" s="109">
        <f>IF(OR($A200="",NOT(OR($B200="Necessidade",$B200="Desejo",$B200="Poupança"))),"",IF($B200="Poupança",N(N144)-N(N88),N(N88)-N(N144)))</f>
        <v/>
      </c>
      <c r="O200" s="109">
        <f>IF(OR($A200="",NOT(OR($B200="Necessidade",$B200="Desejo",$B200="Poupança"))),"",IF($B200="Poupança",N(O144)-N(O88),N(O88)-N(O144)))</f>
        <v/>
      </c>
      <c r="P200" s="109">
        <f>IF(OR($A200="",NOT(OR($B200="Necessidade",$B200="Desejo",$B200="Poupança"))),"",IF($B200="Poupança",N(P144)-N(P88),N(P88)-N(P144)))</f>
        <v/>
      </c>
      <c r="Q200" s="109">
        <f>IF(OR($A200="",NOT(OR($B200="Necessidade",$B200="Desejo",$B200="Poupança"))),"",IF($B200="Poupança",N(Q144)-N(Q88),N(Q88)-N(Q144)))</f>
        <v/>
      </c>
      <c r="R200" s="85">
        <f>IF($A200="","",SUM(F200:Q200))</f>
        <v/>
      </c>
      <c r="S200" s="86">
        <f>IF(OR($A200="",N($R88)=0),"",R200/R88)</f>
        <v/>
      </c>
    </row>
    <row r="201">
      <c r="A201" s="75">
        <f>IF('Fluxo anual'!A42="","",'Fluxo anual'!A42)</f>
        <v/>
      </c>
      <c r="B201" s="75">
        <f>IF($A201="","",'Fluxo anual'!B42)</f>
        <v/>
      </c>
      <c r="C201" s="108" t="n"/>
      <c r="D201" s="108" t="n"/>
      <c r="E201" s="108" t="n"/>
      <c r="F201" s="109">
        <f>IF(OR($A201="",NOT(OR($B201="Necessidade",$B201="Desejo",$B201="Poupança"))),"",IF($B201="Poupança",N(F145)-N(F89),N(F89)-N(F145)))</f>
        <v/>
      </c>
      <c r="G201" s="109">
        <f>IF(OR($A201="",NOT(OR($B201="Necessidade",$B201="Desejo",$B201="Poupança"))),"",IF($B201="Poupança",N(G145)-N(G89),N(G89)-N(G145)))</f>
        <v/>
      </c>
      <c r="H201" s="109">
        <f>IF(OR($A201="",NOT(OR($B201="Necessidade",$B201="Desejo",$B201="Poupança"))),"",IF($B201="Poupança",N(H145)-N(H89),N(H89)-N(H145)))</f>
        <v/>
      </c>
      <c r="I201" s="109">
        <f>IF(OR($A201="",NOT(OR($B201="Necessidade",$B201="Desejo",$B201="Poupança"))),"",IF($B201="Poupança",N(I145)-N(I89),N(I89)-N(I145)))</f>
        <v/>
      </c>
      <c r="J201" s="109">
        <f>IF(OR($A201="",NOT(OR($B201="Necessidade",$B201="Desejo",$B201="Poupança"))),"",IF($B201="Poupança",N(J145)-N(J89),N(J89)-N(J145)))</f>
        <v/>
      </c>
      <c r="K201" s="109">
        <f>IF(OR($A201="",NOT(OR($B201="Necessidade",$B201="Desejo",$B201="Poupança"))),"",IF($B201="Poupança",N(K145)-N(K89),N(K89)-N(K145)))</f>
        <v/>
      </c>
      <c r="L201" s="109">
        <f>IF(OR($A201="",NOT(OR($B201="Necessidade",$B201="Desejo",$B201="Poupança"))),"",IF($B201="Poupança",N(L145)-N(L89),N(L89)-N(L145)))</f>
        <v/>
      </c>
      <c r="M201" s="109">
        <f>IF(OR($A201="",NOT(OR($B201="Necessidade",$B201="Desejo",$B201="Poupança"))),"",IF($B201="Poupança",N(M145)-N(M89),N(M89)-N(M145)))</f>
        <v/>
      </c>
      <c r="N201" s="109">
        <f>IF(OR($A201="",NOT(OR($B201="Necessidade",$B201="Desejo",$B201="Poupança"))),"",IF($B201="Poupança",N(N145)-N(N89),N(N89)-N(N145)))</f>
        <v/>
      </c>
      <c r="O201" s="109">
        <f>IF(OR($A201="",NOT(OR($B201="Necessidade",$B201="Desejo",$B201="Poupança"))),"",IF($B201="Poupança",N(O145)-N(O89),N(O89)-N(O145)))</f>
        <v/>
      </c>
      <c r="P201" s="109">
        <f>IF(OR($A201="",NOT(OR($B201="Necessidade",$B201="Desejo",$B201="Poupança"))),"",IF($B201="Poupança",N(P145)-N(P89),N(P89)-N(P145)))</f>
        <v/>
      </c>
      <c r="Q201" s="109">
        <f>IF(OR($A201="",NOT(OR($B201="Necessidade",$B201="Desejo",$B201="Poupança"))),"",IF($B201="Poupança",N(Q145)-N(Q89),N(Q89)-N(Q145)))</f>
        <v/>
      </c>
      <c r="R201" s="85">
        <f>IF($A201="","",SUM(F201:Q201))</f>
        <v/>
      </c>
      <c r="S201" s="86">
        <f>IF(OR($A201="",N($R89)=0),"",R201/R89)</f>
        <v/>
      </c>
    </row>
    <row r="202">
      <c r="A202" s="75">
        <f>IF('Fluxo anual'!A43="","",'Fluxo anual'!A43)</f>
        <v/>
      </c>
      <c r="B202" s="75">
        <f>IF($A202="","",'Fluxo anual'!B43)</f>
        <v/>
      </c>
      <c r="C202" s="108" t="n"/>
      <c r="D202" s="108" t="n"/>
      <c r="E202" s="108" t="n"/>
      <c r="F202" s="109">
        <f>IF(OR($A202="",NOT(OR($B202="Necessidade",$B202="Desejo",$B202="Poupança"))),"",IF($B202="Poupança",N(F146)-N(F90),N(F90)-N(F146)))</f>
        <v/>
      </c>
      <c r="G202" s="109">
        <f>IF(OR($A202="",NOT(OR($B202="Necessidade",$B202="Desejo",$B202="Poupança"))),"",IF($B202="Poupança",N(G146)-N(G90),N(G90)-N(G146)))</f>
        <v/>
      </c>
      <c r="H202" s="109">
        <f>IF(OR($A202="",NOT(OR($B202="Necessidade",$B202="Desejo",$B202="Poupança"))),"",IF($B202="Poupança",N(H146)-N(H90),N(H90)-N(H146)))</f>
        <v/>
      </c>
      <c r="I202" s="109">
        <f>IF(OR($A202="",NOT(OR($B202="Necessidade",$B202="Desejo",$B202="Poupança"))),"",IF($B202="Poupança",N(I146)-N(I90),N(I90)-N(I146)))</f>
        <v/>
      </c>
      <c r="J202" s="109">
        <f>IF(OR($A202="",NOT(OR($B202="Necessidade",$B202="Desejo",$B202="Poupança"))),"",IF($B202="Poupança",N(J146)-N(J90),N(J90)-N(J146)))</f>
        <v/>
      </c>
      <c r="K202" s="109">
        <f>IF(OR($A202="",NOT(OR($B202="Necessidade",$B202="Desejo",$B202="Poupança"))),"",IF($B202="Poupança",N(K146)-N(K90),N(K90)-N(K146)))</f>
        <v/>
      </c>
      <c r="L202" s="109">
        <f>IF(OR($A202="",NOT(OR($B202="Necessidade",$B202="Desejo",$B202="Poupança"))),"",IF($B202="Poupança",N(L146)-N(L90),N(L90)-N(L146)))</f>
        <v/>
      </c>
      <c r="M202" s="109">
        <f>IF(OR($A202="",NOT(OR($B202="Necessidade",$B202="Desejo",$B202="Poupança"))),"",IF($B202="Poupança",N(M146)-N(M90),N(M90)-N(M146)))</f>
        <v/>
      </c>
      <c r="N202" s="109">
        <f>IF(OR($A202="",NOT(OR($B202="Necessidade",$B202="Desejo",$B202="Poupança"))),"",IF($B202="Poupança",N(N146)-N(N90),N(N90)-N(N146)))</f>
        <v/>
      </c>
      <c r="O202" s="109">
        <f>IF(OR($A202="",NOT(OR($B202="Necessidade",$B202="Desejo",$B202="Poupança"))),"",IF($B202="Poupança",N(O146)-N(O90),N(O90)-N(O146)))</f>
        <v/>
      </c>
      <c r="P202" s="109">
        <f>IF(OR($A202="",NOT(OR($B202="Necessidade",$B202="Desejo",$B202="Poupança"))),"",IF($B202="Poupança",N(P146)-N(P90),N(P90)-N(P146)))</f>
        <v/>
      </c>
      <c r="Q202" s="109">
        <f>IF(OR($A202="",NOT(OR($B202="Necessidade",$B202="Desejo",$B202="Poupança"))),"",IF($B202="Poupança",N(Q146)-N(Q90),N(Q90)-N(Q146)))</f>
        <v/>
      </c>
      <c r="R202" s="85">
        <f>IF($A202="","",SUM(F202:Q202))</f>
        <v/>
      </c>
      <c r="S202" s="86">
        <f>IF(OR($A202="",N($R90)=0),"",R202/R90)</f>
        <v/>
      </c>
    </row>
    <row r="203">
      <c r="A203" s="75">
        <f>IF('Fluxo anual'!A44="","",'Fluxo anual'!A44)</f>
        <v/>
      </c>
      <c r="B203" s="75">
        <f>IF($A203="","",'Fluxo anual'!B44)</f>
        <v/>
      </c>
      <c r="C203" s="108" t="n"/>
      <c r="D203" s="108" t="n"/>
      <c r="E203" s="108" t="n"/>
      <c r="F203" s="109">
        <f>IF(OR($A203="",NOT(OR($B203="Necessidade",$B203="Desejo",$B203="Poupança"))),"",IF($B203="Poupança",N(F147)-N(F91),N(F91)-N(F147)))</f>
        <v/>
      </c>
      <c r="G203" s="109">
        <f>IF(OR($A203="",NOT(OR($B203="Necessidade",$B203="Desejo",$B203="Poupança"))),"",IF($B203="Poupança",N(G147)-N(G91),N(G91)-N(G147)))</f>
        <v/>
      </c>
      <c r="H203" s="109">
        <f>IF(OR($A203="",NOT(OR($B203="Necessidade",$B203="Desejo",$B203="Poupança"))),"",IF($B203="Poupança",N(H147)-N(H91),N(H91)-N(H147)))</f>
        <v/>
      </c>
      <c r="I203" s="109">
        <f>IF(OR($A203="",NOT(OR($B203="Necessidade",$B203="Desejo",$B203="Poupança"))),"",IF($B203="Poupança",N(I147)-N(I91),N(I91)-N(I147)))</f>
        <v/>
      </c>
      <c r="J203" s="109">
        <f>IF(OR($A203="",NOT(OR($B203="Necessidade",$B203="Desejo",$B203="Poupança"))),"",IF($B203="Poupança",N(J147)-N(J91),N(J91)-N(J147)))</f>
        <v/>
      </c>
      <c r="K203" s="109">
        <f>IF(OR($A203="",NOT(OR($B203="Necessidade",$B203="Desejo",$B203="Poupança"))),"",IF($B203="Poupança",N(K147)-N(K91),N(K91)-N(K147)))</f>
        <v/>
      </c>
      <c r="L203" s="109">
        <f>IF(OR($A203="",NOT(OR($B203="Necessidade",$B203="Desejo",$B203="Poupança"))),"",IF($B203="Poupança",N(L147)-N(L91),N(L91)-N(L147)))</f>
        <v/>
      </c>
      <c r="M203" s="109">
        <f>IF(OR($A203="",NOT(OR($B203="Necessidade",$B203="Desejo",$B203="Poupança"))),"",IF($B203="Poupança",N(M147)-N(M91),N(M91)-N(M147)))</f>
        <v/>
      </c>
      <c r="N203" s="109">
        <f>IF(OR($A203="",NOT(OR($B203="Necessidade",$B203="Desejo",$B203="Poupança"))),"",IF($B203="Poupança",N(N147)-N(N91),N(N91)-N(N147)))</f>
        <v/>
      </c>
      <c r="O203" s="109">
        <f>IF(OR($A203="",NOT(OR($B203="Necessidade",$B203="Desejo",$B203="Poupança"))),"",IF($B203="Poupança",N(O147)-N(O91),N(O91)-N(O147)))</f>
        <v/>
      </c>
      <c r="P203" s="109">
        <f>IF(OR($A203="",NOT(OR($B203="Necessidade",$B203="Desejo",$B203="Poupança"))),"",IF($B203="Poupança",N(P147)-N(P91),N(P91)-N(P147)))</f>
        <v/>
      </c>
      <c r="Q203" s="109">
        <f>IF(OR($A203="",NOT(OR($B203="Necessidade",$B203="Desejo",$B203="Poupança"))),"",IF($B203="Poupança",N(Q147)-N(Q91),N(Q91)-N(Q147)))</f>
        <v/>
      </c>
      <c r="R203" s="85">
        <f>IF($A203="","",SUM(F203:Q203))</f>
        <v/>
      </c>
      <c r="S203" s="86">
        <f>IF(OR($A203="",N($R91)=0),"",R203/R91)</f>
        <v/>
      </c>
    </row>
    <row r="204">
      <c r="A204" s="75">
        <f>IF('Fluxo anual'!A45="","",'Fluxo anual'!A45)</f>
        <v/>
      </c>
      <c r="B204" s="75">
        <f>IF($A204="","",'Fluxo anual'!B45)</f>
        <v/>
      </c>
      <c r="C204" s="108" t="n"/>
      <c r="D204" s="108" t="n"/>
      <c r="E204" s="108" t="n"/>
      <c r="F204" s="109">
        <f>IF(OR($A204="",NOT(OR($B204="Necessidade",$B204="Desejo",$B204="Poupança"))),"",IF($B204="Poupança",N(F148)-N(F92),N(F92)-N(F148)))</f>
        <v/>
      </c>
      <c r="G204" s="109">
        <f>IF(OR($A204="",NOT(OR($B204="Necessidade",$B204="Desejo",$B204="Poupança"))),"",IF($B204="Poupança",N(G148)-N(G92),N(G92)-N(G148)))</f>
        <v/>
      </c>
      <c r="H204" s="109">
        <f>IF(OR($A204="",NOT(OR($B204="Necessidade",$B204="Desejo",$B204="Poupança"))),"",IF($B204="Poupança",N(H148)-N(H92),N(H92)-N(H148)))</f>
        <v/>
      </c>
      <c r="I204" s="109">
        <f>IF(OR($A204="",NOT(OR($B204="Necessidade",$B204="Desejo",$B204="Poupança"))),"",IF($B204="Poupança",N(I148)-N(I92),N(I92)-N(I148)))</f>
        <v/>
      </c>
      <c r="J204" s="109">
        <f>IF(OR($A204="",NOT(OR($B204="Necessidade",$B204="Desejo",$B204="Poupança"))),"",IF($B204="Poupança",N(J148)-N(J92),N(J92)-N(J148)))</f>
        <v/>
      </c>
      <c r="K204" s="109">
        <f>IF(OR($A204="",NOT(OR($B204="Necessidade",$B204="Desejo",$B204="Poupança"))),"",IF($B204="Poupança",N(K148)-N(K92),N(K92)-N(K148)))</f>
        <v/>
      </c>
      <c r="L204" s="109">
        <f>IF(OR($A204="",NOT(OR($B204="Necessidade",$B204="Desejo",$B204="Poupança"))),"",IF($B204="Poupança",N(L148)-N(L92),N(L92)-N(L148)))</f>
        <v/>
      </c>
      <c r="M204" s="109">
        <f>IF(OR($A204="",NOT(OR($B204="Necessidade",$B204="Desejo",$B204="Poupança"))),"",IF($B204="Poupança",N(M148)-N(M92),N(M92)-N(M148)))</f>
        <v/>
      </c>
      <c r="N204" s="109">
        <f>IF(OR($A204="",NOT(OR($B204="Necessidade",$B204="Desejo",$B204="Poupança"))),"",IF($B204="Poupança",N(N148)-N(N92),N(N92)-N(N148)))</f>
        <v/>
      </c>
      <c r="O204" s="109">
        <f>IF(OR($A204="",NOT(OR($B204="Necessidade",$B204="Desejo",$B204="Poupança"))),"",IF($B204="Poupança",N(O148)-N(O92),N(O92)-N(O148)))</f>
        <v/>
      </c>
      <c r="P204" s="109">
        <f>IF(OR($A204="",NOT(OR($B204="Necessidade",$B204="Desejo",$B204="Poupança"))),"",IF($B204="Poupança",N(P148)-N(P92),N(P92)-N(P148)))</f>
        <v/>
      </c>
      <c r="Q204" s="109">
        <f>IF(OR($A204="",NOT(OR($B204="Necessidade",$B204="Desejo",$B204="Poupança"))),"",IF($B204="Poupança",N(Q148)-N(Q92),N(Q92)-N(Q148)))</f>
        <v/>
      </c>
      <c r="R204" s="85">
        <f>IF($A204="","",SUM(F204:Q204))</f>
        <v/>
      </c>
      <c r="S204" s="86">
        <f>IF(OR($A204="",N($R92)=0),"",R204/R92)</f>
        <v/>
      </c>
    </row>
    <row r="205">
      <c r="A205" s="75">
        <f>IF('Fluxo anual'!A46="","",'Fluxo anual'!A46)</f>
        <v/>
      </c>
      <c r="B205" s="75">
        <f>IF($A205="","",'Fluxo anual'!B46)</f>
        <v/>
      </c>
      <c r="C205" s="108" t="n"/>
      <c r="D205" s="108" t="n"/>
      <c r="E205" s="108" t="n"/>
      <c r="F205" s="109">
        <f>IF(OR($A205="",NOT(OR($B205="Necessidade",$B205="Desejo",$B205="Poupança"))),"",IF($B205="Poupança",N(F149)-N(F93),N(F93)-N(F149)))</f>
        <v/>
      </c>
      <c r="G205" s="109">
        <f>IF(OR($A205="",NOT(OR($B205="Necessidade",$B205="Desejo",$B205="Poupança"))),"",IF($B205="Poupança",N(G149)-N(G93),N(G93)-N(G149)))</f>
        <v/>
      </c>
      <c r="H205" s="109">
        <f>IF(OR($A205="",NOT(OR($B205="Necessidade",$B205="Desejo",$B205="Poupança"))),"",IF($B205="Poupança",N(H149)-N(H93),N(H93)-N(H149)))</f>
        <v/>
      </c>
      <c r="I205" s="109">
        <f>IF(OR($A205="",NOT(OR($B205="Necessidade",$B205="Desejo",$B205="Poupança"))),"",IF($B205="Poupança",N(I149)-N(I93),N(I93)-N(I149)))</f>
        <v/>
      </c>
      <c r="J205" s="109">
        <f>IF(OR($A205="",NOT(OR($B205="Necessidade",$B205="Desejo",$B205="Poupança"))),"",IF($B205="Poupança",N(J149)-N(J93),N(J93)-N(J149)))</f>
        <v/>
      </c>
      <c r="K205" s="109">
        <f>IF(OR($A205="",NOT(OR($B205="Necessidade",$B205="Desejo",$B205="Poupança"))),"",IF($B205="Poupança",N(K149)-N(K93),N(K93)-N(K149)))</f>
        <v/>
      </c>
      <c r="L205" s="109">
        <f>IF(OR($A205="",NOT(OR($B205="Necessidade",$B205="Desejo",$B205="Poupança"))),"",IF($B205="Poupança",N(L149)-N(L93),N(L93)-N(L149)))</f>
        <v/>
      </c>
      <c r="M205" s="109">
        <f>IF(OR($A205="",NOT(OR($B205="Necessidade",$B205="Desejo",$B205="Poupança"))),"",IF($B205="Poupança",N(M149)-N(M93),N(M93)-N(M149)))</f>
        <v/>
      </c>
      <c r="N205" s="109">
        <f>IF(OR($A205="",NOT(OR($B205="Necessidade",$B205="Desejo",$B205="Poupança"))),"",IF($B205="Poupança",N(N149)-N(N93),N(N93)-N(N149)))</f>
        <v/>
      </c>
      <c r="O205" s="109">
        <f>IF(OR($A205="",NOT(OR($B205="Necessidade",$B205="Desejo",$B205="Poupança"))),"",IF($B205="Poupança",N(O149)-N(O93),N(O93)-N(O149)))</f>
        <v/>
      </c>
      <c r="P205" s="109">
        <f>IF(OR($A205="",NOT(OR($B205="Necessidade",$B205="Desejo",$B205="Poupança"))),"",IF($B205="Poupança",N(P149)-N(P93),N(P93)-N(P149)))</f>
        <v/>
      </c>
      <c r="Q205" s="109">
        <f>IF(OR($A205="",NOT(OR($B205="Necessidade",$B205="Desejo",$B205="Poupança"))),"",IF($B205="Poupança",N(Q149)-N(Q93),N(Q93)-N(Q149)))</f>
        <v/>
      </c>
      <c r="R205" s="85">
        <f>IF($A205="","",SUM(F205:Q205))</f>
        <v/>
      </c>
      <c r="S205" s="86">
        <f>IF(OR($A205="",N($R93)=0),"",R205/R93)</f>
        <v/>
      </c>
    </row>
    <row r="206">
      <c r="A206" s="75">
        <f>IF('Fluxo anual'!A47="","",'Fluxo anual'!A47)</f>
        <v/>
      </c>
      <c r="B206" s="75">
        <f>IF($A206="","",'Fluxo anual'!B47)</f>
        <v/>
      </c>
      <c r="C206" s="108" t="n"/>
      <c r="D206" s="108" t="n"/>
      <c r="E206" s="108" t="n"/>
      <c r="F206" s="109">
        <f>IF(OR($A206="",NOT(OR($B206="Necessidade",$B206="Desejo",$B206="Poupança"))),"",IF($B206="Poupança",N(F150)-N(F94),N(F94)-N(F150)))</f>
        <v/>
      </c>
      <c r="G206" s="109">
        <f>IF(OR($A206="",NOT(OR($B206="Necessidade",$B206="Desejo",$B206="Poupança"))),"",IF($B206="Poupança",N(G150)-N(G94),N(G94)-N(G150)))</f>
        <v/>
      </c>
      <c r="H206" s="109">
        <f>IF(OR($A206="",NOT(OR($B206="Necessidade",$B206="Desejo",$B206="Poupança"))),"",IF($B206="Poupança",N(H150)-N(H94),N(H94)-N(H150)))</f>
        <v/>
      </c>
      <c r="I206" s="109">
        <f>IF(OR($A206="",NOT(OR($B206="Necessidade",$B206="Desejo",$B206="Poupança"))),"",IF($B206="Poupança",N(I150)-N(I94),N(I94)-N(I150)))</f>
        <v/>
      </c>
      <c r="J206" s="109">
        <f>IF(OR($A206="",NOT(OR($B206="Necessidade",$B206="Desejo",$B206="Poupança"))),"",IF($B206="Poupança",N(J150)-N(J94),N(J94)-N(J150)))</f>
        <v/>
      </c>
      <c r="K206" s="109">
        <f>IF(OR($A206="",NOT(OR($B206="Necessidade",$B206="Desejo",$B206="Poupança"))),"",IF($B206="Poupança",N(K150)-N(K94),N(K94)-N(K150)))</f>
        <v/>
      </c>
      <c r="L206" s="109">
        <f>IF(OR($A206="",NOT(OR($B206="Necessidade",$B206="Desejo",$B206="Poupança"))),"",IF($B206="Poupança",N(L150)-N(L94),N(L94)-N(L150)))</f>
        <v/>
      </c>
      <c r="M206" s="109">
        <f>IF(OR($A206="",NOT(OR($B206="Necessidade",$B206="Desejo",$B206="Poupança"))),"",IF($B206="Poupança",N(M150)-N(M94),N(M94)-N(M150)))</f>
        <v/>
      </c>
      <c r="N206" s="109">
        <f>IF(OR($A206="",NOT(OR($B206="Necessidade",$B206="Desejo",$B206="Poupança"))),"",IF($B206="Poupança",N(N150)-N(N94),N(N94)-N(N150)))</f>
        <v/>
      </c>
      <c r="O206" s="109">
        <f>IF(OR($A206="",NOT(OR($B206="Necessidade",$B206="Desejo",$B206="Poupança"))),"",IF($B206="Poupança",N(O150)-N(O94),N(O94)-N(O150)))</f>
        <v/>
      </c>
      <c r="P206" s="109">
        <f>IF(OR($A206="",NOT(OR($B206="Necessidade",$B206="Desejo",$B206="Poupança"))),"",IF($B206="Poupança",N(P150)-N(P94),N(P94)-N(P150)))</f>
        <v/>
      </c>
      <c r="Q206" s="109">
        <f>IF(OR($A206="",NOT(OR($B206="Necessidade",$B206="Desejo",$B206="Poupança"))),"",IF($B206="Poupança",N(Q150)-N(Q94),N(Q94)-N(Q150)))</f>
        <v/>
      </c>
      <c r="R206" s="85">
        <f>IF($A206="","",SUM(F206:Q206))</f>
        <v/>
      </c>
      <c r="S206" s="86">
        <f>IF(OR($A206="",N($R94)=0),"",R206/R94)</f>
        <v/>
      </c>
    </row>
    <row r="207">
      <c r="A207" s="75">
        <f>IF('Fluxo anual'!A48="","",'Fluxo anual'!A48)</f>
        <v/>
      </c>
      <c r="B207" s="75">
        <f>IF($A207="","",'Fluxo anual'!B48)</f>
        <v/>
      </c>
      <c r="C207" s="108" t="n"/>
      <c r="D207" s="108" t="n"/>
      <c r="E207" s="108" t="n"/>
      <c r="F207" s="109">
        <f>IF(OR($A207="",NOT(OR($B207="Necessidade",$B207="Desejo",$B207="Poupança"))),"",IF($B207="Poupança",N(F151)-N(F95),N(F95)-N(F151)))</f>
        <v/>
      </c>
      <c r="G207" s="109">
        <f>IF(OR($A207="",NOT(OR($B207="Necessidade",$B207="Desejo",$B207="Poupança"))),"",IF($B207="Poupança",N(G151)-N(G95),N(G95)-N(G151)))</f>
        <v/>
      </c>
      <c r="H207" s="109">
        <f>IF(OR($A207="",NOT(OR($B207="Necessidade",$B207="Desejo",$B207="Poupança"))),"",IF($B207="Poupança",N(H151)-N(H95),N(H95)-N(H151)))</f>
        <v/>
      </c>
      <c r="I207" s="109">
        <f>IF(OR($A207="",NOT(OR($B207="Necessidade",$B207="Desejo",$B207="Poupança"))),"",IF($B207="Poupança",N(I151)-N(I95),N(I95)-N(I151)))</f>
        <v/>
      </c>
      <c r="J207" s="109">
        <f>IF(OR($A207="",NOT(OR($B207="Necessidade",$B207="Desejo",$B207="Poupança"))),"",IF($B207="Poupança",N(J151)-N(J95),N(J95)-N(J151)))</f>
        <v/>
      </c>
      <c r="K207" s="109">
        <f>IF(OR($A207="",NOT(OR($B207="Necessidade",$B207="Desejo",$B207="Poupança"))),"",IF($B207="Poupança",N(K151)-N(K95),N(K95)-N(K151)))</f>
        <v/>
      </c>
      <c r="L207" s="109">
        <f>IF(OR($A207="",NOT(OR($B207="Necessidade",$B207="Desejo",$B207="Poupança"))),"",IF($B207="Poupança",N(L151)-N(L95),N(L95)-N(L151)))</f>
        <v/>
      </c>
      <c r="M207" s="109">
        <f>IF(OR($A207="",NOT(OR($B207="Necessidade",$B207="Desejo",$B207="Poupança"))),"",IF($B207="Poupança",N(M151)-N(M95),N(M95)-N(M151)))</f>
        <v/>
      </c>
      <c r="N207" s="109">
        <f>IF(OR($A207="",NOT(OR($B207="Necessidade",$B207="Desejo",$B207="Poupança"))),"",IF($B207="Poupança",N(N151)-N(N95),N(N95)-N(N151)))</f>
        <v/>
      </c>
      <c r="O207" s="109">
        <f>IF(OR($A207="",NOT(OR($B207="Necessidade",$B207="Desejo",$B207="Poupança"))),"",IF($B207="Poupança",N(O151)-N(O95),N(O95)-N(O151)))</f>
        <v/>
      </c>
      <c r="P207" s="109">
        <f>IF(OR($A207="",NOT(OR($B207="Necessidade",$B207="Desejo",$B207="Poupança"))),"",IF($B207="Poupança",N(P151)-N(P95),N(P95)-N(P151)))</f>
        <v/>
      </c>
      <c r="Q207" s="109">
        <f>IF(OR($A207="",NOT(OR($B207="Necessidade",$B207="Desejo",$B207="Poupança"))),"",IF($B207="Poupança",N(Q151)-N(Q95),N(Q95)-N(Q151)))</f>
        <v/>
      </c>
      <c r="R207" s="85">
        <f>IF($A207="","",SUM(F207:Q207))</f>
        <v/>
      </c>
      <c r="S207" s="86">
        <f>IF(OR($A207="",N($R95)=0),"",R207/R95)</f>
        <v/>
      </c>
    </row>
    <row r="208">
      <c r="A208" s="75">
        <f>IF('Fluxo anual'!A49="","",'Fluxo anual'!A49)</f>
        <v/>
      </c>
      <c r="B208" s="75">
        <f>IF($A208="","",'Fluxo anual'!B49)</f>
        <v/>
      </c>
      <c r="C208" s="108" t="n"/>
      <c r="D208" s="108" t="n"/>
      <c r="E208" s="108" t="n"/>
      <c r="F208" s="109">
        <f>IF(OR($A208="",NOT(OR($B208="Necessidade",$B208="Desejo",$B208="Poupança"))),"",IF($B208="Poupança",N(F152)-N(F96),N(F96)-N(F152)))</f>
        <v/>
      </c>
      <c r="G208" s="109">
        <f>IF(OR($A208="",NOT(OR($B208="Necessidade",$B208="Desejo",$B208="Poupança"))),"",IF($B208="Poupança",N(G152)-N(G96),N(G96)-N(G152)))</f>
        <v/>
      </c>
      <c r="H208" s="109">
        <f>IF(OR($A208="",NOT(OR($B208="Necessidade",$B208="Desejo",$B208="Poupança"))),"",IF($B208="Poupança",N(H152)-N(H96),N(H96)-N(H152)))</f>
        <v/>
      </c>
      <c r="I208" s="109">
        <f>IF(OR($A208="",NOT(OR($B208="Necessidade",$B208="Desejo",$B208="Poupança"))),"",IF($B208="Poupança",N(I152)-N(I96),N(I96)-N(I152)))</f>
        <v/>
      </c>
      <c r="J208" s="109">
        <f>IF(OR($A208="",NOT(OR($B208="Necessidade",$B208="Desejo",$B208="Poupança"))),"",IF($B208="Poupança",N(J152)-N(J96),N(J96)-N(J152)))</f>
        <v/>
      </c>
      <c r="K208" s="109">
        <f>IF(OR($A208="",NOT(OR($B208="Necessidade",$B208="Desejo",$B208="Poupança"))),"",IF($B208="Poupança",N(K152)-N(K96),N(K96)-N(K152)))</f>
        <v/>
      </c>
      <c r="L208" s="109">
        <f>IF(OR($A208="",NOT(OR($B208="Necessidade",$B208="Desejo",$B208="Poupança"))),"",IF($B208="Poupança",N(L152)-N(L96),N(L96)-N(L152)))</f>
        <v/>
      </c>
      <c r="M208" s="109">
        <f>IF(OR($A208="",NOT(OR($B208="Necessidade",$B208="Desejo",$B208="Poupança"))),"",IF($B208="Poupança",N(M152)-N(M96),N(M96)-N(M152)))</f>
        <v/>
      </c>
      <c r="N208" s="109">
        <f>IF(OR($A208="",NOT(OR($B208="Necessidade",$B208="Desejo",$B208="Poupança"))),"",IF($B208="Poupança",N(N152)-N(N96),N(N96)-N(N152)))</f>
        <v/>
      </c>
      <c r="O208" s="109">
        <f>IF(OR($A208="",NOT(OR($B208="Necessidade",$B208="Desejo",$B208="Poupança"))),"",IF($B208="Poupança",N(O152)-N(O96),N(O96)-N(O152)))</f>
        <v/>
      </c>
      <c r="P208" s="109">
        <f>IF(OR($A208="",NOT(OR($B208="Necessidade",$B208="Desejo",$B208="Poupança"))),"",IF($B208="Poupança",N(P152)-N(P96),N(P96)-N(P152)))</f>
        <v/>
      </c>
      <c r="Q208" s="109">
        <f>IF(OR($A208="",NOT(OR($B208="Necessidade",$B208="Desejo",$B208="Poupança"))),"",IF($B208="Poupança",N(Q152)-N(Q96),N(Q96)-N(Q152)))</f>
        <v/>
      </c>
      <c r="R208" s="85">
        <f>IF($A208="","",SUM(F208:Q208))</f>
        <v/>
      </c>
      <c r="S208" s="86">
        <f>IF(OR($A208="",N($R96)=0),"",R208/R96)</f>
        <v/>
      </c>
    </row>
    <row r="209">
      <c r="A209" s="75">
        <f>IF('Fluxo anual'!A50="","",'Fluxo anual'!A50)</f>
        <v/>
      </c>
      <c r="B209" s="75">
        <f>IF($A209="","",'Fluxo anual'!B50)</f>
        <v/>
      </c>
      <c r="C209" s="108" t="n"/>
      <c r="D209" s="108" t="n"/>
      <c r="E209" s="108" t="n"/>
      <c r="F209" s="109">
        <f>IF(OR($A209="",NOT(OR($B209="Necessidade",$B209="Desejo",$B209="Poupança"))),"",IF($B209="Poupança",N(F153)-N(F97),N(F97)-N(F153)))</f>
        <v/>
      </c>
      <c r="G209" s="109">
        <f>IF(OR($A209="",NOT(OR($B209="Necessidade",$B209="Desejo",$B209="Poupança"))),"",IF($B209="Poupança",N(G153)-N(G97),N(G97)-N(G153)))</f>
        <v/>
      </c>
      <c r="H209" s="109">
        <f>IF(OR($A209="",NOT(OR($B209="Necessidade",$B209="Desejo",$B209="Poupança"))),"",IF($B209="Poupança",N(H153)-N(H97),N(H97)-N(H153)))</f>
        <v/>
      </c>
      <c r="I209" s="109">
        <f>IF(OR($A209="",NOT(OR($B209="Necessidade",$B209="Desejo",$B209="Poupança"))),"",IF($B209="Poupança",N(I153)-N(I97),N(I97)-N(I153)))</f>
        <v/>
      </c>
      <c r="J209" s="109">
        <f>IF(OR($A209="",NOT(OR($B209="Necessidade",$B209="Desejo",$B209="Poupança"))),"",IF($B209="Poupança",N(J153)-N(J97),N(J97)-N(J153)))</f>
        <v/>
      </c>
      <c r="K209" s="109">
        <f>IF(OR($A209="",NOT(OR($B209="Necessidade",$B209="Desejo",$B209="Poupança"))),"",IF($B209="Poupança",N(K153)-N(K97),N(K97)-N(K153)))</f>
        <v/>
      </c>
      <c r="L209" s="109">
        <f>IF(OR($A209="",NOT(OR($B209="Necessidade",$B209="Desejo",$B209="Poupança"))),"",IF($B209="Poupança",N(L153)-N(L97),N(L97)-N(L153)))</f>
        <v/>
      </c>
      <c r="M209" s="109">
        <f>IF(OR($A209="",NOT(OR($B209="Necessidade",$B209="Desejo",$B209="Poupança"))),"",IF($B209="Poupança",N(M153)-N(M97),N(M97)-N(M153)))</f>
        <v/>
      </c>
      <c r="N209" s="109">
        <f>IF(OR($A209="",NOT(OR($B209="Necessidade",$B209="Desejo",$B209="Poupança"))),"",IF($B209="Poupança",N(N153)-N(N97),N(N97)-N(N153)))</f>
        <v/>
      </c>
      <c r="O209" s="109">
        <f>IF(OR($A209="",NOT(OR($B209="Necessidade",$B209="Desejo",$B209="Poupança"))),"",IF($B209="Poupança",N(O153)-N(O97),N(O97)-N(O153)))</f>
        <v/>
      </c>
      <c r="P209" s="109">
        <f>IF(OR($A209="",NOT(OR($B209="Necessidade",$B209="Desejo",$B209="Poupança"))),"",IF($B209="Poupança",N(P153)-N(P97),N(P97)-N(P153)))</f>
        <v/>
      </c>
      <c r="Q209" s="109">
        <f>IF(OR($A209="",NOT(OR($B209="Necessidade",$B209="Desejo",$B209="Poupança"))),"",IF($B209="Poupança",N(Q153)-N(Q97),N(Q97)-N(Q153)))</f>
        <v/>
      </c>
      <c r="R209" s="85">
        <f>IF($A209="","",SUM(F209:Q209))</f>
        <v/>
      </c>
      <c r="S209" s="86">
        <f>IF(OR($A209="",N($R97)=0),"",R209/R97)</f>
        <v/>
      </c>
    </row>
    <row r="210">
      <c r="A210" s="75">
        <f>IF('Fluxo anual'!A51="","",'Fluxo anual'!A51)</f>
        <v/>
      </c>
      <c r="B210" s="75">
        <f>IF($A210="","",'Fluxo anual'!B51)</f>
        <v/>
      </c>
      <c r="C210" s="108" t="n"/>
      <c r="D210" s="108" t="n"/>
      <c r="E210" s="108" t="n"/>
      <c r="F210" s="109">
        <f>IF(OR($A210="",NOT(OR($B210="Necessidade",$B210="Desejo",$B210="Poupança"))),"",IF($B210="Poupança",N(F154)-N(F98),N(F98)-N(F154)))</f>
        <v/>
      </c>
      <c r="G210" s="109">
        <f>IF(OR($A210="",NOT(OR($B210="Necessidade",$B210="Desejo",$B210="Poupança"))),"",IF($B210="Poupança",N(G154)-N(G98),N(G98)-N(G154)))</f>
        <v/>
      </c>
      <c r="H210" s="109">
        <f>IF(OR($A210="",NOT(OR($B210="Necessidade",$B210="Desejo",$B210="Poupança"))),"",IF($B210="Poupança",N(H154)-N(H98),N(H98)-N(H154)))</f>
        <v/>
      </c>
      <c r="I210" s="109">
        <f>IF(OR($A210="",NOT(OR($B210="Necessidade",$B210="Desejo",$B210="Poupança"))),"",IF($B210="Poupança",N(I154)-N(I98),N(I98)-N(I154)))</f>
        <v/>
      </c>
      <c r="J210" s="109">
        <f>IF(OR($A210="",NOT(OR($B210="Necessidade",$B210="Desejo",$B210="Poupança"))),"",IF($B210="Poupança",N(J154)-N(J98),N(J98)-N(J154)))</f>
        <v/>
      </c>
      <c r="K210" s="109">
        <f>IF(OR($A210="",NOT(OR($B210="Necessidade",$B210="Desejo",$B210="Poupança"))),"",IF($B210="Poupança",N(K154)-N(K98),N(K98)-N(K154)))</f>
        <v/>
      </c>
      <c r="L210" s="109">
        <f>IF(OR($A210="",NOT(OR($B210="Necessidade",$B210="Desejo",$B210="Poupança"))),"",IF($B210="Poupança",N(L154)-N(L98),N(L98)-N(L154)))</f>
        <v/>
      </c>
      <c r="M210" s="109">
        <f>IF(OR($A210="",NOT(OR($B210="Necessidade",$B210="Desejo",$B210="Poupança"))),"",IF($B210="Poupança",N(M154)-N(M98),N(M98)-N(M154)))</f>
        <v/>
      </c>
      <c r="N210" s="109">
        <f>IF(OR($A210="",NOT(OR($B210="Necessidade",$B210="Desejo",$B210="Poupança"))),"",IF($B210="Poupança",N(N154)-N(N98),N(N98)-N(N154)))</f>
        <v/>
      </c>
      <c r="O210" s="109">
        <f>IF(OR($A210="",NOT(OR($B210="Necessidade",$B210="Desejo",$B210="Poupança"))),"",IF($B210="Poupança",N(O154)-N(O98),N(O98)-N(O154)))</f>
        <v/>
      </c>
      <c r="P210" s="109">
        <f>IF(OR($A210="",NOT(OR($B210="Necessidade",$B210="Desejo",$B210="Poupança"))),"",IF($B210="Poupança",N(P154)-N(P98),N(P98)-N(P154)))</f>
        <v/>
      </c>
      <c r="Q210" s="109">
        <f>IF(OR($A210="",NOT(OR($B210="Necessidade",$B210="Desejo",$B210="Poupança"))),"",IF($B210="Poupança",N(Q154)-N(Q98),N(Q98)-N(Q154)))</f>
        <v/>
      </c>
      <c r="R210" s="85">
        <f>IF($A210="","",SUM(F210:Q210))</f>
        <v/>
      </c>
      <c r="S210" s="86">
        <f>IF(OR($A210="",N($R98)=0),"",R210/R98)</f>
        <v/>
      </c>
    </row>
    <row r="211">
      <c r="A211" s="75">
        <f>IF('Fluxo anual'!A52="","",'Fluxo anual'!A52)</f>
        <v/>
      </c>
      <c r="B211" s="75">
        <f>IF($A211="","",'Fluxo anual'!B52)</f>
        <v/>
      </c>
      <c r="C211" s="108" t="n"/>
      <c r="D211" s="108" t="n"/>
      <c r="E211" s="108" t="n"/>
      <c r="F211" s="109">
        <f>IF(OR($A211="",NOT(OR($B211="Necessidade",$B211="Desejo",$B211="Poupança"))),"",IF($B211="Poupança",N(F155)-N(F99),N(F99)-N(F155)))</f>
        <v/>
      </c>
      <c r="G211" s="109">
        <f>IF(OR($A211="",NOT(OR($B211="Necessidade",$B211="Desejo",$B211="Poupança"))),"",IF($B211="Poupança",N(G155)-N(G99),N(G99)-N(G155)))</f>
        <v/>
      </c>
      <c r="H211" s="109">
        <f>IF(OR($A211="",NOT(OR($B211="Necessidade",$B211="Desejo",$B211="Poupança"))),"",IF($B211="Poupança",N(H155)-N(H99),N(H99)-N(H155)))</f>
        <v/>
      </c>
      <c r="I211" s="109">
        <f>IF(OR($A211="",NOT(OR($B211="Necessidade",$B211="Desejo",$B211="Poupança"))),"",IF($B211="Poupança",N(I155)-N(I99),N(I99)-N(I155)))</f>
        <v/>
      </c>
      <c r="J211" s="109">
        <f>IF(OR($A211="",NOT(OR($B211="Necessidade",$B211="Desejo",$B211="Poupança"))),"",IF($B211="Poupança",N(J155)-N(J99),N(J99)-N(J155)))</f>
        <v/>
      </c>
      <c r="K211" s="109">
        <f>IF(OR($A211="",NOT(OR($B211="Necessidade",$B211="Desejo",$B211="Poupança"))),"",IF($B211="Poupança",N(K155)-N(K99),N(K99)-N(K155)))</f>
        <v/>
      </c>
      <c r="L211" s="109">
        <f>IF(OR($A211="",NOT(OR($B211="Necessidade",$B211="Desejo",$B211="Poupança"))),"",IF($B211="Poupança",N(L155)-N(L99),N(L99)-N(L155)))</f>
        <v/>
      </c>
      <c r="M211" s="109">
        <f>IF(OR($A211="",NOT(OR($B211="Necessidade",$B211="Desejo",$B211="Poupança"))),"",IF($B211="Poupança",N(M155)-N(M99),N(M99)-N(M155)))</f>
        <v/>
      </c>
      <c r="N211" s="109">
        <f>IF(OR($A211="",NOT(OR($B211="Necessidade",$B211="Desejo",$B211="Poupança"))),"",IF($B211="Poupança",N(N155)-N(N99),N(N99)-N(N155)))</f>
        <v/>
      </c>
      <c r="O211" s="109">
        <f>IF(OR($A211="",NOT(OR($B211="Necessidade",$B211="Desejo",$B211="Poupança"))),"",IF($B211="Poupança",N(O155)-N(O99),N(O99)-N(O155)))</f>
        <v/>
      </c>
      <c r="P211" s="109">
        <f>IF(OR($A211="",NOT(OR($B211="Necessidade",$B211="Desejo",$B211="Poupança"))),"",IF($B211="Poupança",N(P155)-N(P99),N(P99)-N(P155)))</f>
        <v/>
      </c>
      <c r="Q211" s="109">
        <f>IF(OR($A211="",NOT(OR($B211="Necessidade",$B211="Desejo",$B211="Poupança"))),"",IF($B211="Poupança",N(Q155)-N(Q99),N(Q99)-N(Q155)))</f>
        <v/>
      </c>
      <c r="R211" s="85">
        <f>IF($A211="","",SUM(F211:Q211))</f>
        <v/>
      </c>
      <c r="S211" s="86">
        <f>IF(OR($A211="",N($R99)=0),"",R211/R99)</f>
        <v/>
      </c>
    </row>
    <row r="212">
      <c r="A212" s="75">
        <f>IF('Fluxo anual'!A53="","",'Fluxo anual'!A53)</f>
        <v/>
      </c>
      <c r="B212" s="75">
        <f>IF($A212="","",'Fluxo anual'!B53)</f>
        <v/>
      </c>
      <c r="C212" s="108" t="n"/>
      <c r="D212" s="108" t="n"/>
      <c r="E212" s="108" t="n"/>
      <c r="F212" s="109">
        <f>IF(OR($A212="",NOT(OR($B212="Necessidade",$B212="Desejo",$B212="Poupança"))),"",IF($B212="Poupança",N(F156)-N(F100),N(F100)-N(F156)))</f>
        <v/>
      </c>
      <c r="G212" s="109">
        <f>IF(OR($A212="",NOT(OR($B212="Necessidade",$B212="Desejo",$B212="Poupança"))),"",IF($B212="Poupança",N(G156)-N(G100),N(G100)-N(G156)))</f>
        <v/>
      </c>
      <c r="H212" s="109">
        <f>IF(OR($A212="",NOT(OR($B212="Necessidade",$B212="Desejo",$B212="Poupança"))),"",IF($B212="Poupança",N(H156)-N(H100),N(H100)-N(H156)))</f>
        <v/>
      </c>
      <c r="I212" s="109">
        <f>IF(OR($A212="",NOT(OR($B212="Necessidade",$B212="Desejo",$B212="Poupança"))),"",IF($B212="Poupança",N(I156)-N(I100),N(I100)-N(I156)))</f>
        <v/>
      </c>
      <c r="J212" s="109">
        <f>IF(OR($A212="",NOT(OR($B212="Necessidade",$B212="Desejo",$B212="Poupança"))),"",IF($B212="Poupança",N(J156)-N(J100),N(J100)-N(J156)))</f>
        <v/>
      </c>
      <c r="K212" s="109">
        <f>IF(OR($A212="",NOT(OR($B212="Necessidade",$B212="Desejo",$B212="Poupança"))),"",IF($B212="Poupança",N(K156)-N(K100),N(K100)-N(K156)))</f>
        <v/>
      </c>
      <c r="L212" s="109">
        <f>IF(OR($A212="",NOT(OR($B212="Necessidade",$B212="Desejo",$B212="Poupança"))),"",IF($B212="Poupança",N(L156)-N(L100),N(L100)-N(L156)))</f>
        <v/>
      </c>
      <c r="M212" s="109">
        <f>IF(OR($A212="",NOT(OR($B212="Necessidade",$B212="Desejo",$B212="Poupança"))),"",IF($B212="Poupança",N(M156)-N(M100),N(M100)-N(M156)))</f>
        <v/>
      </c>
      <c r="N212" s="109">
        <f>IF(OR($A212="",NOT(OR($B212="Necessidade",$B212="Desejo",$B212="Poupança"))),"",IF($B212="Poupança",N(N156)-N(N100),N(N100)-N(N156)))</f>
        <v/>
      </c>
      <c r="O212" s="109">
        <f>IF(OR($A212="",NOT(OR($B212="Necessidade",$B212="Desejo",$B212="Poupança"))),"",IF($B212="Poupança",N(O156)-N(O100),N(O100)-N(O156)))</f>
        <v/>
      </c>
      <c r="P212" s="109">
        <f>IF(OR($A212="",NOT(OR($B212="Necessidade",$B212="Desejo",$B212="Poupança"))),"",IF($B212="Poupança",N(P156)-N(P100),N(P100)-N(P156)))</f>
        <v/>
      </c>
      <c r="Q212" s="109">
        <f>IF(OR($A212="",NOT(OR($B212="Necessidade",$B212="Desejo",$B212="Poupança"))),"",IF($B212="Poupança",N(Q156)-N(Q100),N(Q100)-N(Q156)))</f>
        <v/>
      </c>
      <c r="R212" s="85">
        <f>IF($A212="","",SUM(F212:Q212))</f>
        <v/>
      </c>
      <c r="S212" s="86">
        <f>IF(OR($A212="",N($R100)=0),"",R212/R100)</f>
        <v/>
      </c>
    </row>
    <row r="213">
      <c r="A213" s="75">
        <f>IF('Fluxo anual'!A54="","",'Fluxo anual'!A54)</f>
        <v/>
      </c>
      <c r="B213" s="75">
        <f>IF($A213="","",'Fluxo anual'!B54)</f>
        <v/>
      </c>
      <c r="C213" s="108" t="n"/>
      <c r="D213" s="108" t="n"/>
      <c r="E213" s="108" t="n"/>
      <c r="F213" s="109">
        <f>IF(OR($A213="",NOT(OR($B213="Necessidade",$B213="Desejo",$B213="Poupança"))),"",IF($B213="Poupança",N(F157)-N(F101),N(F101)-N(F157)))</f>
        <v/>
      </c>
      <c r="G213" s="109">
        <f>IF(OR($A213="",NOT(OR($B213="Necessidade",$B213="Desejo",$B213="Poupança"))),"",IF($B213="Poupança",N(G157)-N(G101),N(G101)-N(G157)))</f>
        <v/>
      </c>
      <c r="H213" s="109">
        <f>IF(OR($A213="",NOT(OR($B213="Necessidade",$B213="Desejo",$B213="Poupança"))),"",IF($B213="Poupança",N(H157)-N(H101),N(H101)-N(H157)))</f>
        <v/>
      </c>
      <c r="I213" s="109">
        <f>IF(OR($A213="",NOT(OR($B213="Necessidade",$B213="Desejo",$B213="Poupança"))),"",IF($B213="Poupança",N(I157)-N(I101),N(I101)-N(I157)))</f>
        <v/>
      </c>
      <c r="J213" s="109">
        <f>IF(OR($A213="",NOT(OR($B213="Necessidade",$B213="Desejo",$B213="Poupança"))),"",IF($B213="Poupança",N(J157)-N(J101),N(J101)-N(J157)))</f>
        <v/>
      </c>
      <c r="K213" s="109">
        <f>IF(OR($A213="",NOT(OR($B213="Necessidade",$B213="Desejo",$B213="Poupança"))),"",IF($B213="Poupança",N(K157)-N(K101),N(K101)-N(K157)))</f>
        <v/>
      </c>
      <c r="L213" s="109">
        <f>IF(OR($A213="",NOT(OR($B213="Necessidade",$B213="Desejo",$B213="Poupança"))),"",IF($B213="Poupança",N(L157)-N(L101),N(L101)-N(L157)))</f>
        <v/>
      </c>
      <c r="M213" s="109">
        <f>IF(OR($A213="",NOT(OR($B213="Necessidade",$B213="Desejo",$B213="Poupança"))),"",IF($B213="Poupança",N(M157)-N(M101),N(M101)-N(M157)))</f>
        <v/>
      </c>
      <c r="N213" s="109">
        <f>IF(OR($A213="",NOT(OR($B213="Necessidade",$B213="Desejo",$B213="Poupança"))),"",IF($B213="Poupança",N(N157)-N(N101),N(N101)-N(N157)))</f>
        <v/>
      </c>
      <c r="O213" s="109">
        <f>IF(OR($A213="",NOT(OR($B213="Necessidade",$B213="Desejo",$B213="Poupança"))),"",IF($B213="Poupança",N(O157)-N(O101),N(O101)-N(O157)))</f>
        <v/>
      </c>
      <c r="P213" s="109">
        <f>IF(OR($A213="",NOT(OR($B213="Necessidade",$B213="Desejo",$B213="Poupança"))),"",IF($B213="Poupança",N(P157)-N(P101),N(P101)-N(P157)))</f>
        <v/>
      </c>
      <c r="Q213" s="109">
        <f>IF(OR($A213="",NOT(OR($B213="Necessidade",$B213="Desejo",$B213="Poupança"))),"",IF($B213="Poupança",N(Q157)-N(Q101),N(Q101)-N(Q157)))</f>
        <v/>
      </c>
      <c r="R213" s="85">
        <f>IF($A213="","",SUM(F213:Q213))</f>
        <v/>
      </c>
      <c r="S213" s="86">
        <f>IF(OR($A213="",N($R101)=0),"",R213/R101)</f>
        <v/>
      </c>
    </row>
    <row r="214">
      <c r="A214" s="75">
        <f>IF('Fluxo anual'!A55="","",'Fluxo anual'!A55)</f>
        <v/>
      </c>
      <c r="B214" s="75">
        <f>IF($A214="","",'Fluxo anual'!B55)</f>
        <v/>
      </c>
      <c r="C214" s="108" t="n"/>
      <c r="D214" s="108" t="n"/>
      <c r="E214" s="108" t="n"/>
      <c r="F214" s="109">
        <f>IF(OR($A214="",NOT(OR($B214="Necessidade",$B214="Desejo",$B214="Poupança"))),"",IF($B214="Poupança",N(F158)-N(F102),N(F102)-N(F158)))</f>
        <v/>
      </c>
      <c r="G214" s="109">
        <f>IF(OR($A214="",NOT(OR($B214="Necessidade",$B214="Desejo",$B214="Poupança"))),"",IF($B214="Poupança",N(G158)-N(G102),N(G102)-N(G158)))</f>
        <v/>
      </c>
      <c r="H214" s="109">
        <f>IF(OR($A214="",NOT(OR($B214="Necessidade",$B214="Desejo",$B214="Poupança"))),"",IF($B214="Poupança",N(H158)-N(H102),N(H102)-N(H158)))</f>
        <v/>
      </c>
      <c r="I214" s="109">
        <f>IF(OR($A214="",NOT(OR($B214="Necessidade",$B214="Desejo",$B214="Poupança"))),"",IF($B214="Poupança",N(I158)-N(I102),N(I102)-N(I158)))</f>
        <v/>
      </c>
      <c r="J214" s="109">
        <f>IF(OR($A214="",NOT(OR($B214="Necessidade",$B214="Desejo",$B214="Poupança"))),"",IF($B214="Poupança",N(J158)-N(J102),N(J102)-N(J158)))</f>
        <v/>
      </c>
      <c r="K214" s="109">
        <f>IF(OR($A214="",NOT(OR($B214="Necessidade",$B214="Desejo",$B214="Poupança"))),"",IF($B214="Poupança",N(K158)-N(K102),N(K102)-N(K158)))</f>
        <v/>
      </c>
      <c r="L214" s="109">
        <f>IF(OR($A214="",NOT(OR($B214="Necessidade",$B214="Desejo",$B214="Poupança"))),"",IF($B214="Poupança",N(L158)-N(L102),N(L102)-N(L158)))</f>
        <v/>
      </c>
      <c r="M214" s="109">
        <f>IF(OR($A214="",NOT(OR($B214="Necessidade",$B214="Desejo",$B214="Poupança"))),"",IF($B214="Poupança",N(M158)-N(M102),N(M102)-N(M158)))</f>
        <v/>
      </c>
      <c r="N214" s="109">
        <f>IF(OR($A214="",NOT(OR($B214="Necessidade",$B214="Desejo",$B214="Poupança"))),"",IF($B214="Poupança",N(N158)-N(N102),N(N102)-N(N158)))</f>
        <v/>
      </c>
      <c r="O214" s="109">
        <f>IF(OR($A214="",NOT(OR($B214="Necessidade",$B214="Desejo",$B214="Poupança"))),"",IF($B214="Poupança",N(O158)-N(O102),N(O102)-N(O158)))</f>
        <v/>
      </c>
      <c r="P214" s="109">
        <f>IF(OR($A214="",NOT(OR($B214="Necessidade",$B214="Desejo",$B214="Poupança"))),"",IF($B214="Poupança",N(P158)-N(P102),N(P102)-N(P158)))</f>
        <v/>
      </c>
      <c r="Q214" s="109">
        <f>IF(OR($A214="",NOT(OR($B214="Necessidade",$B214="Desejo",$B214="Poupança"))),"",IF($B214="Poupança",N(Q158)-N(Q102),N(Q102)-N(Q158)))</f>
        <v/>
      </c>
      <c r="R214" s="85">
        <f>IF($A214="","",SUM(F214:Q214))</f>
        <v/>
      </c>
      <c r="S214" s="86">
        <f>IF(OR($A214="",N($R102)=0),"",R214/R102)</f>
        <v/>
      </c>
    </row>
    <row r="215">
      <c r="A215" s="75">
        <f>IF('Fluxo anual'!A56="","",'Fluxo anual'!A56)</f>
        <v/>
      </c>
      <c r="B215" s="75">
        <f>IF($A215="","",'Fluxo anual'!B56)</f>
        <v/>
      </c>
      <c r="C215" s="108" t="n"/>
      <c r="D215" s="108" t="n"/>
      <c r="E215" s="108" t="n"/>
      <c r="F215" s="109">
        <f>IF(OR($A215="",NOT(OR($B215="Necessidade",$B215="Desejo",$B215="Poupança"))),"",IF($B215="Poupança",N(F159)-N(F103),N(F103)-N(F159)))</f>
        <v/>
      </c>
      <c r="G215" s="109">
        <f>IF(OR($A215="",NOT(OR($B215="Necessidade",$B215="Desejo",$B215="Poupança"))),"",IF($B215="Poupança",N(G159)-N(G103),N(G103)-N(G159)))</f>
        <v/>
      </c>
      <c r="H215" s="109">
        <f>IF(OR($A215="",NOT(OR($B215="Necessidade",$B215="Desejo",$B215="Poupança"))),"",IF($B215="Poupança",N(H159)-N(H103),N(H103)-N(H159)))</f>
        <v/>
      </c>
      <c r="I215" s="109">
        <f>IF(OR($A215="",NOT(OR($B215="Necessidade",$B215="Desejo",$B215="Poupança"))),"",IF($B215="Poupança",N(I159)-N(I103),N(I103)-N(I159)))</f>
        <v/>
      </c>
      <c r="J215" s="109">
        <f>IF(OR($A215="",NOT(OR($B215="Necessidade",$B215="Desejo",$B215="Poupança"))),"",IF($B215="Poupança",N(J159)-N(J103),N(J103)-N(J159)))</f>
        <v/>
      </c>
      <c r="K215" s="109">
        <f>IF(OR($A215="",NOT(OR($B215="Necessidade",$B215="Desejo",$B215="Poupança"))),"",IF($B215="Poupança",N(K159)-N(K103),N(K103)-N(K159)))</f>
        <v/>
      </c>
      <c r="L215" s="109">
        <f>IF(OR($A215="",NOT(OR($B215="Necessidade",$B215="Desejo",$B215="Poupança"))),"",IF($B215="Poupança",N(L159)-N(L103),N(L103)-N(L159)))</f>
        <v/>
      </c>
      <c r="M215" s="109">
        <f>IF(OR($A215="",NOT(OR($B215="Necessidade",$B215="Desejo",$B215="Poupança"))),"",IF($B215="Poupança",N(M159)-N(M103),N(M103)-N(M159)))</f>
        <v/>
      </c>
      <c r="N215" s="109">
        <f>IF(OR($A215="",NOT(OR($B215="Necessidade",$B215="Desejo",$B215="Poupança"))),"",IF($B215="Poupança",N(N159)-N(N103),N(N103)-N(N159)))</f>
        <v/>
      </c>
      <c r="O215" s="109">
        <f>IF(OR($A215="",NOT(OR($B215="Necessidade",$B215="Desejo",$B215="Poupança"))),"",IF($B215="Poupança",N(O159)-N(O103),N(O103)-N(O159)))</f>
        <v/>
      </c>
      <c r="P215" s="109">
        <f>IF(OR($A215="",NOT(OR($B215="Necessidade",$B215="Desejo",$B215="Poupança"))),"",IF($B215="Poupança",N(P159)-N(P103),N(P103)-N(P159)))</f>
        <v/>
      </c>
      <c r="Q215" s="109">
        <f>IF(OR($A215="",NOT(OR($B215="Necessidade",$B215="Desejo",$B215="Poupança"))),"",IF($B215="Poupança",N(Q159)-N(Q103),N(Q103)-N(Q159)))</f>
        <v/>
      </c>
      <c r="R215" s="85">
        <f>IF($A215="","",SUM(F215:Q215))</f>
        <v/>
      </c>
      <c r="S215" s="86">
        <f>IF(OR($A215="",N($R103)=0),"",R215/R103)</f>
        <v/>
      </c>
    </row>
    <row r="216">
      <c r="A216" s="75">
        <f>IF('Fluxo anual'!A57="","",'Fluxo anual'!A57)</f>
        <v/>
      </c>
      <c r="B216" s="75">
        <f>IF($A216="","",'Fluxo anual'!B57)</f>
        <v/>
      </c>
      <c r="C216" s="108" t="n"/>
      <c r="D216" s="108" t="n"/>
      <c r="E216" s="108" t="n"/>
      <c r="F216" s="109">
        <f>IF(OR($A216="",NOT(OR($B216="Necessidade",$B216="Desejo",$B216="Poupança"))),"",IF($B216="Poupança",N(F160)-N(F104),N(F104)-N(F160)))</f>
        <v/>
      </c>
      <c r="G216" s="109">
        <f>IF(OR($A216="",NOT(OR($B216="Necessidade",$B216="Desejo",$B216="Poupança"))),"",IF($B216="Poupança",N(G160)-N(G104),N(G104)-N(G160)))</f>
        <v/>
      </c>
      <c r="H216" s="109">
        <f>IF(OR($A216="",NOT(OR($B216="Necessidade",$B216="Desejo",$B216="Poupança"))),"",IF($B216="Poupança",N(H160)-N(H104),N(H104)-N(H160)))</f>
        <v/>
      </c>
      <c r="I216" s="109">
        <f>IF(OR($A216="",NOT(OR($B216="Necessidade",$B216="Desejo",$B216="Poupança"))),"",IF($B216="Poupança",N(I160)-N(I104),N(I104)-N(I160)))</f>
        <v/>
      </c>
      <c r="J216" s="109">
        <f>IF(OR($A216="",NOT(OR($B216="Necessidade",$B216="Desejo",$B216="Poupança"))),"",IF($B216="Poupança",N(J160)-N(J104),N(J104)-N(J160)))</f>
        <v/>
      </c>
      <c r="K216" s="109">
        <f>IF(OR($A216="",NOT(OR($B216="Necessidade",$B216="Desejo",$B216="Poupança"))),"",IF($B216="Poupança",N(K160)-N(K104),N(K104)-N(K160)))</f>
        <v/>
      </c>
      <c r="L216" s="109">
        <f>IF(OR($A216="",NOT(OR($B216="Necessidade",$B216="Desejo",$B216="Poupança"))),"",IF($B216="Poupança",N(L160)-N(L104),N(L104)-N(L160)))</f>
        <v/>
      </c>
      <c r="M216" s="109">
        <f>IF(OR($A216="",NOT(OR($B216="Necessidade",$B216="Desejo",$B216="Poupança"))),"",IF($B216="Poupança",N(M160)-N(M104),N(M104)-N(M160)))</f>
        <v/>
      </c>
      <c r="N216" s="109">
        <f>IF(OR($A216="",NOT(OR($B216="Necessidade",$B216="Desejo",$B216="Poupança"))),"",IF($B216="Poupança",N(N160)-N(N104),N(N104)-N(N160)))</f>
        <v/>
      </c>
      <c r="O216" s="109">
        <f>IF(OR($A216="",NOT(OR($B216="Necessidade",$B216="Desejo",$B216="Poupança"))),"",IF($B216="Poupança",N(O160)-N(O104),N(O104)-N(O160)))</f>
        <v/>
      </c>
      <c r="P216" s="109">
        <f>IF(OR($A216="",NOT(OR($B216="Necessidade",$B216="Desejo",$B216="Poupança"))),"",IF($B216="Poupança",N(P160)-N(P104),N(P104)-N(P160)))</f>
        <v/>
      </c>
      <c r="Q216" s="109">
        <f>IF(OR($A216="",NOT(OR($B216="Necessidade",$B216="Desejo",$B216="Poupança"))),"",IF($B216="Poupança",N(Q160)-N(Q104),N(Q104)-N(Q160)))</f>
        <v/>
      </c>
      <c r="R216" s="85">
        <f>IF($A216="","",SUM(F216:Q216))</f>
        <v/>
      </c>
      <c r="S216" s="86">
        <f>IF(OR($A216="",N($R104)=0),"",R216/R104)</f>
        <v/>
      </c>
    </row>
    <row r="217">
      <c r="A217" s="75">
        <f>IF('Fluxo anual'!A58="","",'Fluxo anual'!A58)</f>
        <v/>
      </c>
      <c r="B217" s="75">
        <f>IF($A217="","",'Fluxo anual'!B58)</f>
        <v/>
      </c>
      <c r="C217" s="108" t="n"/>
      <c r="D217" s="108" t="n"/>
      <c r="E217" s="108" t="n"/>
      <c r="F217" s="109">
        <f>IF(OR($A217="",NOT(OR($B217="Necessidade",$B217="Desejo",$B217="Poupança"))),"",IF($B217="Poupança",N(F161)-N(F105),N(F105)-N(F161)))</f>
        <v/>
      </c>
      <c r="G217" s="109">
        <f>IF(OR($A217="",NOT(OR($B217="Necessidade",$B217="Desejo",$B217="Poupança"))),"",IF($B217="Poupança",N(G161)-N(G105),N(G105)-N(G161)))</f>
        <v/>
      </c>
      <c r="H217" s="109">
        <f>IF(OR($A217="",NOT(OR($B217="Necessidade",$B217="Desejo",$B217="Poupança"))),"",IF($B217="Poupança",N(H161)-N(H105),N(H105)-N(H161)))</f>
        <v/>
      </c>
      <c r="I217" s="109">
        <f>IF(OR($A217="",NOT(OR($B217="Necessidade",$B217="Desejo",$B217="Poupança"))),"",IF($B217="Poupança",N(I161)-N(I105),N(I105)-N(I161)))</f>
        <v/>
      </c>
      <c r="J217" s="109">
        <f>IF(OR($A217="",NOT(OR($B217="Necessidade",$B217="Desejo",$B217="Poupança"))),"",IF($B217="Poupança",N(J161)-N(J105),N(J105)-N(J161)))</f>
        <v/>
      </c>
      <c r="K217" s="109">
        <f>IF(OR($A217="",NOT(OR($B217="Necessidade",$B217="Desejo",$B217="Poupança"))),"",IF($B217="Poupança",N(K161)-N(K105),N(K105)-N(K161)))</f>
        <v/>
      </c>
      <c r="L217" s="109">
        <f>IF(OR($A217="",NOT(OR($B217="Necessidade",$B217="Desejo",$B217="Poupança"))),"",IF($B217="Poupança",N(L161)-N(L105),N(L105)-N(L161)))</f>
        <v/>
      </c>
      <c r="M217" s="109">
        <f>IF(OR($A217="",NOT(OR($B217="Necessidade",$B217="Desejo",$B217="Poupança"))),"",IF($B217="Poupança",N(M161)-N(M105),N(M105)-N(M161)))</f>
        <v/>
      </c>
      <c r="N217" s="109">
        <f>IF(OR($A217="",NOT(OR($B217="Necessidade",$B217="Desejo",$B217="Poupança"))),"",IF($B217="Poupança",N(N161)-N(N105),N(N105)-N(N161)))</f>
        <v/>
      </c>
      <c r="O217" s="109">
        <f>IF(OR($A217="",NOT(OR($B217="Necessidade",$B217="Desejo",$B217="Poupança"))),"",IF($B217="Poupança",N(O161)-N(O105),N(O105)-N(O161)))</f>
        <v/>
      </c>
      <c r="P217" s="109">
        <f>IF(OR($A217="",NOT(OR($B217="Necessidade",$B217="Desejo",$B217="Poupança"))),"",IF($B217="Poupança",N(P161)-N(P105),N(P105)-N(P161)))</f>
        <v/>
      </c>
      <c r="Q217" s="109">
        <f>IF(OR($A217="",NOT(OR($B217="Necessidade",$B217="Desejo",$B217="Poupança"))),"",IF($B217="Poupança",N(Q161)-N(Q105),N(Q105)-N(Q161)))</f>
        <v/>
      </c>
      <c r="R217" s="85">
        <f>IF($A217="","",SUM(F217:Q217))</f>
        <v/>
      </c>
      <c r="S217" s="86">
        <f>IF(OR($A217="",N($R105)=0),"",R217/R105)</f>
        <v/>
      </c>
    </row>
    <row r="218">
      <c r="A218" s="75">
        <f>IF('Fluxo anual'!A59="","",'Fluxo anual'!A59)</f>
        <v/>
      </c>
      <c r="B218" s="75">
        <f>IF($A218="","",'Fluxo anual'!B59)</f>
        <v/>
      </c>
      <c r="C218" s="108" t="n"/>
      <c r="D218" s="108" t="n"/>
      <c r="E218" s="108" t="n"/>
      <c r="F218" s="109">
        <f>IF(OR($A218="",NOT(OR($B218="Necessidade",$B218="Desejo",$B218="Poupança"))),"",IF($B218="Poupança",N(F162)-N(F106),N(F106)-N(F162)))</f>
        <v/>
      </c>
      <c r="G218" s="109">
        <f>IF(OR($A218="",NOT(OR($B218="Necessidade",$B218="Desejo",$B218="Poupança"))),"",IF($B218="Poupança",N(G162)-N(G106),N(G106)-N(G162)))</f>
        <v/>
      </c>
      <c r="H218" s="109">
        <f>IF(OR($A218="",NOT(OR($B218="Necessidade",$B218="Desejo",$B218="Poupança"))),"",IF($B218="Poupança",N(H162)-N(H106),N(H106)-N(H162)))</f>
        <v/>
      </c>
      <c r="I218" s="109">
        <f>IF(OR($A218="",NOT(OR($B218="Necessidade",$B218="Desejo",$B218="Poupança"))),"",IF($B218="Poupança",N(I162)-N(I106),N(I106)-N(I162)))</f>
        <v/>
      </c>
      <c r="J218" s="109">
        <f>IF(OR($A218="",NOT(OR($B218="Necessidade",$B218="Desejo",$B218="Poupança"))),"",IF($B218="Poupança",N(J162)-N(J106),N(J106)-N(J162)))</f>
        <v/>
      </c>
      <c r="K218" s="109">
        <f>IF(OR($A218="",NOT(OR($B218="Necessidade",$B218="Desejo",$B218="Poupança"))),"",IF($B218="Poupança",N(K162)-N(K106),N(K106)-N(K162)))</f>
        <v/>
      </c>
      <c r="L218" s="109">
        <f>IF(OR($A218="",NOT(OR($B218="Necessidade",$B218="Desejo",$B218="Poupança"))),"",IF($B218="Poupança",N(L162)-N(L106),N(L106)-N(L162)))</f>
        <v/>
      </c>
      <c r="M218" s="109">
        <f>IF(OR($A218="",NOT(OR($B218="Necessidade",$B218="Desejo",$B218="Poupança"))),"",IF($B218="Poupança",N(M162)-N(M106),N(M106)-N(M162)))</f>
        <v/>
      </c>
      <c r="N218" s="109">
        <f>IF(OR($A218="",NOT(OR($B218="Necessidade",$B218="Desejo",$B218="Poupança"))),"",IF($B218="Poupança",N(N162)-N(N106),N(N106)-N(N162)))</f>
        <v/>
      </c>
      <c r="O218" s="109">
        <f>IF(OR($A218="",NOT(OR($B218="Necessidade",$B218="Desejo",$B218="Poupança"))),"",IF($B218="Poupança",N(O162)-N(O106),N(O106)-N(O162)))</f>
        <v/>
      </c>
      <c r="P218" s="109">
        <f>IF(OR($A218="",NOT(OR($B218="Necessidade",$B218="Desejo",$B218="Poupança"))),"",IF($B218="Poupança",N(P162)-N(P106),N(P106)-N(P162)))</f>
        <v/>
      </c>
      <c r="Q218" s="109">
        <f>IF(OR($A218="",NOT(OR($B218="Necessidade",$B218="Desejo",$B218="Poupança"))),"",IF($B218="Poupança",N(Q162)-N(Q106),N(Q106)-N(Q162)))</f>
        <v/>
      </c>
      <c r="R218" s="85">
        <f>IF($A218="","",SUM(F218:Q218))</f>
        <v/>
      </c>
      <c r="S218" s="86">
        <f>IF(OR($A218="",N($R106)=0),"",R218/R106)</f>
        <v/>
      </c>
    </row>
    <row r="219">
      <c r="A219" s="75">
        <f>IF('Fluxo anual'!A60="","",'Fluxo anual'!A60)</f>
        <v/>
      </c>
      <c r="B219" s="75">
        <f>IF($A219="","",'Fluxo anual'!B60)</f>
        <v/>
      </c>
      <c r="C219" s="108" t="n"/>
      <c r="D219" s="108" t="n"/>
      <c r="E219" s="108" t="n"/>
      <c r="F219" s="109">
        <f>IF(OR($A219="",NOT(OR($B219="Necessidade",$B219="Desejo",$B219="Poupança"))),"",IF($B219="Poupança",N(F163)-N(F107),N(F107)-N(F163)))</f>
        <v/>
      </c>
      <c r="G219" s="109">
        <f>IF(OR($A219="",NOT(OR($B219="Necessidade",$B219="Desejo",$B219="Poupança"))),"",IF($B219="Poupança",N(G163)-N(G107),N(G107)-N(G163)))</f>
        <v/>
      </c>
      <c r="H219" s="109">
        <f>IF(OR($A219="",NOT(OR($B219="Necessidade",$B219="Desejo",$B219="Poupança"))),"",IF($B219="Poupança",N(H163)-N(H107),N(H107)-N(H163)))</f>
        <v/>
      </c>
      <c r="I219" s="109">
        <f>IF(OR($A219="",NOT(OR($B219="Necessidade",$B219="Desejo",$B219="Poupança"))),"",IF($B219="Poupança",N(I163)-N(I107),N(I107)-N(I163)))</f>
        <v/>
      </c>
      <c r="J219" s="109">
        <f>IF(OR($A219="",NOT(OR($B219="Necessidade",$B219="Desejo",$B219="Poupança"))),"",IF($B219="Poupança",N(J163)-N(J107),N(J107)-N(J163)))</f>
        <v/>
      </c>
      <c r="K219" s="109">
        <f>IF(OR($A219="",NOT(OR($B219="Necessidade",$B219="Desejo",$B219="Poupança"))),"",IF($B219="Poupança",N(K163)-N(K107),N(K107)-N(K163)))</f>
        <v/>
      </c>
      <c r="L219" s="109">
        <f>IF(OR($A219="",NOT(OR($B219="Necessidade",$B219="Desejo",$B219="Poupança"))),"",IF($B219="Poupança",N(L163)-N(L107),N(L107)-N(L163)))</f>
        <v/>
      </c>
      <c r="M219" s="109">
        <f>IF(OR($A219="",NOT(OR($B219="Necessidade",$B219="Desejo",$B219="Poupança"))),"",IF($B219="Poupança",N(M163)-N(M107),N(M107)-N(M163)))</f>
        <v/>
      </c>
      <c r="N219" s="109">
        <f>IF(OR($A219="",NOT(OR($B219="Necessidade",$B219="Desejo",$B219="Poupança"))),"",IF($B219="Poupança",N(N163)-N(N107),N(N107)-N(N163)))</f>
        <v/>
      </c>
      <c r="O219" s="109">
        <f>IF(OR($A219="",NOT(OR($B219="Necessidade",$B219="Desejo",$B219="Poupança"))),"",IF($B219="Poupança",N(O163)-N(O107),N(O107)-N(O163)))</f>
        <v/>
      </c>
      <c r="P219" s="109">
        <f>IF(OR($A219="",NOT(OR($B219="Necessidade",$B219="Desejo",$B219="Poupança"))),"",IF($B219="Poupança",N(P163)-N(P107),N(P107)-N(P163)))</f>
        <v/>
      </c>
      <c r="Q219" s="109">
        <f>IF(OR($A219="",NOT(OR($B219="Necessidade",$B219="Desejo",$B219="Poupança"))),"",IF($B219="Poupança",N(Q163)-N(Q107),N(Q107)-N(Q163)))</f>
        <v/>
      </c>
      <c r="R219" s="85">
        <f>IF($A219="","",SUM(F219:Q219))</f>
        <v/>
      </c>
      <c r="S219" s="86">
        <f>IF(OR($A219="",N($R107)=0),"",R219/R107)</f>
        <v/>
      </c>
    </row>
    <row r="220">
      <c r="A220" s="75">
        <f>IF('Fluxo anual'!A61="","",'Fluxo anual'!A61)</f>
        <v/>
      </c>
      <c r="B220" s="75">
        <f>IF($A220="","",'Fluxo anual'!B61)</f>
        <v/>
      </c>
      <c r="C220" s="108" t="n"/>
      <c r="D220" s="108" t="n"/>
      <c r="E220" s="108" t="n"/>
      <c r="F220" s="109">
        <f>IF(OR($A220="",NOT(OR($B220="Necessidade",$B220="Desejo",$B220="Poupança"))),"",IF($B220="Poupança",N(F164)-N(F108),N(F108)-N(F164)))</f>
        <v/>
      </c>
      <c r="G220" s="109">
        <f>IF(OR($A220="",NOT(OR($B220="Necessidade",$B220="Desejo",$B220="Poupança"))),"",IF($B220="Poupança",N(G164)-N(G108),N(G108)-N(G164)))</f>
        <v/>
      </c>
      <c r="H220" s="109">
        <f>IF(OR($A220="",NOT(OR($B220="Necessidade",$B220="Desejo",$B220="Poupança"))),"",IF($B220="Poupança",N(H164)-N(H108),N(H108)-N(H164)))</f>
        <v/>
      </c>
      <c r="I220" s="109">
        <f>IF(OR($A220="",NOT(OR($B220="Necessidade",$B220="Desejo",$B220="Poupança"))),"",IF($B220="Poupança",N(I164)-N(I108),N(I108)-N(I164)))</f>
        <v/>
      </c>
      <c r="J220" s="109">
        <f>IF(OR($A220="",NOT(OR($B220="Necessidade",$B220="Desejo",$B220="Poupança"))),"",IF($B220="Poupança",N(J164)-N(J108),N(J108)-N(J164)))</f>
        <v/>
      </c>
      <c r="K220" s="109">
        <f>IF(OR($A220="",NOT(OR($B220="Necessidade",$B220="Desejo",$B220="Poupança"))),"",IF($B220="Poupança",N(K164)-N(K108),N(K108)-N(K164)))</f>
        <v/>
      </c>
      <c r="L220" s="109">
        <f>IF(OR($A220="",NOT(OR($B220="Necessidade",$B220="Desejo",$B220="Poupança"))),"",IF($B220="Poupança",N(L164)-N(L108),N(L108)-N(L164)))</f>
        <v/>
      </c>
      <c r="M220" s="109">
        <f>IF(OR($A220="",NOT(OR($B220="Necessidade",$B220="Desejo",$B220="Poupança"))),"",IF($B220="Poupança",N(M164)-N(M108),N(M108)-N(M164)))</f>
        <v/>
      </c>
      <c r="N220" s="109">
        <f>IF(OR($A220="",NOT(OR($B220="Necessidade",$B220="Desejo",$B220="Poupança"))),"",IF($B220="Poupança",N(N164)-N(N108),N(N108)-N(N164)))</f>
        <v/>
      </c>
      <c r="O220" s="109">
        <f>IF(OR($A220="",NOT(OR($B220="Necessidade",$B220="Desejo",$B220="Poupança"))),"",IF($B220="Poupança",N(O164)-N(O108),N(O108)-N(O164)))</f>
        <v/>
      </c>
      <c r="P220" s="109">
        <f>IF(OR($A220="",NOT(OR($B220="Necessidade",$B220="Desejo",$B220="Poupança"))),"",IF($B220="Poupança",N(P164)-N(P108),N(P108)-N(P164)))</f>
        <v/>
      </c>
      <c r="Q220" s="109">
        <f>IF(OR($A220="",NOT(OR($B220="Necessidade",$B220="Desejo",$B220="Poupança"))),"",IF($B220="Poupança",N(Q164)-N(Q108),N(Q108)-N(Q164)))</f>
        <v/>
      </c>
      <c r="R220" s="85">
        <f>IF($A220="","",SUM(F220:Q220))</f>
        <v/>
      </c>
      <c r="S220" s="86">
        <f>IF(OR($A220="",N($R108)=0),"",R220/R108)</f>
        <v/>
      </c>
    </row>
    <row r="221">
      <c r="A221" s="75">
        <f>IF('Fluxo anual'!A62="","",'Fluxo anual'!A62)</f>
        <v/>
      </c>
      <c r="B221" s="75">
        <f>IF($A221="","",'Fluxo anual'!B62)</f>
        <v/>
      </c>
      <c r="C221" s="108" t="n"/>
      <c r="D221" s="108" t="n"/>
      <c r="E221" s="108" t="n"/>
      <c r="F221" s="109">
        <f>IF(OR($A221="",NOT(OR($B221="Necessidade",$B221="Desejo",$B221="Poupança"))),"",IF($B221="Poupança",N(F165)-N(F109),N(F109)-N(F165)))</f>
        <v/>
      </c>
      <c r="G221" s="109">
        <f>IF(OR($A221="",NOT(OR($B221="Necessidade",$B221="Desejo",$B221="Poupança"))),"",IF($B221="Poupança",N(G165)-N(G109),N(G109)-N(G165)))</f>
        <v/>
      </c>
      <c r="H221" s="109">
        <f>IF(OR($A221="",NOT(OR($B221="Necessidade",$B221="Desejo",$B221="Poupança"))),"",IF($B221="Poupança",N(H165)-N(H109),N(H109)-N(H165)))</f>
        <v/>
      </c>
      <c r="I221" s="109">
        <f>IF(OR($A221="",NOT(OR($B221="Necessidade",$B221="Desejo",$B221="Poupança"))),"",IF($B221="Poupança",N(I165)-N(I109),N(I109)-N(I165)))</f>
        <v/>
      </c>
      <c r="J221" s="109">
        <f>IF(OR($A221="",NOT(OR($B221="Necessidade",$B221="Desejo",$B221="Poupança"))),"",IF($B221="Poupança",N(J165)-N(J109),N(J109)-N(J165)))</f>
        <v/>
      </c>
      <c r="K221" s="109">
        <f>IF(OR($A221="",NOT(OR($B221="Necessidade",$B221="Desejo",$B221="Poupança"))),"",IF($B221="Poupança",N(K165)-N(K109),N(K109)-N(K165)))</f>
        <v/>
      </c>
      <c r="L221" s="109">
        <f>IF(OR($A221="",NOT(OR($B221="Necessidade",$B221="Desejo",$B221="Poupança"))),"",IF($B221="Poupança",N(L165)-N(L109),N(L109)-N(L165)))</f>
        <v/>
      </c>
      <c r="M221" s="109">
        <f>IF(OR($A221="",NOT(OR($B221="Necessidade",$B221="Desejo",$B221="Poupança"))),"",IF($B221="Poupança",N(M165)-N(M109),N(M109)-N(M165)))</f>
        <v/>
      </c>
      <c r="N221" s="109">
        <f>IF(OR($A221="",NOT(OR($B221="Necessidade",$B221="Desejo",$B221="Poupança"))),"",IF($B221="Poupança",N(N165)-N(N109),N(N109)-N(N165)))</f>
        <v/>
      </c>
      <c r="O221" s="109">
        <f>IF(OR($A221="",NOT(OR($B221="Necessidade",$B221="Desejo",$B221="Poupança"))),"",IF($B221="Poupança",N(O165)-N(O109),N(O109)-N(O165)))</f>
        <v/>
      </c>
      <c r="P221" s="109">
        <f>IF(OR($A221="",NOT(OR($B221="Necessidade",$B221="Desejo",$B221="Poupança"))),"",IF($B221="Poupança",N(P165)-N(P109),N(P109)-N(P165)))</f>
        <v/>
      </c>
      <c r="Q221" s="109">
        <f>IF(OR($A221="",NOT(OR($B221="Necessidade",$B221="Desejo",$B221="Poupança"))),"",IF($B221="Poupança",N(Q165)-N(Q109),N(Q109)-N(Q165)))</f>
        <v/>
      </c>
      <c r="R221" s="85">
        <f>IF($A221="","",SUM(F221:Q221))</f>
        <v/>
      </c>
      <c r="S221" s="86">
        <f>IF(OR($A221="",N($R109)=0),"",R221/R109)</f>
        <v/>
      </c>
    </row>
    <row r="222">
      <c r="A222" s="75">
        <f>IF('Fluxo anual'!A63="","",'Fluxo anual'!A63)</f>
        <v/>
      </c>
      <c r="B222" s="75">
        <f>IF($A222="","",'Fluxo anual'!B63)</f>
        <v/>
      </c>
      <c r="C222" s="108" t="n"/>
      <c r="D222" s="108" t="n"/>
      <c r="E222" s="108" t="n"/>
      <c r="F222" s="109">
        <f>IF(OR($A222="",NOT(OR($B222="Necessidade",$B222="Desejo",$B222="Poupança"))),"",IF($B222="Poupança",N(F166)-N(F110),N(F110)-N(F166)))</f>
        <v/>
      </c>
      <c r="G222" s="109">
        <f>IF(OR($A222="",NOT(OR($B222="Necessidade",$B222="Desejo",$B222="Poupança"))),"",IF($B222="Poupança",N(G166)-N(G110),N(G110)-N(G166)))</f>
        <v/>
      </c>
      <c r="H222" s="109">
        <f>IF(OR($A222="",NOT(OR($B222="Necessidade",$B222="Desejo",$B222="Poupança"))),"",IF($B222="Poupança",N(H166)-N(H110),N(H110)-N(H166)))</f>
        <v/>
      </c>
      <c r="I222" s="109">
        <f>IF(OR($A222="",NOT(OR($B222="Necessidade",$B222="Desejo",$B222="Poupança"))),"",IF($B222="Poupança",N(I166)-N(I110),N(I110)-N(I166)))</f>
        <v/>
      </c>
      <c r="J222" s="109">
        <f>IF(OR($A222="",NOT(OR($B222="Necessidade",$B222="Desejo",$B222="Poupança"))),"",IF($B222="Poupança",N(J166)-N(J110),N(J110)-N(J166)))</f>
        <v/>
      </c>
      <c r="K222" s="109">
        <f>IF(OR($A222="",NOT(OR($B222="Necessidade",$B222="Desejo",$B222="Poupança"))),"",IF($B222="Poupança",N(K166)-N(K110),N(K110)-N(K166)))</f>
        <v/>
      </c>
      <c r="L222" s="109">
        <f>IF(OR($A222="",NOT(OR($B222="Necessidade",$B222="Desejo",$B222="Poupança"))),"",IF($B222="Poupança",N(L166)-N(L110),N(L110)-N(L166)))</f>
        <v/>
      </c>
      <c r="M222" s="109">
        <f>IF(OR($A222="",NOT(OR($B222="Necessidade",$B222="Desejo",$B222="Poupança"))),"",IF($B222="Poupança",N(M166)-N(M110),N(M110)-N(M166)))</f>
        <v/>
      </c>
      <c r="N222" s="109">
        <f>IF(OR($A222="",NOT(OR($B222="Necessidade",$B222="Desejo",$B222="Poupança"))),"",IF($B222="Poupança",N(N166)-N(N110),N(N110)-N(N166)))</f>
        <v/>
      </c>
      <c r="O222" s="109">
        <f>IF(OR($A222="",NOT(OR($B222="Necessidade",$B222="Desejo",$B222="Poupança"))),"",IF($B222="Poupança",N(O166)-N(O110),N(O110)-N(O166)))</f>
        <v/>
      </c>
      <c r="P222" s="109">
        <f>IF(OR($A222="",NOT(OR($B222="Necessidade",$B222="Desejo",$B222="Poupança"))),"",IF($B222="Poupança",N(P166)-N(P110),N(P110)-N(P166)))</f>
        <v/>
      </c>
      <c r="Q222" s="109">
        <f>IF(OR($A222="",NOT(OR($B222="Necessidade",$B222="Desejo",$B222="Poupança"))),"",IF($B222="Poupança",N(Q166)-N(Q110),N(Q110)-N(Q166)))</f>
        <v/>
      </c>
      <c r="R222" s="85">
        <f>IF($A222="","",SUM(F222:Q222))</f>
        <v/>
      </c>
      <c r="S222" s="86">
        <f>IF(OR($A222="",N($R110)=0),"",R222/R110)</f>
        <v/>
      </c>
    </row>
    <row r="223">
      <c r="A223" s="75">
        <f>IF('Fluxo anual'!A64="","",'Fluxo anual'!A64)</f>
        <v/>
      </c>
      <c r="B223" s="75">
        <f>IF($A223="","",'Fluxo anual'!B64)</f>
        <v/>
      </c>
      <c r="C223" s="108" t="n"/>
      <c r="D223" s="108" t="n"/>
      <c r="E223" s="108" t="n"/>
      <c r="F223" s="109">
        <f>IF(OR($A223="",NOT(OR($B223="Necessidade",$B223="Desejo",$B223="Poupança"))),"",IF($B223="Poupança",N(F167)-N(F111),N(F111)-N(F167)))</f>
        <v/>
      </c>
      <c r="G223" s="109">
        <f>IF(OR($A223="",NOT(OR($B223="Necessidade",$B223="Desejo",$B223="Poupança"))),"",IF($B223="Poupança",N(G167)-N(G111),N(G111)-N(G167)))</f>
        <v/>
      </c>
      <c r="H223" s="109">
        <f>IF(OR($A223="",NOT(OR($B223="Necessidade",$B223="Desejo",$B223="Poupança"))),"",IF($B223="Poupança",N(H167)-N(H111),N(H111)-N(H167)))</f>
        <v/>
      </c>
      <c r="I223" s="109">
        <f>IF(OR($A223="",NOT(OR($B223="Necessidade",$B223="Desejo",$B223="Poupança"))),"",IF($B223="Poupança",N(I167)-N(I111),N(I111)-N(I167)))</f>
        <v/>
      </c>
      <c r="J223" s="109">
        <f>IF(OR($A223="",NOT(OR($B223="Necessidade",$B223="Desejo",$B223="Poupança"))),"",IF($B223="Poupança",N(J167)-N(J111),N(J111)-N(J167)))</f>
        <v/>
      </c>
      <c r="K223" s="109">
        <f>IF(OR($A223="",NOT(OR($B223="Necessidade",$B223="Desejo",$B223="Poupança"))),"",IF($B223="Poupança",N(K167)-N(K111),N(K111)-N(K167)))</f>
        <v/>
      </c>
      <c r="L223" s="109">
        <f>IF(OR($A223="",NOT(OR($B223="Necessidade",$B223="Desejo",$B223="Poupança"))),"",IF($B223="Poupança",N(L167)-N(L111),N(L111)-N(L167)))</f>
        <v/>
      </c>
      <c r="M223" s="109">
        <f>IF(OR($A223="",NOT(OR($B223="Necessidade",$B223="Desejo",$B223="Poupança"))),"",IF($B223="Poupança",N(M167)-N(M111),N(M111)-N(M167)))</f>
        <v/>
      </c>
      <c r="N223" s="109">
        <f>IF(OR($A223="",NOT(OR($B223="Necessidade",$B223="Desejo",$B223="Poupança"))),"",IF($B223="Poupança",N(N167)-N(N111),N(N111)-N(N167)))</f>
        <v/>
      </c>
      <c r="O223" s="109">
        <f>IF(OR($A223="",NOT(OR($B223="Necessidade",$B223="Desejo",$B223="Poupança"))),"",IF($B223="Poupança",N(O167)-N(O111),N(O111)-N(O167)))</f>
        <v/>
      </c>
      <c r="P223" s="109">
        <f>IF(OR($A223="",NOT(OR($B223="Necessidade",$B223="Desejo",$B223="Poupança"))),"",IF($B223="Poupança",N(P167)-N(P111),N(P111)-N(P167)))</f>
        <v/>
      </c>
      <c r="Q223" s="109">
        <f>IF(OR($A223="",NOT(OR($B223="Necessidade",$B223="Desejo",$B223="Poupança"))),"",IF($B223="Poupança",N(Q167)-N(Q111),N(Q111)-N(Q167)))</f>
        <v/>
      </c>
      <c r="R223" s="85">
        <f>IF($A223="","",SUM(F223:Q223))</f>
        <v/>
      </c>
      <c r="S223" s="86">
        <f>IF(OR($A223="",N($R111)=0),"",R223/R111)</f>
        <v/>
      </c>
    </row>
    <row r="224">
      <c r="A224" s="75">
        <f>IF('Fluxo anual'!A65="","",'Fluxo anual'!A65)</f>
        <v/>
      </c>
      <c r="B224" s="75">
        <f>IF($A224="","",'Fluxo anual'!B65)</f>
        <v/>
      </c>
      <c r="C224" s="108" t="n"/>
      <c r="D224" s="108" t="n"/>
      <c r="E224" s="108" t="n"/>
      <c r="F224" s="109">
        <f>IF(OR($A224="",NOT(OR($B224="Necessidade",$B224="Desejo",$B224="Poupança"))),"",IF($B224="Poupança",N(F168)-N(F112),N(F112)-N(F168)))</f>
        <v/>
      </c>
      <c r="G224" s="109">
        <f>IF(OR($A224="",NOT(OR($B224="Necessidade",$B224="Desejo",$B224="Poupança"))),"",IF($B224="Poupança",N(G168)-N(G112),N(G112)-N(G168)))</f>
        <v/>
      </c>
      <c r="H224" s="109">
        <f>IF(OR($A224="",NOT(OR($B224="Necessidade",$B224="Desejo",$B224="Poupança"))),"",IF($B224="Poupança",N(H168)-N(H112),N(H112)-N(H168)))</f>
        <v/>
      </c>
      <c r="I224" s="109">
        <f>IF(OR($A224="",NOT(OR($B224="Necessidade",$B224="Desejo",$B224="Poupança"))),"",IF($B224="Poupança",N(I168)-N(I112),N(I112)-N(I168)))</f>
        <v/>
      </c>
      <c r="J224" s="109">
        <f>IF(OR($A224="",NOT(OR($B224="Necessidade",$B224="Desejo",$B224="Poupança"))),"",IF($B224="Poupança",N(J168)-N(J112),N(J112)-N(J168)))</f>
        <v/>
      </c>
      <c r="K224" s="109">
        <f>IF(OR($A224="",NOT(OR($B224="Necessidade",$B224="Desejo",$B224="Poupança"))),"",IF($B224="Poupança",N(K168)-N(K112),N(K112)-N(K168)))</f>
        <v/>
      </c>
      <c r="L224" s="109">
        <f>IF(OR($A224="",NOT(OR($B224="Necessidade",$B224="Desejo",$B224="Poupança"))),"",IF($B224="Poupança",N(L168)-N(L112),N(L112)-N(L168)))</f>
        <v/>
      </c>
      <c r="M224" s="109">
        <f>IF(OR($A224="",NOT(OR($B224="Necessidade",$B224="Desejo",$B224="Poupança"))),"",IF($B224="Poupança",N(M168)-N(M112),N(M112)-N(M168)))</f>
        <v/>
      </c>
      <c r="N224" s="109">
        <f>IF(OR($A224="",NOT(OR($B224="Necessidade",$B224="Desejo",$B224="Poupança"))),"",IF($B224="Poupança",N(N168)-N(N112),N(N112)-N(N168)))</f>
        <v/>
      </c>
      <c r="O224" s="109">
        <f>IF(OR($A224="",NOT(OR($B224="Necessidade",$B224="Desejo",$B224="Poupança"))),"",IF($B224="Poupança",N(O168)-N(O112),N(O112)-N(O168)))</f>
        <v/>
      </c>
      <c r="P224" s="109">
        <f>IF(OR($A224="",NOT(OR($B224="Necessidade",$B224="Desejo",$B224="Poupança"))),"",IF($B224="Poupança",N(P168)-N(P112),N(P112)-N(P168)))</f>
        <v/>
      </c>
      <c r="Q224" s="109">
        <f>IF(OR($A224="",NOT(OR($B224="Necessidade",$B224="Desejo",$B224="Poupança"))),"",IF($B224="Poupança",N(Q168)-N(Q112),N(Q112)-N(Q168)))</f>
        <v/>
      </c>
      <c r="R224" s="85">
        <f>IF($A224="","",SUM(F224:Q224))</f>
        <v/>
      </c>
      <c r="S224" s="86">
        <f>IF(OR($A224="",N($R112)=0),"",R224/R112)</f>
        <v/>
      </c>
    </row>
    <row r="225">
      <c r="A225" s="75">
        <f>IF('Fluxo anual'!A66="","",'Fluxo anual'!A66)</f>
        <v/>
      </c>
      <c r="B225" s="75">
        <f>IF($A225="","",'Fluxo anual'!B66)</f>
        <v/>
      </c>
      <c r="C225" s="108" t="n"/>
      <c r="D225" s="108" t="n"/>
      <c r="E225" s="108" t="n"/>
      <c r="F225" s="109">
        <f>IF(OR($A225="",NOT(OR($B225="Necessidade",$B225="Desejo",$B225="Poupança"))),"",IF($B225="Poupança",N(F169)-N(F113),N(F113)-N(F169)))</f>
        <v/>
      </c>
      <c r="G225" s="109">
        <f>IF(OR($A225="",NOT(OR($B225="Necessidade",$B225="Desejo",$B225="Poupança"))),"",IF($B225="Poupança",N(G169)-N(G113),N(G113)-N(G169)))</f>
        <v/>
      </c>
      <c r="H225" s="109">
        <f>IF(OR($A225="",NOT(OR($B225="Necessidade",$B225="Desejo",$B225="Poupança"))),"",IF($B225="Poupança",N(H169)-N(H113),N(H113)-N(H169)))</f>
        <v/>
      </c>
      <c r="I225" s="109">
        <f>IF(OR($A225="",NOT(OR($B225="Necessidade",$B225="Desejo",$B225="Poupança"))),"",IF($B225="Poupança",N(I169)-N(I113),N(I113)-N(I169)))</f>
        <v/>
      </c>
      <c r="J225" s="109">
        <f>IF(OR($A225="",NOT(OR($B225="Necessidade",$B225="Desejo",$B225="Poupança"))),"",IF($B225="Poupança",N(J169)-N(J113),N(J113)-N(J169)))</f>
        <v/>
      </c>
      <c r="K225" s="109">
        <f>IF(OR($A225="",NOT(OR($B225="Necessidade",$B225="Desejo",$B225="Poupança"))),"",IF($B225="Poupança",N(K169)-N(K113),N(K113)-N(K169)))</f>
        <v/>
      </c>
      <c r="L225" s="109">
        <f>IF(OR($A225="",NOT(OR($B225="Necessidade",$B225="Desejo",$B225="Poupança"))),"",IF($B225="Poupança",N(L169)-N(L113),N(L113)-N(L169)))</f>
        <v/>
      </c>
      <c r="M225" s="109">
        <f>IF(OR($A225="",NOT(OR($B225="Necessidade",$B225="Desejo",$B225="Poupança"))),"",IF($B225="Poupança",N(M169)-N(M113),N(M113)-N(M169)))</f>
        <v/>
      </c>
      <c r="N225" s="109">
        <f>IF(OR($A225="",NOT(OR($B225="Necessidade",$B225="Desejo",$B225="Poupança"))),"",IF($B225="Poupança",N(N169)-N(N113),N(N113)-N(N169)))</f>
        <v/>
      </c>
      <c r="O225" s="109">
        <f>IF(OR($A225="",NOT(OR($B225="Necessidade",$B225="Desejo",$B225="Poupança"))),"",IF($B225="Poupança",N(O169)-N(O113),N(O113)-N(O169)))</f>
        <v/>
      </c>
      <c r="P225" s="109">
        <f>IF(OR($A225="",NOT(OR($B225="Necessidade",$B225="Desejo",$B225="Poupança"))),"",IF($B225="Poupança",N(P169)-N(P113),N(P113)-N(P169)))</f>
        <v/>
      </c>
      <c r="Q225" s="109">
        <f>IF(OR($A225="",NOT(OR($B225="Necessidade",$B225="Desejo",$B225="Poupança"))),"",IF($B225="Poupança",N(Q169)-N(Q113),N(Q113)-N(Q169)))</f>
        <v/>
      </c>
      <c r="R225" s="85">
        <f>IF($A225="","",SUM(F225:Q225))</f>
        <v/>
      </c>
      <c r="S225" s="86">
        <f>IF(OR($A225="",N($R113)=0),"",R225/R113)</f>
        <v/>
      </c>
    </row>
    <row r="226">
      <c r="A226" s="75">
        <f>IF('Fluxo anual'!A67="","",'Fluxo anual'!A67)</f>
        <v/>
      </c>
      <c r="B226" s="75">
        <f>IF($A226="","",'Fluxo anual'!B67)</f>
        <v/>
      </c>
      <c r="C226" s="108" t="n"/>
      <c r="D226" s="108" t="n"/>
      <c r="E226" s="108" t="n"/>
      <c r="F226" s="109">
        <f>IF(OR($A226="",NOT(OR($B226="Necessidade",$B226="Desejo",$B226="Poupança"))),"",IF($B226="Poupança",N(F170)-N(F114),N(F114)-N(F170)))</f>
        <v/>
      </c>
      <c r="G226" s="109">
        <f>IF(OR($A226="",NOT(OR($B226="Necessidade",$B226="Desejo",$B226="Poupança"))),"",IF($B226="Poupança",N(G170)-N(G114),N(G114)-N(G170)))</f>
        <v/>
      </c>
      <c r="H226" s="109">
        <f>IF(OR($A226="",NOT(OR($B226="Necessidade",$B226="Desejo",$B226="Poupança"))),"",IF($B226="Poupança",N(H170)-N(H114),N(H114)-N(H170)))</f>
        <v/>
      </c>
      <c r="I226" s="109">
        <f>IF(OR($A226="",NOT(OR($B226="Necessidade",$B226="Desejo",$B226="Poupança"))),"",IF($B226="Poupança",N(I170)-N(I114),N(I114)-N(I170)))</f>
        <v/>
      </c>
      <c r="J226" s="109">
        <f>IF(OR($A226="",NOT(OR($B226="Necessidade",$B226="Desejo",$B226="Poupança"))),"",IF($B226="Poupança",N(J170)-N(J114),N(J114)-N(J170)))</f>
        <v/>
      </c>
      <c r="K226" s="109">
        <f>IF(OR($A226="",NOT(OR($B226="Necessidade",$B226="Desejo",$B226="Poupança"))),"",IF($B226="Poupança",N(K170)-N(K114),N(K114)-N(K170)))</f>
        <v/>
      </c>
      <c r="L226" s="109">
        <f>IF(OR($A226="",NOT(OR($B226="Necessidade",$B226="Desejo",$B226="Poupança"))),"",IF($B226="Poupança",N(L170)-N(L114),N(L114)-N(L170)))</f>
        <v/>
      </c>
      <c r="M226" s="109">
        <f>IF(OR($A226="",NOT(OR($B226="Necessidade",$B226="Desejo",$B226="Poupança"))),"",IF($B226="Poupança",N(M170)-N(M114),N(M114)-N(M170)))</f>
        <v/>
      </c>
      <c r="N226" s="109">
        <f>IF(OR($A226="",NOT(OR($B226="Necessidade",$B226="Desejo",$B226="Poupança"))),"",IF($B226="Poupança",N(N170)-N(N114),N(N114)-N(N170)))</f>
        <v/>
      </c>
      <c r="O226" s="109">
        <f>IF(OR($A226="",NOT(OR($B226="Necessidade",$B226="Desejo",$B226="Poupança"))),"",IF($B226="Poupança",N(O170)-N(O114),N(O114)-N(O170)))</f>
        <v/>
      </c>
      <c r="P226" s="109">
        <f>IF(OR($A226="",NOT(OR($B226="Necessidade",$B226="Desejo",$B226="Poupança"))),"",IF($B226="Poupança",N(P170)-N(P114),N(P114)-N(P170)))</f>
        <v/>
      </c>
      <c r="Q226" s="109">
        <f>IF(OR($A226="",NOT(OR($B226="Necessidade",$B226="Desejo",$B226="Poupança"))),"",IF($B226="Poupança",N(Q170)-N(Q114),N(Q114)-N(Q170)))</f>
        <v/>
      </c>
      <c r="R226" s="85">
        <f>IF($A226="","",SUM(F226:Q226))</f>
        <v/>
      </c>
      <c r="S226" s="86">
        <f>IF(OR($A226="",N($R114)=0),"",R226/R114)</f>
        <v/>
      </c>
    </row>
    <row r="227">
      <c r="A227" s="75">
        <f>IF('Fluxo anual'!A68="","",'Fluxo anual'!A68)</f>
        <v/>
      </c>
      <c r="B227" s="75">
        <f>IF($A227="","",'Fluxo anual'!B68)</f>
        <v/>
      </c>
      <c r="C227" s="108" t="n"/>
      <c r="D227" s="108" t="n"/>
      <c r="E227" s="108" t="n"/>
      <c r="F227" s="109">
        <f>IF(OR($A227="",NOT(OR($B227="Necessidade",$B227="Desejo",$B227="Poupança"))),"",IF($B227="Poupança",N(F171)-N(F115),N(F115)-N(F171)))</f>
        <v/>
      </c>
      <c r="G227" s="109">
        <f>IF(OR($A227="",NOT(OR($B227="Necessidade",$B227="Desejo",$B227="Poupança"))),"",IF($B227="Poupança",N(G171)-N(G115),N(G115)-N(G171)))</f>
        <v/>
      </c>
      <c r="H227" s="109">
        <f>IF(OR($A227="",NOT(OR($B227="Necessidade",$B227="Desejo",$B227="Poupança"))),"",IF($B227="Poupança",N(H171)-N(H115),N(H115)-N(H171)))</f>
        <v/>
      </c>
      <c r="I227" s="109">
        <f>IF(OR($A227="",NOT(OR($B227="Necessidade",$B227="Desejo",$B227="Poupança"))),"",IF($B227="Poupança",N(I171)-N(I115),N(I115)-N(I171)))</f>
        <v/>
      </c>
      <c r="J227" s="109">
        <f>IF(OR($A227="",NOT(OR($B227="Necessidade",$B227="Desejo",$B227="Poupança"))),"",IF($B227="Poupança",N(J171)-N(J115),N(J115)-N(J171)))</f>
        <v/>
      </c>
      <c r="K227" s="109">
        <f>IF(OR($A227="",NOT(OR($B227="Necessidade",$B227="Desejo",$B227="Poupança"))),"",IF($B227="Poupança",N(K171)-N(K115),N(K115)-N(K171)))</f>
        <v/>
      </c>
      <c r="L227" s="109">
        <f>IF(OR($A227="",NOT(OR($B227="Necessidade",$B227="Desejo",$B227="Poupança"))),"",IF($B227="Poupança",N(L171)-N(L115),N(L115)-N(L171)))</f>
        <v/>
      </c>
      <c r="M227" s="109">
        <f>IF(OR($A227="",NOT(OR($B227="Necessidade",$B227="Desejo",$B227="Poupança"))),"",IF($B227="Poupança",N(M171)-N(M115),N(M115)-N(M171)))</f>
        <v/>
      </c>
      <c r="N227" s="109">
        <f>IF(OR($A227="",NOT(OR($B227="Necessidade",$B227="Desejo",$B227="Poupança"))),"",IF($B227="Poupança",N(N171)-N(N115),N(N115)-N(N171)))</f>
        <v/>
      </c>
      <c r="O227" s="109">
        <f>IF(OR($A227="",NOT(OR($B227="Necessidade",$B227="Desejo",$B227="Poupança"))),"",IF($B227="Poupança",N(O171)-N(O115),N(O115)-N(O171)))</f>
        <v/>
      </c>
      <c r="P227" s="109">
        <f>IF(OR($A227="",NOT(OR($B227="Necessidade",$B227="Desejo",$B227="Poupança"))),"",IF($B227="Poupança",N(P171)-N(P115),N(P115)-N(P171)))</f>
        <v/>
      </c>
      <c r="Q227" s="109">
        <f>IF(OR($A227="",NOT(OR($B227="Necessidade",$B227="Desejo",$B227="Poupança"))),"",IF($B227="Poupança",N(Q171)-N(Q115),N(Q115)-N(Q171)))</f>
        <v/>
      </c>
      <c r="R227" s="85">
        <f>IF($A227="","",SUM(F227:Q227))</f>
        <v/>
      </c>
      <c r="S227" s="86">
        <f>IF(OR($A227="",N($R115)=0),"",R227/R115)</f>
        <v/>
      </c>
    </row>
    <row r="228">
      <c r="A228" s="75">
        <f>IF('Fluxo anual'!A69="","",'Fluxo anual'!A69)</f>
        <v/>
      </c>
      <c r="B228" s="75">
        <f>IF($A228="","",'Fluxo anual'!B69)</f>
        <v/>
      </c>
      <c r="C228" s="108" t="n"/>
      <c r="D228" s="108" t="n"/>
      <c r="E228" s="108" t="n"/>
      <c r="F228" s="109">
        <f>IF(OR($A228="",NOT(OR($B228="Necessidade",$B228="Desejo",$B228="Poupança"))),"",IF($B228="Poupança",N(F172)-N(F116),N(F116)-N(F172)))</f>
        <v/>
      </c>
      <c r="G228" s="109">
        <f>IF(OR($A228="",NOT(OR($B228="Necessidade",$B228="Desejo",$B228="Poupança"))),"",IF($B228="Poupança",N(G172)-N(G116),N(G116)-N(G172)))</f>
        <v/>
      </c>
      <c r="H228" s="109">
        <f>IF(OR($A228="",NOT(OR($B228="Necessidade",$B228="Desejo",$B228="Poupança"))),"",IF($B228="Poupança",N(H172)-N(H116),N(H116)-N(H172)))</f>
        <v/>
      </c>
      <c r="I228" s="109">
        <f>IF(OR($A228="",NOT(OR($B228="Necessidade",$B228="Desejo",$B228="Poupança"))),"",IF($B228="Poupança",N(I172)-N(I116),N(I116)-N(I172)))</f>
        <v/>
      </c>
      <c r="J228" s="109">
        <f>IF(OR($A228="",NOT(OR($B228="Necessidade",$B228="Desejo",$B228="Poupança"))),"",IF($B228="Poupança",N(J172)-N(J116),N(J116)-N(J172)))</f>
        <v/>
      </c>
      <c r="K228" s="109">
        <f>IF(OR($A228="",NOT(OR($B228="Necessidade",$B228="Desejo",$B228="Poupança"))),"",IF($B228="Poupança",N(K172)-N(K116),N(K116)-N(K172)))</f>
        <v/>
      </c>
      <c r="L228" s="109">
        <f>IF(OR($A228="",NOT(OR($B228="Necessidade",$B228="Desejo",$B228="Poupança"))),"",IF($B228="Poupança",N(L172)-N(L116),N(L116)-N(L172)))</f>
        <v/>
      </c>
      <c r="M228" s="109">
        <f>IF(OR($A228="",NOT(OR($B228="Necessidade",$B228="Desejo",$B228="Poupança"))),"",IF($B228="Poupança",N(M172)-N(M116),N(M116)-N(M172)))</f>
        <v/>
      </c>
      <c r="N228" s="109">
        <f>IF(OR($A228="",NOT(OR($B228="Necessidade",$B228="Desejo",$B228="Poupança"))),"",IF($B228="Poupança",N(N172)-N(N116),N(N116)-N(N172)))</f>
        <v/>
      </c>
      <c r="O228" s="109">
        <f>IF(OR($A228="",NOT(OR($B228="Necessidade",$B228="Desejo",$B228="Poupança"))),"",IF($B228="Poupança",N(O172)-N(O116),N(O116)-N(O172)))</f>
        <v/>
      </c>
      <c r="P228" s="109">
        <f>IF(OR($A228="",NOT(OR($B228="Necessidade",$B228="Desejo",$B228="Poupança"))),"",IF($B228="Poupança",N(P172)-N(P116),N(P116)-N(P172)))</f>
        <v/>
      </c>
      <c r="Q228" s="109">
        <f>IF(OR($A228="",NOT(OR($B228="Necessidade",$B228="Desejo",$B228="Poupança"))),"",IF($B228="Poupança",N(Q172)-N(Q116),N(Q116)-N(Q172)))</f>
        <v/>
      </c>
      <c r="R228" s="85">
        <f>IF($A228="","",SUM(F228:Q228))</f>
        <v/>
      </c>
      <c r="S228" s="86">
        <f>IF(OR($A228="",N($R116)=0),"",R228/R116)</f>
        <v/>
      </c>
    </row>
    <row r="229">
      <c r="A229" s="75">
        <f>IF('Fluxo anual'!A70="","",'Fluxo anual'!A70)</f>
        <v/>
      </c>
      <c r="B229" s="75">
        <f>IF($A229="","",'Fluxo anual'!B70)</f>
        <v/>
      </c>
      <c r="C229" s="108" t="n"/>
      <c r="D229" s="108" t="n"/>
      <c r="E229" s="108" t="n"/>
      <c r="F229" s="109">
        <f>IF(OR($A229="",NOT(OR($B229="Necessidade",$B229="Desejo",$B229="Poupança"))),"",IF($B229="Poupança",N(F173)-N(F117),N(F117)-N(F173)))</f>
        <v/>
      </c>
      <c r="G229" s="109">
        <f>IF(OR($A229="",NOT(OR($B229="Necessidade",$B229="Desejo",$B229="Poupança"))),"",IF($B229="Poupança",N(G173)-N(G117),N(G117)-N(G173)))</f>
        <v/>
      </c>
      <c r="H229" s="109">
        <f>IF(OR($A229="",NOT(OR($B229="Necessidade",$B229="Desejo",$B229="Poupança"))),"",IF($B229="Poupança",N(H173)-N(H117),N(H117)-N(H173)))</f>
        <v/>
      </c>
      <c r="I229" s="109">
        <f>IF(OR($A229="",NOT(OR($B229="Necessidade",$B229="Desejo",$B229="Poupança"))),"",IF($B229="Poupança",N(I173)-N(I117),N(I117)-N(I173)))</f>
        <v/>
      </c>
      <c r="J229" s="109">
        <f>IF(OR($A229="",NOT(OR($B229="Necessidade",$B229="Desejo",$B229="Poupança"))),"",IF($B229="Poupança",N(J173)-N(J117),N(J117)-N(J173)))</f>
        <v/>
      </c>
      <c r="K229" s="109">
        <f>IF(OR($A229="",NOT(OR($B229="Necessidade",$B229="Desejo",$B229="Poupança"))),"",IF($B229="Poupança",N(K173)-N(K117),N(K117)-N(K173)))</f>
        <v/>
      </c>
      <c r="L229" s="109">
        <f>IF(OR($A229="",NOT(OR($B229="Necessidade",$B229="Desejo",$B229="Poupança"))),"",IF($B229="Poupança",N(L173)-N(L117),N(L117)-N(L173)))</f>
        <v/>
      </c>
      <c r="M229" s="109">
        <f>IF(OR($A229="",NOT(OR($B229="Necessidade",$B229="Desejo",$B229="Poupança"))),"",IF($B229="Poupança",N(M173)-N(M117),N(M117)-N(M173)))</f>
        <v/>
      </c>
      <c r="N229" s="109">
        <f>IF(OR($A229="",NOT(OR($B229="Necessidade",$B229="Desejo",$B229="Poupança"))),"",IF($B229="Poupança",N(N173)-N(N117),N(N117)-N(N173)))</f>
        <v/>
      </c>
      <c r="O229" s="109">
        <f>IF(OR($A229="",NOT(OR($B229="Necessidade",$B229="Desejo",$B229="Poupança"))),"",IF($B229="Poupança",N(O173)-N(O117),N(O117)-N(O173)))</f>
        <v/>
      </c>
      <c r="P229" s="109">
        <f>IF(OR($A229="",NOT(OR($B229="Necessidade",$B229="Desejo",$B229="Poupança"))),"",IF($B229="Poupança",N(P173)-N(P117),N(P117)-N(P173)))</f>
        <v/>
      </c>
      <c r="Q229" s="109">
        <f>IF(OR($A229="",NOT(OR($B229="Necessidade",$B229="Desejo",$B229="Poupança"))),"",IF($B229="Poupança",N(Q173)-N(Q117),N(Q117)-N(Q173)))</f>
        <v/>
      </c>
      <c r="R229" s="85">
        <f>IF($A229="","",SUM(F229:Q229))</f>
        <v/>
      </c>
      <c r="S229" s="86">
        <f>IF(OR($A229="",N($R117)=0),"",R229/R117)</f>
        <v/>
      </c>
    </row>
    <row r="230">
      <c r="A230" s="75">
        <f>IF('Fluxo anual'!A71="","",'Fluxo anual'!A71)</f>
        <v/>
      </c>
      <c r="B230" s="75">
        <f>IF($A230="","",'Fluxo anual'!B71)</f>
        <v/>
      </c>
      <c r="C230" s="108" t="n"/>
      <c r="D230" s="108" t="n"/>
      <c r="E230" s="108" t="n"/>
      <c r="F230" s="109">
        <f>IF(OR($A230="",NOT(OR($B230="Necessidade",$B230="Desejo",$B230="Poupança"))),"",IF($B230="Poupança",N(F174)-N(F118),N(F118)-N(F174)))</f>
        <v/>
      </c>
      <c r="G230" s="109">
        <f>IF(OR($A230="",NOT(OR($B230="Necessidade",$B230="Desejo",$B230="Poupança"))),"",IF($B230="Poupança",N(G174)-N(G118),N(G118)-N(G174)))</f>
        <v/>
      </c>
      <c r="H230" s="109">
        <f>IF(OR($A230="",NOT(OR($B230="Necessidade",$B230="Desejo",$B230="Poupança"))),"",IF($B230="Poupança",N(H174)-N(H118),N(H118)-N(H174)))</f>
        <v/>
      </c>
      <c r="I230" s="109">
        <f>IF(OR($A230="",NOT(OR($B230="Necessidade",$B230="Desejo",$B230="Poupança"))),"",IF($B230="Poupança",N(I174)-N(I118),N(I118)-N(I174)))</f>
        <v/>
      </c>
      <c r="J230" s="109">
        <f>IF(OR($A230="",NOT(OR($B230="Necessidade",$B230="Desejo",$B230="Poupança"))),"",IF($B230="Poupança",N(J174)-N(J118),N(J118)-N(J174)))</f>
        <v/>
      </c>
      <c r="K230" s="109">
        <f>IF(OR($A230="",NOT(OR($B230="Necessidade",$B230="Desejo",$B230="Poupança"))),"",IF($B230="Poupança",N(K174)-N(K118),N(K118)-N(K174)))</f>
        <v/>
      </c>
      <c r="L230" s="109">
        <f>IF(OR($A230="",NOT(OR($B230="Necessidade",$B230="Desejo",$B230="Poupança"))),"",IF($B230="Poupança",N(L174)-N(L118),N(L118)-N(L174)))</f>
        <v/>
      </c>
      <c r="M230" s="109">
        <f>IF(OR($A230="",NOT(OR($B230="Necessidade",$B230="Desejo",$B230="Poupança"))),"",IF($B230="Poupança",N(M174)-N(M118),N(M118)-N(M174)))</f>
        <v/>
      </c>
      <c r="N230" s="109">
        <f>IF(OR($A230="",NOT(OR($B230="Necessidade",$B230="Desejo",$B230="Poupança"))),"",IF($B230="Poupança",N(N174)-N(N118),N(N118)-N(N174)))</f>
        <v/>
      </c>
      <c r="O230" s="109">
        <f>IF(OR($A230="",NOT(OR($B230="Necessidade",$B230="Desejo",$B230="Poupança"))),"",IF($B230="Poupança",N(O174)-N(O118),N(O118)-N(O174)))</f>
        <v/>
      </c>
      <c r="P230" s="109">
        <f>IF(OR($A230="",NOT(OR($B230="Necessidade",$B230="Desejo",$B230="Poupança"))),"",IF($B230="Poupança",N(P174)-N(P118),N(P118)-N(P174)))</f>
        <v/>
      </c>
      <c r="Q230" s="109">
        <f>IF(OR($A230="",NOT(OR($B230="Necessidade",$B230="Desejo",$B230="Poupança"))),"",IF($B230="Poupança",N(Q174)-N(Q118),N(Q118)-N(Q174)))</f>
        <v/>
      </c>
      <c r="R230" s="85">
        <f>IF($A230="","",SUM(F230:Q230))</f>
        <v/>
      </c>
      <c r="S230" s="86">
        <f>IF(OR($A230="",N($R118)=0),"",R230/R118)</f>
        <v/>
      </c>
    </row>
    <row r="231">
      <c r="A231" s="75">
        <f>IF('Fluxo anual'!A72="","",'Fluxo anual'!A72)</f>
        <v/>
      </c>
      <c r="B231" s="75">
        <f>IF($A231="","",'Fluxo anual'!B72)</f>
        <v/>
      </c>
      <c r="C231" s="108" t="n"/>
      <c r="D231" s="108" t="n"/>
      <c r="E231" s="108" t="n"/>
      <c r="F231" s="109">
        <f>IF(OR($A231="",NOT(OR($B231="Necessidade",$B231="Desejo",$B231="Poupança"))),"",IF($B231="Poupança",N(F175)-N(F119),N(F119)-N(F175)))</f>
        <v/>
      </c>
      <c r="G231" s="109">
        <f>IF(OR($A231="",NOT(OR($B231="Necessidade",$B231="Desejo",$B231="Poupança"))),"",IF($B231="Poupança",N(G175)-N(G119),N(G119)-N(G175)))</f>
        <v/>
      </c>
      <c r="H231" s="109">
        <f>IF(OR($A231="",NOT(OR($B231="Necessidade",$B231="Desejo",$B231="Poupança"))),"",IF($B231="Poupança",N(H175)-N(H119),N(H119)-N(H175)))</f>
        <v/>
      </c>
      <c r="I231" s="109">
        <f>IF(OR($A231="",NOT(OR($B231="Necessidade",$B231="Desejo",$B231="Poupança"))),"",IF($B231="Poupança",N(I175)-N(I119),N(I119)-N(I175)))</f>
        <v/>
      </c>
      <c r="J231" s="109">
        <f>IF(OR($A231="",NOT(OR($B231="Necessidade",$B231="Desejo",$B231="Poupança"))),"",IF($B231="Poupança",N(J175)-N(J119),N(J119)-N(J175)))</f>
        <v/>
      </c>
      <c r="K231" s="109">
        <f>IF(OR($A231="",NOT(OR($B231="Necessidade",$B231="Desejo",$B231="Poupança"))),"",IF($B231="Poupança",N(K175)-N(K119),N(K119)-N(K175)))</f>
        <v/>
      </c>
      <c r="L231" s="109">
        <f>IF(OR($A231="",NOT(OR($B231="Necessidade",$B231="Desejo",$B231="Poupança"))),"",IF($B231="Poupança",N(L175)-N(L119),N(L119)-N(L175)))</f>
        <v/>
      </c>
      <c r="M231" s="109">
        <f>IF(OR($A231="",NOT(OR($B231="Necessidade",$B231="Desejo",$B231="Poupança"))),"",IF($B231="Poupança",N(M175)-N(M119),N(M119)-N(M175)))</f>
        <v/>
      </c>
      <c r="N231" s="109">
        <f>IF(OR($A231="",NOT(OR($B231="Necessidade",$B231="Desejo",$B231="Poupança"))),"",IF($B231="Poupança",N(N175)-N(N119),N(N119)-N(N175)))</f>
        <v/>
      </c>
      <c r="O231" s="109">
        <f>IF(OR($A231="",NOT(OR($B231="Necessidade",$B231="Desejo",$B231="Poupança"))),"",IF($B231="Poupança",N(O175)-N(O119),N(O119)-N(O175)))</f>
        <v/>
      </c>
      <c r="P231" s="109">
        <f>IF(OR($A231="",NOT(OR($B231="Necessidade",$B231="Desejo",$B231="Poupança"))),"",IF($B231="Poupança",N(P175)-N(P119),N(P119)-N(P175)))</f>
        <v/>
      </c>
      <c r="Q231" s="109">
        <f>IF(OR($A231="",NOT(OR($B231="Necessidade",$B231="Desejo",$B231="Poupança"))),"",IF($B231="Poupança",N(Q175)-N(Q119),N(Q119)-N(Q175)))</f>
        <v/>
      </c>
      <c r="R231" s="85">
        <f>IF($A231="","",SUM(F231:Q231))</f>
        <v/>
      </c>
      <c r="S231" s="86">
        <f>IF(OR($A231="",N($R119)=0),"",R231/R119)</f>
        <v/>
      </c>
    </row>
    <row r="232">
      <c r="A232" s="75">
        <f>IF('Fluxo anual'!A73="","",'Fluxo anual'!A73)</f>
        <v/>
      </c>
      <c r="B232" s="75">
        <f>IF($A232="","",'Fluxo anual'!B73)</f>
        <v/>
      </c>
      <c r="C232" s="108" t="n"/>
      <c r="D232" s="108" t="n"/>
      <c r="E232" s="108" t="n"/>
      <c r="F232" s="109">
        <f>IF(OR($A232="",NOT(OR($B232="Necessidade",$B232="Desejo",$B232="Poupança"))),"",IF($B232="Poupança",N(F176)-N(F120),N(F120)-N(F176)))</f>
        <v/>
      </c>
      <c r="G232" s="109">
        <f>IF(OR($A232="",NOT(OR($B232="Necessidade",$B232="Desejo",$B232="Poupança"))),"",IF($B232="Poupança",N(G176)-N(G120),N(G120)-N(G176)))</f>
        <v/>
      </c>
      <c r="H232" s="109">
        <f>IF(OR($A232="",NOT(OR($B232="Necessidade",$B232="Desejo",$B232="Poupança"))),"",IF($B232="Poupança",N(H176)-N(H120),N(H120)-N(H176)))</f>
        <v/>
      </c>
      <c r="I232" s="109">
        <f>IF(OR($A232="",NOT(OR($B232="Necessidade",$B232="Desejo",$B232="Poupança"))),"",IF($B232="Poupança",N(I176)-N(I120),N(I120)-N(I176)))</f>
        <v/>
      </c>
      <c r="J232" s="109">
        <f>IF(OR($A232="",NOT(OR($B232="Necessidade",$B232="Desejo",$B232="Poupança"))),"",IF($B232="Poupança",N(J176)-N(J120),N(J120)-N(J176)))</f>
        <v/>
      </c>
      <c r="K232" s="109">
        <f>IF(OR($A232="",NOT(OR($B232="Necessidade",$B232="Desejo",$B232="Poupança"))),"",IF($B232="Poupança",N(K176)-N(K120),N(K120)-N(K176)))</f>
        <v/>
      </c>
      <c r="L232" s="109">
        <f>IF(OR($A232="",NOT(OR($B232="Necessidade",$B232="Desejo",$B232="Poupança"))),"",IF($B232="Poupança",N(L176)-N(L120),N(L120)-N(L176)))</f>
        <v/>
      </c>
      <c r="M232" s="109">
        <f>IF(OR($A232="",NOT(OR($B232="Necessidade",$B232="Desejo",$B232="Poupança"))),"",IF($B232="Poupança",N(M176)-N(M120),N(M120)-N(M176)))</f>
        <v/>
      </c>
      <c r="N232" s="109">
        <f>IF(OR($A232="",NOT(OR($B232="Necessidade",$B232="Desejo",$B232="Poupança"))),"",IF($B232="Poupança",N(N176)-N(N120),N(N120)-N(N176)))</f>
        <v/>
      </c>
      <c r="O232" s="109">
        <f>IF(OR($A232="",NOT(OR($B232="Necessidade",$B232="Desejo",$B232="Poupança"))),"",IF($B232="Poupança",N(O176)-N(O120),N(O120)-N(O176)))</f>
        <v/>
      </c>
      <c r="P232" s="109">
        <f>IF(OR($A232="",NOT(OR($B232="Necessidade",$B232="Desejo",$B232="Poupança"))),"",IF($B232="Poupança",N(P176)-N(P120),N(P120)-N(P176)))</f>
        <v/>
      </c>
      <c r="Q232" s="109">
        <f>IF(OR($A232="",NOT(OR($B232="Necessidade",$B232="Desejo",$B232="Poupança"))),"",IF($B232="Poupança",N(Q176)-N(Q120),N(Q120)-N(Q176)))</f>
        <v/>
      </c>
      <c r="R232" s="85">
        <f>IF($A232="","",SUM(F232:Q232))</f>
        <v/>
      </c>
      <c r="S232" s="86">
        <f>IF(OR($A232="",N($R120)=0),"",R232/R120)</f>
        <v/>
      </c>
    </row>
    <row r="233">
      <c r="A233" s="75">
        <f>IF('Fluxo anual'!A74="","",'Fluxo anual'!A74)</f>
        <v/>
      </c>
      <c r="B233" s="75">
        <f>IF($A233="","",'Fluxo anual'!B74)</f>
        <v/>
      </c>
      <c r="C233" s="108" t="n"/>
      <c r="D233" s="108" t="n"/>
      <c r="E233" s="108" t="n"/>
      <c r="F233" s="109">
        <f>IF(OR($A233="",NOT(OR($B233="Necessidade",$B233="Desejo",$B233="Poupança"))),"",IF($B233="Poupança",N(F177)-N(F121),N(F121)-N(F177)))</f>
        <v/>
      </c>
      <c r="G233" s="109">
        <f>IF(OR($A233="",NOT(OR($B233="Necessidade",$B233="Desejo",$B233="Poupança"))),"",IF($B233="Poupança",N(G177)-N(G121),N(G121)-N(G177)))</f>
        <v/>
      </c>
      <c r="H233" s="109">
        <f>IF(OR($A233="",NOT(OR($B233="Necessidade",$B233="Desejo",$B233="Poupança"))),"",IF($B233="Poupança",N(H177)-N(H121),N(H121)-N(H177)))</f>
        <v/>
      </c>
      <c r="I233" s="109">
        <f>IF(OR($A233="",NOT(OR($B233="Necessidade",$B233="Desejo",$B233="Poupança"))),"",IF($B233="Poupança",N(I177)-N(I121),N(I121)-N(I177)))</f>
        <v/>
      </c>
      <c r="J233" s="109">
        <f>IF(OR($A233="",NOT(OR($B233="Necessidade",$B233="Desejo",$B233="Poupança"))),"",IF($B233="Poupança",N(J177)-N(J121),N(J121)-N(J177)))</f>
        <v/>
      </c>
      <c r="K233" s="109">
        <f>IF(OR($A233="",NOT(OR($B233="Necessidade",$B233="Desejo",$B233="Poupança"))),"",IF($B233="Poupança",N(K177)-N(K121),N(K121)-N(K177)))</f>
        <v/>
      </c>
      <c r="L233" s="109">
        <f>IF(OR($A233="",NOT(OR($B233="Necessidade",$B233="Desejo",$B233="Poupança"))),"",IF($B233="Poupança",N(L177)-N(L121),N(L121)-N(L177)))</f>
        <v/>
      </c>
      <c r="M233" s="109">
        <f>IF(OR($A233="",NOT(OR($B233="Necessidade",$B233="Desejo",$B233="Poupança"))),"",IF($B233="Poupança",N(M177)-N(M121),N(M121)-N(M177)))</f>
        <v/>
      </c>
      <c r="N233" s="109">
        <f>IF(OR($A233="",NOT(OR($B233="Necessidade",$B233="Desejo",$B233="Poupança"))),"",IF($B233="Poupança",N(N177)-N(N121),N(N121)-N(N177)))</f>
        <v/>
      </c>
      <c r="O233" s="109">
        <f>IF(OR($A233="",NOT(OR($B233="Necessidade",$B233="Desejo",$B233="Poupança"))),"",IF($B233="Poupança",N(O177)-N(O121),N(O121)-N(O177)))</f>
        <v/>
      </c>
      <c r="P233" s="109">
        <f>IF(OR($A233="",NOT(OR($B233="Necessidade",$B233="Desejo",$B233="Poupança"))),"",IF($B233="Poupança",N(P177)-N(P121),N(P121)-N(P177)))</f>
        <v/>
      </c>
      <c r="Q233" s="109">
        <f>IF(OR($A233="",NOT(OR($B233="Necessidade",$B233="Desejo",$B233="Poupança"))),"",IF($B233="Poupança",N(Q177)-N(Q121),N(Q121)-N(Q177)))</f>
        <v/>
      </c>
      <c r="R233" s="85">
        <f>IF($A233="","",SUM(F233:Q233))</f>
        <v/>
      </c>
      <c r="S233" s="86">
        <f>IF(OR($A233="",N($R121)=0),"",R233/R121)</f>
        <v/>
      </c>
    </row>
    <row r="234">
      <c r="A234" s="75">
        <f>IF('Fluxo anual'!A75="","",'Fluxo anual'!A75)</f>
        <v/>
      </c>
      <c r="B234" s="75">
        <f>IF($A234="","",'Fluxo anual'!B75)</f>
        <v/>
      </c>
      <c r="C234" s="108" t="n"/>
      <c r="D234" s="108" t="n"/>
      <c r="E234" s="108" t="n"/>
      <c r="F234" s="109">
        <f>IF(OR($A234="",NOT(OR($B234="Necessidade",$B234="Desejo",$B234="Poupança"))),"",IF($B234="Poupança",N(F178)-N(F122),N(F122)-N(F178)))</f>
        <v/>
      </c>
      <c r="G234" s="109">
        <f>IF(OR($A234="",NOT(OR($B234="Necessidade",$B234="Desejo",$B234="Poupança"))),"",IF($B234="Poupança",N(G178)-N(G122),N(G122)-N(G178)))</f>
        <v/>
      </c>
      <c r="H234" s="109">
        <f>IF(OR($A234="",NOT(OR($B234="Necessidade",$B234="Desejo",$B234="Poupança"))),"",IF($B234="Poupança",N(H178)-N(H122),N(H122)-N(H178)))</f>
        <v/>
      </c>
      <c r="I234" s="109">
        <f>IF(OR($A234="",NOT(OR($B234="Necessidade",$B234="Desejo",$B234="Poupança"))),"",IF($B234="Poupança",N(I178)-N(I122),N(I122)-N(I178)))</f>
        <v/>
      </c>
      <c r="J234" s="109">
        <f>IF(OR($A234="",NOT(OR($B234="Necessidade",$B234="Desejo",$B234="Poupança"))),"",IF($B234="Poupança",N(J178)-N(J122),N(J122)-N(J178)))</f>
        <v/>
      </c>
      <c r="K234" s="109">
        <f>IF(OR($A234="",NOT(OR($B234="Necessidade",$B234="Desejo",$B234="Poupança"))),"",IF($B234="Poupança",N(K178)-N(K122),N(K122)-N(K178)))</f>
        <v/>
      </c>
      <c r="L234" s="109">
        <f>IF(OR($A234="",NOT(OR($B234="Necessidade",$B234="Desejo",$B234="Poupança"))),"",IF($B234="Poupança",N(L178)-N(L122),N(L122)-N(L178)))</f>
        <v/>
      </c>
      <c r="M234" s="109">
        <f>IF(OR($A234="",NOT(OR($B234="Necessidade",$B234="Desejo",$B234="Poupança"))),"",IF($B234="Poupança",N(M178)-N(M122),N(M122)-N(M178)))</f>
        <v/>
      </c>
      <c r="N234" s="109">
        <f>IF(OR($A234="",NOT(OR($B234="Necessidade",$B234="Desejo",$B234="Poupança"))),"",IF($B234="Poupança",N(N178)-N(N122),N(N122)-N(N178)))</f>
        <v/>
      </c>
      <c r="O234" s="109">
        <f>IF(OR($A234="",NOT(OR($B234="Necessidade",$B234="Desejo",$B234="Poupança"))),"",IF($B234="Poupança",N(O178)-N(O122),N(O122)-N(O178)))</f>
        <v/>
      </c>
      <c r="P234" s="109">
        <f>IF(OR($A234="",NOT(OR($B234="Necessidade",$B234="Desejo",$B234="Poupança"))),"",IF($B234="Poupança",N(P178)-N(P122),N(P122)-N(P178)))</f>
        <v/>
      </c>
      <c r="Q234" s="109">
        <f>IF(OR($A234="",NOT(OR($B234="Necessidade",$B234="Desejo",$B234="Poupança"))),"",IF($B234="Poupança",N(Q178)-N(Q122),N(Q122)-N(Q178)))</f>
        <v/>
      </c>
      <c r="R234" s="85">
        <f>IF($A234="","",SUM(F234:Q234))</f>
        <v/>
      </c>
      <c r="S234" s="86">
        <f>IF(OR($A234="",N($R122)=0),"",R234/R122)</f>
        <v/>
      </c>
    </row>
    <row r="235">
      <c r="A235" s="87" t="inlineStr">
        <is>
          <t>Necessidades</t>
        </is>
      </c>
      <c r="B235" s="104" t="n"/>
      <c r="F235" s="88">
        <f>SUMIFS(F$187:F$234,$B$187:$B$234,"Necessidade")</f>
        <v/>
      </c>
      <c r="G235" s="88">
        <f>SUMIFS(G$187:G$234,$B$187:$B$234,"Necessidade")</f>
        <v/>
      </c>
      <c r="H235" s="88">
        <f>SUMIFS(H$187:H$234,$B$187:$B$234,"Necessidade")</f>
        <v/>
      </c>
      <c r="I235" s="88">
        <f>SUMIFS(I$187:I$234,$B$187:$B$234,"Necessidade")</f>
        <v/>
      </c>
      <c r="J235" s="88">
        <f>SUMIFS(J$187:J$234,$B$187:$B$234,"Necessidade")</f>
        <v/>
      </c>
      <c r="K235" s="88">
        <f>SUMIFS(K$187:K$234,$B$187:$B$234,"Necessidade")</f>
        <v/>
      </c>
      <c r="L235" s="88">
        <f>SUMIFS(L$187:L$234,$B$187:$B$234,"Necessidade")</f>
        <v/>
      </c>
      <c r="M235" s="88">
        <f>SUMIFS(M$187:M$234,$B$187:$B$234,"Necessidade")</f>
        <v/>
      </c>
      <c r="N235" s="88">
        <f>SUMIFS(N$187:N$234,$B$187:$B$234,"Necessidade")</f>
        <v/>
      </c>
      <c r="O235" s="88">
        <f>SUMIFS(O$187:O$234,$B$187:$B$234,"Necessidade")</f>
        <v/>
      </c>
      <c r="P235" s="88">
        <f>SUMIFS(P$187:P$234,$B$187:$B$234,"Necessidade")</f>
        <v/>
      </c>
      <c r="Q235" s="88">
        <f>SUMIFS(Q$187:Q$234,$B$187:$B$234,"Necessidade")</f>
        <v/>
      </c>
      <c r="R235" s="88">
        <f>SUMIFS(R$187:R$234,$B$187:$B$234,"Necessidade")</f>
        <v/>
      </c>
      <c r="S235" s="89">
        <f>IF(R123=0,"",R235/R123)</f>
        <v/>
      </c>
    </row>
    <row r="236">
      <c r="A236" s="87" t="inlineStr">
        <is>
          <t>Desejos</t>
        </is>
      </c>
      <c r="B236" s="104" t="n"/>
      <c r="F236" s="88">
        <f>SUMIFS(F$187:F$234,$B$187:$B$234,"Desejo")</f>
        <v/>
      </c>
      <c r="G236" s="88">
        <f>SUMIFS(G$187:G$234,$B$187:$B$234,"Desejo")</f>
        <v/>
      </c>
      <c r="H236" s="88">
        <f>SUMIFS(H$187:H$234,$B$187:$B$234,"Desejo")</f>
        <v/>
      </c>
      <c r="I236" s="88">
        <f>SUMIFS(I$187:I$234,$B$187:$B$234,"Desejo")</f>
        <v/>
      </c>
      <c r="J236" s="88">
        <f>SUMIFS(J$187:J$234,$B$187:$B$234,"Desejo")</f>
        <v/>
      </c>
      <c r="K236" s="88">
        <f>SUMIFS(K$187:K$234,$B$187:$B$234,"Desejo")</f>
        <v/>
      </c>
      <c r="L236" s="88">
        <f>SUMIFS(L$187:L$234,$B$187:$B$234,"Desejo")</f>
        <v/>
      </c>
      <c r="M236" s="88">
        <f>SUMIFS(M$187:M$234,$B$187:$B$234,"Desejo")</f>
        <v/>
      </c>
      <c r="N236" s="88">
        <f>SUMIFS(N$187:N$234,$B$187:$B$234,"Desejo")</f>
        <v/>
      </c>
      <c r="O236" s="88">
        <f>SUMIFS(O$187:O$234,$B$187:$B$234,"Desejo")</f>
        <v/>
      </c>
      <c r="P236" s="88">
        <f>SUMIFS(P$187:P$234,$B$187:$B$234,"Desejo")</f>
        <v/>
      </c>
      <c r="Q236" s="88">
        <f>SUMIFS(Q$187:Q$234,$B$187:$B$234,"Desejo")</f>
        <v/>
      </c>
      <c r="R236" s="88">
        <f>SUMIFS(R$187:R$234,$B$187:$B$234,"Desejo")</f>
        <v/>
      </c>
      <c r="S236" s="89">
        <f>IF(R124=0,"",R236/R124)</f>
        <v/>
      </c>
    </row>
    <row r="237">
      <c r="A237" s="87" t="inlineStr">
        <is>
          <t>Total de despesas (necessidades + desejos)</t>
        </is>
      </c>
      <c r="B237" s="104" t="n"/>
      <c r="F237" s="88">
        <f>F235+F236</f>
        <v/>
      </c>
      <c r="G237" s="88">
        <f>G235+G236</f>
        <v/>
      </c>
      <c r="H237" s="88">
        <f>H235+H236</f>
        <v/>
      </c>
      <c r="I237" s="88">
        <f>I235+I236</f>
        <v/>
      </c>
      <c r="J237" s="88">
        <f>J235+J236</f>
        <v/>
      </c>
      <c r="K237" s="88">
        <f>K235+K236</f>
        <v/>
      </c>
      <c r="L237" s="88">
        <f>L235+L236</f>
        <v/>
      </c>
      <c r="M237" s="88">
        <f>M235+M236</f>
        <v/>
      </c>
      <c r="N237" s="88">
        <f>N235+N236</f>
        <v/>
      </c>
      <c r="O237" s="88">
        <f>O235+O236</f>
        <v/>
      </c>
      <c r="P237" s="88">
        <f>P235+P236</f>
        <v/>
      </c>
      <c r="Q237" s="88">
        <f>Q235+Q236</f>
        <v/>
      </c>
      <c r="R237" s="88">
        <f>R235+R236</f>
        <v/>
      </c>
      <c r="S237" s="89">
        <f>IF(R125=0,"",R237/R125)</f>
        <v/>
      </c>
    </row>
    <row r="238">
      <c r="A238" s="87" t="inlineStr">
        <is>
          <t>Poupança e aportes</t>
        </is>
      </c>
      <c r="B238" s="104" t="n"/>
      <c r="F238" s="88">
        <f>SUMIFS(F$187:F$234,$B$187:$B$234,"Poupança")</f>
        <v/>
      </c>
      <c r="G238" s="88">
        <f>SUMIFS(G$187:G$234,$B$187:$B$234,"Poupança")</f>
        <v/>
      </c>
      <c r="H238" s="88">
        <f>SUMIFS(H$187:H$234,$B$187:$B$234,"Poupança")</f>
        <v/>
      </c>
      <c r="I238" s="88">
        <f>SUMIFS(I$187:I$234,$B$187:$B$234,"Poupança")</f>
        <v/>
      </c>
      <c r="J238" s="88">
        <f>SUMIFS(J$187:J$234,$B$187:$B$234,"Poupança")</f>
        <v/>
      </c>
      <c r="K238" s="88">
        <f>SUMIFS(K$187:K$234,$B$187:$B$234,"Poupança")</f>
        <v/>
      </c>
      <c r="L238" s="88">
        <f>SUMIFS(L$187:L$234,$B$187:$B$234,"Poupança")</f>
        <v/>
      </c>
      <c r="M238" s="88">
        <f>SUMIFS(M$187:M$234,$B$187:$B$234,"Poupança")</f>
        <v/>
      </c>
      <c r="N238" s="88">
        <f>SUMIFS(N$187:N$234,$B$187:$B$234,"Poupança")</f>
        <v/>
      </c>
      <c r="O238" s="88">
        <f>SUMIFS(O$187:O$234,$B$187:$B$234,"Poupança")</f>
        <v/>
      </c>
      <c r="P238" s="88">
        <f>SUMIFS(P$187:P$234,$B$187:$B$234,"Poupança")</f>
        <v/>
      </c>
      <c r="Q238" s="88">
        <f>SUMIFS(Q$187:Q$234,$B$187:$B$234,"Poupança")</f>
        <v/>
      </c>
      <c r="R238" s="88">
        <f>SUMIFS(R$187:R$234,$B$187:$B$234,"Poupança")</f>
        <v/>
      </c>
      <c r="S238" s="89">
        <f>IF(R126=0,"",R238/R126)</f>
        <v/>
      </c>
    </row>
  </sheetData>
  <conditionalFormatting sqref="G10:G12">
    <cfRule type="expression" priority="1" dxfId="12">
      <formula>OR(G10="Acima da meta",G10="Abaixo da meta")</formula>
    </cfRule>
    <cfRule type="expression" priority="2" dxfId="15">
      <formula>OR(G10="Dentro da meta",G10="Meta atingida")</formula>
    </cfRule>
  </conditionalFormatting>
  <conditionalFormatting sqref="C14">
    <cfRule type="expression" priority="3" dxfId="15">
      <formula>ROUND($C$14,2)=0</formula>
    </cfRule>
    <cfRule type="expression" priority="4" dxfId="12">
      <formula>$C$14&lt;-0.005</formula>
    </cfRule>
  </conditionalFormatting>
  <conditionalFormatting sqref="H19:H70">
    <cfRule type="expression" priority="5" dxfId="12">
      <formula>OR(H19="Estourou",H19="Abaixo da meta",H19="Fora da meta")</formula>
    </cfRule>
    <cfRule type="expression" priority="6" dxfId="15">
      <formula>OR(H19="Dentro",H19="Meta atingida",H19="Dentro da meta")</formula>
    </cfRule>
    <cfRule type="expression" priority="7" dxfId="14">
      <formula>H19="Atenção"</formula>
    </cfRule>
  </conditionalFormatting>
  <conditionalFormatting sqref="G19:G66">
    <cfRule type="dataBar" priority="8">
      <dataBar showValue="1">
        <cfvo type="num" val="0"/>
        <cfvo type="num" val="1.5"/>
        <color rgb="00FF9F6B"/>
      </dataBar>
    </cfRule>
  </conditionalFormatting>
  <conditionalFormatting sqref="E19:E70">
    <cfRule type="expression" priority="9" dxfId="11">
      <formula>AND(ISNUMBER(E19),E19&lt;-0.005)</formula>
    </cfRule>
    <cfRule type="expression" priority="10" dxfId="8">
      <formula>AND(ISNUMBER(E19),E19&gt;0.005)</formula>
    </cfRule>
  </conditionalFormatting>
  <conditionalFormatting sqref="F187:S238">
    <cfRule type="expression" priority="11" dxfId="12">
      <formula>AND(ISNUMBER(F187),F187&lt;-0.005)</formula>
    </cfRule>
    <cfRule type="expression" priority="12" dxfId="19">
      <formula>AND(ISNUMBER(F187),F187&gt;0.005)</formula>
    </cfRule>
  </conditionalFormatting>
  <dataValidations count="3">
    <dataValidation sqref="B6" showDropDown="0" showInputMessage="0" showErrorMessage="1" allowBlank="0" errorTitle="Atalho inválido" error="Escolha um atalho da lista." type="list">
      <formula1>='Configurações'!$S$14:$S$19</formula1>
    </dataValidation>
    <dataValidation sqref="B7" showDropDown="0" showInputMessage="0" showErrorMessage="1" allowBlank="0" errorTitle="Opção inválida" error="Escolha Sim ou Não." type="list">
      <formula1>"Sim,Não"</formula1>
    </dataValidation>
    <dataValidation sqref="B5" showDropDown="0" showInputMessage="0" showErrorMessage="1" allowBlank="0" errorTitle="Renda inválida" error="Digite um valor maior ou igual a zero." type="decimal" operator="greaterThanOrEqual">
      <formula1>0</formula1>
    </dataValidation>
  </dataValidations>
  <hyperlinks>
    <hyperlink ref="B3" location="'Orçamento'!A17" display="Mês analisado"/>
    <hyperlink ref="C3" location="'Orçamento'!A73" display="Plano do ano"/>
    <hyperlink ref="D3" location="'Orçamento'!A129" display="Realizado no ano"/>
    <hyperlink ref="E3" location="'Orçamento'!A185" display="Variação no ano"/>
  </hyperlink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D6F8C"/>
    <outlinePr summaryBelow="1" summaryRight="1"/>
    <pageSetUpPr fitToPage="1"/>
  </sheetPr>
  <dimension ref="A1:Q78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5" customWidth="1" min="15" max="15"/>
    <col width="14" customWidth="1" min="16" max="16"/>
    <col width="12" customWidth="1" min="17" max="17"/>
  </cols>
  <sheetData>
    <row r="1" ht="30" customHeight="1">
      <c r="A1" s="64" t="inlineStr">
        <is>
          <t>Fluxo de caixa anual</t>
        </is>
      </c>
    </row>
    <row r="2">
      <c r="A2" s="65" t="inlineStr">
        <is>
          <t>Receitas, despesas e saldo mês a mês, com o mapa de calor por categoria. Nada para preencher aqui.</t>
        </is>
      </c>
    </row>
    <row r="3">
      <c r="A3" s="12">
        <f>"Ano analisado: "&amp;ANO_SEL&amp;"   (para mudar o ano, use o seletor do Painel)"</f>
        <v/>
      </c>
    </row>
    <row r="5">
      <c r="A5" s="110" t="inlineStr">
        <is>
          <t>nº do mês</t>
        </is>
      </c>
      <c r="C5" s="111" t="n">
        <v>1</v>
      </c>
      <c r="D5" s="111" t="n">
        <v>2</v>
      </c>
      <c r="E5" s="111" t="n">
        <v>3</v>
      </c>
      <c r="F5" s="111" t="n">
        <v>4</v>
      </c>
      <c r="G5" s="111" t="n">
        <v>5</v>
      </c>
      <c r="H5" s="111" t="n">
        <v>6</v>
      </c>
      <c r="I5" s="111" t="n">
        <v>7</v>
      </c>
      <c r="J5" s="111" t="n">
        <v>8</v>
      </c>
      <c r="K5" s="111" t="n">
        <v>9</v>
      </c>
      <c r="L5" s="111" t="n">
        <v>10</v>
      </c>
      <c r="M5" s="111" t="n">
        <v>11</v>
      </c>
      <c r="N5" s="111" t="n">
        <v>12</v>
      </c>
    </row>
    <row r="6">
      <c r="A6" s="110" t="inlineStr">
        <is>
          <t>chave AAAAMM</t>
        </is>
      </c>
      <c r="C6" s="111">
        <f>ANO_SEL*100+C5</f>
        <v/>
      </c>
      <c r="D6" s="111">
        <f>ANO_SEL*100+D5</f>
        <v/>
      </c>
      <c r="E6" s="111">
        <f>ANO_SEL*100+E5</f>
        <v/>
      </c>
      <c r="F6" s="111">
        <f>ANO_SEL*100+F5</f>
        <v/>
      </c>
      <c r="G6" s="111">
        <f>ANO_SEL*100+G5</f>
        <v/>
      </c>
      <c r="H6" s="111">
        <f>ANO_SEL*100+H5</f>
        <v/>
      </c>
      <c r="I6" s="111">
        <f>ANO_SEL*100+I5</f>
        <v/>
      </c>
      <c r="J6" s="111">
        <f>ANO_SEL*100+J5</f>
        <v/>
      </c>
      <c r="K6" s="111">
        <f>ANO_SEL*100+K5</f>
        <v/>
      </c>
      <c r="L6" s="111">
        <f>ANO_SEL*100+L5</f>
        <v/>
      </c>
      <c r="M6" s="111">
        <f>ANO_SEL*100+M5</f>
        <v/>
      </c>
      <c r="N6" s="111">
        <f>ANO_SEL*100+N5</f>
        <v/>
      </c>
    </row>
    <row r="7">
      <c r="A7" s="110" t="inlineStr">
        <is>
          <t>1º dia do mês</t>
        </is>
      </c>
      <c r="C7" s="112">
        <f>DATE(ANO_SEL,C5,1)</f>
        <v/>
      </c>
      <c r="D7" s="112">
        <f>DATE(ANO_SEL,D5,1)</f>
        <v/>
      </c>
      <c r="E7" s="112">
        <f>DATE(ANO_SEL,E5,1)</f>
        <v/>
      </c>
      <c r="F7" s="112">
        <f>DATE(ANO_SEL,F5,1)</f>
        <v/>
      </c>
      <c r="G7" s="112">
        <f>DATE(ANO_SEL,G5,1)</f>
        <v/>
      </c>
      <c r="H7" s="112">
        <f>DATE(ANO_SEL,H5,1)</f>
        <v/>
      </c>
      <c r="I7" s="112">
        <f>DATE(ANO_SEL,I5,1)</f>
        <v/>
      </c>
      <c r="J7" s="112">
        <f>DATE(ANO_SEL,J5,1)</f>
        <v/>
      </c>
      <c r="K7" s="112">
        <f>DATE(ANO_SEL,K5,1)</f>
        <v/>
      </c>
      <c r="L7" s="112">
        <f>DATE(ANO_SEL,L5,1)</f>
        <v/>
      </c>
      <c r="M7" s="112">
        <f>DATE(ANO_SEL,M5,1)</f>
        <v/>
      </c>
      <c r="N7" s="112">
        <f>DATE(ANO_SEL,N5,1)</f>
        <v/>
      </c>
    </row>
    <row r="9" ht="30" customHeight="1">
      <c r="A9" s="44" t="inlineStr">
        <is>
          <t>Resumo do ano</t>
        </is>
      </c>
      <c r="B9" s="44" t="inlineStr"/>
      <c r="C9" s="44" t="inlineStr">
        <is>
          <t>Jan</t>
        </is>
      </c>
      <c r="D9" s="44" t="inlineStr">
        <is>
          <t>Fev</t>
        </is>
      </c>
      <c r="E9" s="44" t="inlineStr">
        <is>
          <t>Mar</t>
        </is>
      </c>
      <c r="F9" s="44" t="inlineStr">
        <is>
          <t>Abr</t>
        </is>
      </c>
      <c r="G9" s="44" t="inlineStr">
        <is>
          <t>Mai</t>
        </is>
      </c>
      <c r="H9" s="44" t="inlineStr">
        <is>
          <t>Jun</t>
        </is>
      </c>
      <c r="I9" s="44" t="inlineStr">
        <is>
          <t>Jul</t>
        </is>
      </c>
      <c r="J9" s="44" t="inlineStr">
        <is>
          <t>Ago</t>
        </is>
      </c>
      <c r="K9" s="44" t="inlineStr">
        <is>
          <t>Set</t>
        </is>
      </c>
      <c r="L9" s="44" t="inlineStr">
        <is>
          <t>Out</t>
        </is>
      </c>
      <c r="M9" s="44" t="inlineStr">
        <is>
          <t>Nov</t>
        </is>
      </c>
      <c r="N9" s="44" t="inlineStr">
        <is>
          <t>Dez</t>
        </is>
      </c>
      <c r="O9" s="44" t="inlineStr">
        <is>
          <t>Total do ano</t>
        </is>
      </c>
      <c r="P9" s="44" t="inlineStr">
        <is>
          <t>Média mensal</t>
        </is>
      </c>
    </row>
    <row r="10">
      <c r="A10" s="113" t="inlineStr">
        <is>
          <t>Receitas</t>
        </is>
      </c>
      <c r="B10" s="9" t="n"/>
      <c r="C10" s="84">
        <f>SUMIFS(L_VALOR,L_TIPO,"Receita",L_AM,C$6)</f>
        <v/>
      </c>
      <c r="D10" s="84">
        <f>SUMIFS(L_VALOR,L_TIPO,"Receita",L_AM,D$6)</f>
        <v/>
      </c>
      <c r="E10" s="84">
        <f>SUMIFS(L_VALOR,L_TIPO,"Receita",L_AM,E$6)</f>
        <v/>
      </c>
      <c r="F10" s="84">
        <f>SUMIFS(L_VALOR,L_TIPO,"Receita",L_AM,F$6)</f>
        <v/>
      </c>
      <c r="G10" s="84">
        <f>SUMIFS(L_VALOR,L_TIPO,"Receita",L_AM,G$6)</f>
        <v/>
      </c>
      <c r="H10" s="84">
        <f>SUMIFS(L_VALOR,L_TIPO,"Receita",L_AM,H$6)</f>
        <v/>
      </c>
      <c r="I10" s="84">
        <f>SUMIFS(L_VALOR,L_TIPO,"Receita",L_AM,I$6)</f>
        <v/>
      </c>
      <c r="J10" s="84">
        <f>SUMIFS(L_VALOR,L_TIPO,"Receita",L_AM,J$6)</f>
        <v/>
      </c>
      <c r="K10" s="84">
        <f>SUMIFS(L_VALOR,L_TIPO,"Receita",L_AM,K$6)</f>
        <v/>
      </c>
      <c r="L10" s="84">
        <f>SUMIFS(L_VALOR,L_TIPO,"Receita",L_AM,L$6)</f>
        <v/>
      </c>
      <c r="M10" s="84">
        <f>SUMIFS(L_VALOR,L_TIPO,"Receita",L_AM,M$6)</f>
        <v/>
      </c>
      <c r="N10" s="84">
        <f>SUMIFS(L_VALOR,L_TIPO,"Receita",L_AM,N$6)</f>
        <v/>
      </c>
      <c r="O10" s="85">
        <f>SUM(C10:N10)</f>
        <v/>
      </c>
      <c r="P10" s="84">
        <f>IF(SUM($C$19:$N$19)=0,0,O10/SUM($C$19:$N$19))</f>
        <v/>
      </c>
    </row>
    <row r="11">
      <c r="A11" s="113" t="inlineStr">
        <is>
          <t>Despesas (inclui parcelas dos cartões)</t>
        </is>
      </c>
      <c r="B11" s="9" t="n"/>
      <c r="C11" s="84">
        <f>SUMIFS(L_VALOR,L_TIPO,"Despesa",L_AM,C$6)+SUMIF(PARC_MESES,C$7,PARC_TOTAL_MES)</f>
        <v/>
      </c>
      <c r="D11" s="84">
        <f>SUMIFS(L_VALOR,L_TIPO,"Despesa",L_AM,D$6)+SUMIF(PARC_MESES,D$7,PARC_TOTAL_MES)</f>
        <v/>
      </c>
      <c r="E11" s="84">
        <f>SUMIFS(L_VALOR,L_TIPO,"Despesa",L_AM,E$6)+SUMIF(PARC_MESES,E$7,PARC_TOTAL_MES)</f>
        <v/>
      </c>
      <c r="F11" s="84">
        <f>SUMIFS(L_VALOR,L_TIPO,"Despesa",L_AM,F$6)+SUMIF(PARC_MESES,F$7,PARC_TOTAL_MES)</f>
        <v/>
      </c>
      <c r="G11" s="84">
        <f>SUMIFS(L_VALOR,L_TIPO,"Despesa",L_AM,G$6)+SUMIF(PARC_MESES,G$7,PARC_TOTAL_MES)</f>
        <v/>
      </c>
      <c r="H11" s="84">
        <f>SUMIFS(L_VALOR,L_TIPO,"Despesa",L_AM,H$6)+SUMIF(PARC_MESES,H$7,PARC_TOTAL_MES)</f>
        <v/>
      </c>
      <c r="I11" s="84">
        <f>SUMIFS(L_VALOR,L_TIPO,"Despesa",L_AM,I$6)+SUMIF(PARC_MESES,I$7,PARC_TOTAL_MES)</f>
        <v/>
      </c>
      <c r="J11" s="84">
        <f>SUMIFS(L_VALOR,L_TIPO,"Despesa",L_AM,J$6)+SUMIF(PARC_MESES,J$7,PARC_TOTAL_MES)</f>
        <v/>
      </c>
      <c r="K11" s="84">
        <f>SUMIFS(L_VALOR,L_TIPO,"Despesa",L_AM,K$6)+SUMIF(PARC_MESES,K$7,PARC_TOTAL_MES)</f>
        <v/>
      </c>
      <c r="L11" s="84">
        <f>SUMIFS(L_VALOR,L_TIPO,"Despesa",L_AM,L$6)+SUMIF(PARC_MESES,L$7,PARC_TOTAL_MES)</f>
        <v/>
      </c>
      <c r="M11" s="84">
        <f>SUMIFS(L_VALOR,L_TIPO,"Despesa",L_AM,M$6)+SUMIF(PARC_MESES,M$7,PARC_TOTAL_MES)</f>
        <v/>
      </c>
      <c r="N11" s="84">
        <f>SUMIFS(L_VALOR,L_TIPO,"Despesa",L_AM,N$6)+SUMIF(PARC_MESES,N$7,PARC_TOTAL_MES)</f>
        <v/>
      </c>
      <c r="O11" s="85">
        <f>SUM(C11:N11)</f>
        <v/>
      </c>
      <c r="P11" s="84">
        <f>IF(SUM($C$19:$N$19)=0,0,O11/SUM($C$19:$N$19))</f>
        <v/>
      </c>
    </row>
    <row r="12">
      <c r="A12" s="113" t="inlineStr">
        <is>
          <t>Saldo do mês (receitas - despesas)</t>
        </is>
      </c>
      <c r="B12" s="9" t="n"/>
      <c r="C12" s="85">
        <f>C10-C11</f>
        <v/>
      </c>
      <c r="D12" s="85">
        <f>D10-D11</f>
        <v/>
      </c>
      <c r="E12" s="85">
        <f>E10-E11</f>
        <v/>
      </c>
      <c r="F12" s="85">
        <f>F10-F11</f>
        <v/>
      </c>
      <c r="G12" s="85">
        <f>G10-G11</f>
        <v/>
      </c>
      <c r="H12" s="85">
        <f>H10-H11</f>
        <v/>
      </c>
      <c r="I12" s="85">
        <f>I10-I11</f>
        <v/>
      </c>
      <c r="J12" s="85">
        <f>J10-J11</f>
        <v/>
      </c>
      <c r="K12" s="85">
        <f>K10-K11</f>
        <v/>
      </c>
      <c r="L12" s="85">
        <f>L10-L11</f>
        <v/>
      </c>
      <c r="M12" s="85">
        <f>M10-M11</f>
        <v/>
      </c>
      <c r="N12" s="85">
        <f>N10-N11</f>
        <v/>
      </c>
      <c r="O12" s="85">
        <f>SUM(C12:N12)</f>
        <v/>
      </c>
      <c r="P12" s="84">
        <f>IF(SUM($C$19:$N$19)=0,0,O12/SUM($C$19:$N$19))</f>
        <v/>
      </c>
    </row>
    <row r="13">
      <c r="A13" s="113" t="inlineStr">
        <is>
          <t>Taxa de poupança (saldo / receitas)</t>
        </is>
      </c>
      <c r="B13" s="9" t="n"/>
      <c r="C13" s="86">
        <f>IF(C10=0,"",C12/C10)</f>
        <v/>
      </c>
      <c r="D13" s="86">
        <f>IF(D10=0,"",D12/D10)</f>
        <v/>
      </c>
      <c r="E13" s="86">
        <f>IF(E10=0,"",E12/E10)</f>
        <v/>
      </c>
      <c r="F13" s="86">
        <f>IF(F10=0,"",F12/F10)</f>
        <v/>
      </c>
      <c r="G13" s="86">
        <f>IF(G10=0,"",G12/G10)</f>
        <v/>
      </c>
      <c r="H13" s="86">
        <f>IF(H10=0,"",H12/H10)</f>
        <v/>
      </c>
      <c r="I13" s="86">
        <f>IF(I10=0,"",I12/I10)</f>
        <v/>
      </c>
      <c r="J13" s="86">
        <f>IF(J10=0,"",J12/J10)</f>
        <v/>
      </c>
      <c r="K13" s="86">
        <f>IF(K10=0,"",K12/K10)</f>
        <v/>
      </c>
      <c r="L13" s="86">
        <f>IF(L10=0,"",L12/L10)</f>
        <v/>
      </c>
      <c r="M13" s="86">
        <f>IF(M10=0,"",M12/M10)</f>
        <v/>
      </c>
      <c r="N13" s="86">
        <f>IF(N10=0,"",N12/N10)</f>
        <v/>
      </c>
      <c r="O13" s="114">
        <f>IF(O10=0,"",O12/O10)</f>
        <v/>
      </c>
      <c r="P13" s="86">
        <f>IF(SUM($C$19:$N$19)=0,"",AVERAGE(C13:N13))</f>
        <v/>
      </c>
    </row>
    <row r="14">
      <c r="A14" s="113" t="inlineStr">
        <is>
          <t>Saldo acumulado no ano</t>
        </is>
      </c>
      <c r="B14" s="9" t="n"/>
      <c r="C14" s="85">
        <f>C12</f>
        <v/>
      </c>
      <c r="D14" s="85">
        <f>C14+D12</f>
        <v/>
      </c>
      <c r="E14" s="85">
        <f>D14+E12</f>
        <v/>
      </c>
      <c r="F14" s="85">
        <f>E14+F12</f>
        <v/>
      </c>
      <c r="G14" s="85">
        <f>F14+G12</f>
        <v/>
      </c>
      <c r="H14" s="85">
        <f>G14+H12</f>
        <v/>
      </c>
      <c r="I14" s="85">
        <f>H14+I12</f>
        <v/>
      </c>
      <c r="J14" s="85">
        <f>I14+J12</f>
        <v/>
      </c>
      <c r="K14" s="85">
        <f>J14+K12</f>
        <v/>
      </c>
      <c r="L14" s="85">
        <f>K14+L12</f>
        <v/>
      </c>
      <c r="M14" s="85">
        <f>L14+M12</f>
        <v/>
      </c>
      <c r="N14" s="85">
        <f>M14+N12</f>
        <v/>
      </c>
      <c r="O14" s="85">
        <f>O12</f>
        <v/>
      </c>
      <c r="P14" s="75" t="n"/>
    </row>
    <row r="15">
      <c r="A15" s="113" t="inlineStr">
        <is>
          <t>Necessidades (gastos essenciais)</t>
        </is>
      </c>
      <c r="B15" s="9" t="n"/>
      <c r="C15" s="84">
        <f>SUMIFS(C$28:C$75,$B$28:$B$75,"Necessidade")</f>
        <v/>
      </c>
      <c r="D15" s="84">
        <f>SUMIFS(D$28:D$75,$B$28:$B$75,"Necessidade")</f>
        <v/>
      </c>
      <c r="E15" s="84">
        <f>SUMIFS(E$28:E$75,$B$28:$B$75,"Necessidade")</f>
        <v/>
      </c>
      <c r="F15" s="84">
        <f>SUMIFS(F$28:F$75,$B$28:$B$75,"Necessidade")</f>
        <v/>
      </c>
      <c r="G15" s="84">
        <f>SUMIFS(G$28:G$75,$B$28:$B$75,"Necessidade")</f>
        <v/>
      </c>
      <c r="H15" s="84">
        <f>SUMIFS(H$28:H$75,$B$28:$B$75,"Necessidade")</f>
        <v/>
      </c>
      <c r="I15" s="84">
        <f>SUMIFS(I$28:I$75,$B$28:$B$75,"Necessidade")</f>
        <v/>
      </c>
      <c r="J15" s="84">
        <f>SUMIFS(J$28:J$75,$B$28:$B$75,"Necessidade")</f>
        <v/>
      </c>
      <c r="K15" s="84">
        <f>SUMIFS(K$28:K$75,$B$28:$B$75,"Necessidade")</f>
        <v/>
      </c>
      <c r="L15" s="84">
        <f>SUMIFS(L$28:L$75,$B$28:$B$75,"Necessidade")</f>
        <v/>
      </c>
      <c r="M15" s="84">
        <f>SUMIFS(M$28:M$75,$B$28:$B$75,"Necessidade")</f>
        <v/>
      </c>
      <c r="N15" s="84">
        <f>SUMIFS(N$28:N$75,$B$28:$B$75,"Necessidade")</f>
        <v/>
      </c>
      <c r="O15" s="85">
        <f>SUM(C15:N15)</f>
        <v/>
      </c>
      <c r="P15" s="84">
        <f>IF(SUM($C$19:$N$19)=0,0,O15/SUM($C$19:$N$19))</f>
        <v/>
      </c>
    </row>
    <row r="16">
      <c r="A16" s="113" t="inlineStr">
        <is>
          <t>Desejos (gastos não essenciais)</t>
        </is>
      </c>
      <c r="B16" s="9" t="n"/>
      <c r="C16" s="84">
        <f>SUMIFS(C$28:C$75,$B$28:$B$75,"Desejo")</f>
        <v/>
      </c>
      <c r="D16" s="84">
        <f>SUMIFS(D$28:D$75,$B$28:$B$75,"Desejo")</f>
        <v/>
      </c>
      <c r="E16" s="84">
        <f>SUMIFS(E$28:E$75,$B$28:$B$75,"Desejo")</f>
        <v/>
      </c>
      <c r="F16" s="84">
        <f>SUMIFS(F$28:F$75,$B$28:$B$75,"Desejo")</f>
        <v/>
      </c>
      <c r="G16" s="84">
        <f>SUMIFS(G$28:G$75,$B$28:$B$75,"Desejo")</f>
        <v/>
      </c>
      <c r="H16" s="84">
        <f>SUMIFS(H$28:H$75,$B$28:$B$75,"Desejo")</f>
        <v/>
      </c>
      <c r="I16" s="84">
        <f>SUMIFS(I$28:I$75,$B$28:$B$75,"Desejo")</f>
        <v/>
      </c>
      <c r="J16" s="84">
        <f>SUMIFS(J$28:J$75,$B$28:$B$75,"Desejo")</f>
        <v/>
      </c>
      <c r="K16" s="84">
        <f>SUMIFS(K$28:K$75,$B$28:$B$75,"Desejo")</f>
        <v/>
      </c>
      <c r="L16" s="84">
        <f>SUMIFS(L$28:L$75,$B$28:$B$75,"Desejo")</f>
        <v/>
      </c>
      <c r="M16" s="84">
        <f>SUMIFS(M$28:M$75,$B$28:$B$75,"Desejo")</f>
        <v/>
      </c>
      <c r="N16" s="84">
        <f>SUMIFS(N$28:N$75,$B$28:$B$75,"Desejo")</f>
        <v/>
      </c>
      <c r="O16" s="85">
        <f>SUM(C16:N16)</f>
        <v/>
      </c>
      <c r="P16" s="84">
        <f>IF(SUM($C$19:$N$19)=0,0,O16/SUM($C$19:$N$19))</f>
        <v/>
      </c>
    </row>
    <row r="17">
      <c r="A17" s="113" t="inlineStr">
        <is>
          <t>Guardado e investido (aportes registrados)</t>
        </is>
      </c>
      <c r="B17" s="9" t="n"/>
      <c r="C17" s="84">
        <f>SUMIFS(L_VALOR,L_TIPO,"Poupança",L_AM,C$6)</f>
        <v/>
      </c>
      <c r="D17" s="84">
        <f>SUMIFS(L_VALOR,L_TIPO,"Poupança",L_AM,D$6)</f>
        <v/>
      </c>
      <c r="E17" s="84">
        <f>SUMIFS(L_VALOR,L_TIPO,"Poupança",L_AM,E$6)</f>
        <v/>
      </c>
      <c r="F17" s="84">
        <f>SUMIFS(L_VALOR,L_TIPO,"Poupança",L_AM,F$6)</f>
        <v/>
      </c>
      <c r="G17" s="84">
        <f>SUMIFS(L_VALOR,L_TIPO,"Poupança",L_AM,G$6)</f>
        <v/>
      </c>
      <c r="H17" s="84">
        <f>SUMIFS(L_VALOR,L_TIPO,"Poupança",L_AM,H$6)</f>
        <v/>
      </c>
      <c r="I17" s="84">
        <f>SUMIFS(L_VALOR,L_TIPO,"Poupança",L_AM,I$6)</f>
        <v/>
      </c>
      <c r="J17" s="84">
        <f>SUMIFS(L_VALOR,L_TIPO,"Poupança",L_AM,J$6)</f>
        <v/>
      </c>
      <c r="K17" s="84">
        <f>SUMIFS(L_VALOR,L_TIPO,"Poupança",L_AM,K$6)</f>
        <v/>
      </c>
      <c r="L17" s="84">
        <f>SUMIFS(L_VALOR,L_TIPO,"Poupança",L_AM,L$6)</f>
        <v/>
      </c>
      <c r="M17" s="84">
        <f>SUMIFS(L_VALOR,L_TIPO,"Poupança",L_AM,M$6)</f>
        <v/>
      </c>
      <c r="N17" s="84">
        <f>SUMIFS(L_VALOR,L_TIPO,"Poupança",L_AM,N$6)</f>
        <v/>
      </c>
      <c r="O17" s="85">
        <f>SUM(C17:N17)</f>
        <v/>
      </c>
      <c r="P17" s="84">
        <f>IF(SUM($C$19:$N$19)=0,0,O17/SUM($C$19:$N$19))</f>
        <v/>
      </c>
    </row>
    <row r="18">
      <c r="A18" s="113" t="inlineStr">
        <is>
          <t>Sem categoria (corrija em Lançamentos)</t>
        </is>
      </c>
      <c r="B18" s="9" t="n"/>
      <c r="C18" s="84">
        <f>SUMIFS(L_VALOR,L_TIPO,"Sem categoria",L_AM,C$6)</f>
        <v/>
      </c>
      <c r="D18" s="84">
        <f>SUMIFS(L_VALOR,L_TIPO,"Sem categoria",L_AM,D$6)</f>
        <v/>
      </c>
      <c r="E18" s="84">
        <f>SUMIFS(L_VALOR,L_TIPO,"Sem categoria",L_AM,E$6)</f>
        <v/>
      </c>
      <c r="F18" s="84">
        <f>SUMIFS(L_VALOR,L_TIPO,"Sem categoria",L_AM,F$6)</f>
        <v/>
      </c>
      <c r="G18" s="84">
        <f>SUMIFS(L_VALOR,L_TIPO,"Sem categoria",L_AM,G$6)</f>
        <v/>
      </c>
      <c r="H18" s="84">
        <f>SUMIFS(L_VALOR,L_TIPO,"Sem categoria",L_AM,H$6)</f>
        <v/>
      </c>
      <c r="I18" s="84">
        <f>SUMIFS(L_VALOR,L_TIPO,"Sem categoria",L_AM,I$6)</f>
        <v/>
      </c>
      <c r="J18" s="84">
        <f>SUMIFS(L_VALOR,L_TIPO,"Sem categoria",L_AM,J$6)</f>
        <v/>
      </c>
      <c r="K18" s="84">
        <f>SUMIFS(L_VALOR,L_TIPO,"Sem categoria",L_AM,K$6)</f>
        <v/>
      </c>
      <c r="L18" s="84">
        <f>SUMIFS(L_VALOR,L_TIPO,"Sem categoria",L_AM,L$6)</f>
        <v/>
      </c>
      <c r="M18" s="84">
        <f>SUMIFS(L_VALOR,L_TIPO,"Sem categoria",L_AM,M$6)</f>
        <v/>
      </c>
      <c r="N18" s="84">
        <f>SUMIFS(L_VALOR,L_TIPO,"Sem categoria",L_AM,N$6)</f>
        <v/>
      </c>
      <c r="O18" s="85">
        <f>SUM(C18:N18)</f>
        <v/>
      </c>
    </row>
    <row r="19" ht="12" customHeight="1">
      <c r="A19" s="115" t="inlineStr">
        <is>
          <t>mês com movimento? (auxiliar)</t>
        </is>
      </c>
      <c r="B19" s="9" t="n"/>
      <c r="C19" s="116">
        <f>IF(OR(C10&lt;&gt;0,C11&lt;&gt;0),1,0)</f>
        <v/>
      </c>
      <c r="D19" s="116">
        <f>IF(OR(D10&lt;&gt;0,D11&lt;&gt;0),1,0)</f>
        <v/>
      </c>
      <c r="E19" s="116">
        <f>IF(OR(E10&lt;&gt;0,E11&lt;&gt;0),1,0)</f>
        <v/>
      </c>
      <c r="F19" s="116">
        <f>IF(OR(F10&lt;&gt;0,F11&lt;&gt;0),1,0)</f>
        <v/>
      </c>
      <c r="G19" s="116">
        <f>IF(OR(G10&lt;&gt;0,G11&lt;&gt;0),1,0)</f>
        <v/>
      </c>
      <c r="H19" s="116">
        <f>IF(OR(H10&lt;&gt;0,H11&lt;&gt;0),1,0)</f>
        <v/>
      </c>
      <c r="I19" s="116">
        <f>IF(OR(I10&lt;&gt;0,I11&lt;&gt;0),1,0)</f>
        <v/>
      </c>
      <c r="J19" s="116">
        <f>IF(OR(J10&lt;&gt;0,J11&lt;&gt;0),1,0)</f>
        <v/>
      </c>
      <c r="K19" s="116">
        <f>IF(OR(K10&lt;&gt;0,K11&lt;&gt;0),1,0)</f>
        <v/>
      </c>
      <c r="L19" s="116">
        <f>IF(OR(L10&lt;&gt;0,L11&lt;&gt;0),1,0)</f>
        <v/>
      </c>
      <c r="M19" s="116">
        <f>IF(OR(M10&lt;&gt;0,M11&lt;&gt;0),1,0)</f>
        <v/>
      </c>
      <c r="N19" s="116">
        <f>IF(OR(N10&lt;&gt;0,N11&lt;&gt;0),1,0)</f>
        <v/>
      </c>
    </row>
    <row r="20" ht="12" customHeight="1">
      <c r="A20" s="115" t="inlineStr">
        <is>
          <t>saldo só dos meses com movimento (auxiliar)</t>
        </is>
      </c>
      <c r="B20" s="9" t="n"/>
      <c r="C20" s="117">
        <f>IF(C19=1,C12,"")</f>
        <v/>
      </c>
      <c r="D20" s="117">
        <f>IF(D19=1,D12,"")</f>
        <v/>
      </c>
      <c r="E20" s="117">
        <f>IF(E19=1,E12,"")</f>
        <v/>
      </c>
      <c r="F20" s="117">
        <f>IF(F19=1,F12,"")</f>
        <v/>
      </c>
      <c r="G20" s="117">
        <f>IF(G19=1,G12,"")</f>
        <v/>
      </c>
      <c r="H20" s="117">
        <f>IF(H19=1,H12,"")</f>
        <v/>
      </c>
      <c r="I20" s="117">
        <f>IF(I19=1,I12,"")</f>
        <v/>
      </c>
      <c r="J20" s="117">
        <f>IF(J19=1,J12,"")</f>
        <v/>
      </c>
      <c r="K20" s="117">
        <f>IF(K19=1,K12,"")</f>
        <v/>
      </c>
      <c r="L20" s="117">
        <f>IF(L19=1,L12,"")</f>
        <v/>
      </c>
      <c r="M20" s="117">
        <f>IF(M19=1,M12,"")</f>
        <v/>
      </c>
      <c r="N20" s="117">
        <f>IF(N19=1,N12,"")</f>
        <v/>
      </c>
    </row>
    <row r="22" ht="18" customHeight="1">
      <c r="A22" s="80" t="inlineStr">
        <is>
          <t>MELHOR MÊS (maior saldo)</t>
        </is>
      </c>
      <c r="C22" s="80" t="inlineStr">
        <is>
          <t>SALDO NO MELHOR MÊS</t>
        </is>
      </c>
      <c r="D22" s="81" t="n"/>
      <c r="E22" s="80" t="inlineStr">
        <is>
          <t>PIOR MÊS (menor saldo)</t>
        </is>
      </c>
      <c r="F22" s="81" t="n"/>
      <c r="G22" s="80" t="inlineStr">
        <is>
          <t>SALDO NO PIOR MÊS</t>
        </is>
      </c>
      <c r="H22" s="81" t="n"/>
      <c r="I22" s="80" t="inlineStr">
        <is>
          <t>MÉDIA DE DESPESAS POR MÊS</t>
        </is>
      </c>
      <c r="J22" s="81" t="n"/>
    </row>
    <row r="23" ht="30" customHeight="1">
      <c r="A23" s="118">
        <f>IF(SUM($C$19:$N$19)=0,"-",INDEX($C$9:$N$9,MATCH(MAX($C$20:$N$20),$C$20:$N$20,0)))</f>
        <v/>
      </c>
      <c r="C23" s="82">
        <f>IF(SUM($C$19:$N$19)=0,0,MAX($C$20:$N$20))</f>
        <v/>
      </c>
      <c r="D23" s="83" t="n"/>
      <c r="E23" s="118">
        <f>IF(SUM($C$19:$N$19)=0,"-",INDEX($C$9:$N$9,MATCH(MIN($C$20:$N$20),$C$20:$N$20,0)))</f>
        <v/>
      </c>
      <c r="F23" s="83" t="n"/>
      <c r="G23" s="82">
        <f>IF(SUM($C$19:$N$19)=0,0,MIN($C$20:$N$20))</f>
        <v/>
      </c>
      <c r="H23" s="83" t="n"/>
      <c r="I23" s="82">
        <f>P11</f>
        <v/>
      </c>
      <c r="J23" s="83" t="n"/>
    </row>
    <row r="26">
      <c r="A26" s="5" t="inlineStr">
        <is>
          <t>Por categoria (receitas, despesas e aportes lançados no mês, mais as parcelas dos cartões)</t>
        </is>
      </c>
    </row>
    <row r="27" ht="28" customHeight="1">
      <c r="A27" s="44" t="inlineStr">
        <is>
          <t>Categoria</t>
        </is>
      </c>
      <c r="B27" s="44" t="inlineStr">
        <is>
          <t>Grupo</t>
        </is>
      </c>
      <c r="C27" s="44" t="inlineStr">
        <is>
          <t>Jan</t>
        </is>
      </c>
      <c r="D27" s="44" t="inlineStr">
        <is>
          <t>Fev</t>
        </is>
      </c>
      <c r="E27" s="44" t="inlineStr">
        <is>
          <t>Mar</t>
        </is>
      </c>
      <c r="F27" s="44" t="inlineStr">
        <is>
          <t>Abr</t>
        </is>
      </c>
      <c r="G27" s="44" t="inlineStr">
        <is>
          <t>Mai</t>
        </is>
      </c>
      <c r="H27" s="44" t="inlineStr">
        <is>
          <t>Jun</t>
        </is>
      </c>
      <c r="I27" s="44" t="inlineStr">
        <is>
          <t>Jul</t>
        </is>
      </c>
      <c r="J27" s="44" t="inlineStr">
        <is>
          <t>Ago</t>
        </is>
      </c>
      <c r="K27" s="44" t="inlineStr">
        <is>
          <t>Set</t>
        </is>
      </c>
      <c r="L27" s="44" t="inlineStr">
        <is>
          <t>Out</t>
        </is>
      </c>
      <c r="M27" s="44" t="inlineStr">
        <is>
          <t>Nov</t>
        </is>
      </c>
      <c r="N27" s="44" t="inlineStr">
        <is>
          <t>Dez</t>
        </is>
      </c>
      <c r="O27" s="44" t="inlineStr">
        <is>
          <t>Total do ano</t>
        </is>
      </c>
      <c r="P27" s="44" t="inlineStr">
        <is>
          <t>Média mensal</t>
        </is>
      </c>
      <c r="Q27" s="44" t="inlineStr">
        <is>
          <t>% das despesas</t>
        </is>
      </c>
    </row>
    <row r="28">
      <c r="A28" s="75">
        <f>IF('Configurações'!A14="","",'Configurações'!A14)</f>
        <v/>
      </c>
      <c r="B28" s="75">
        <f>IF($A28="","",'Configurações'!B14)</f>
        <v/>
      </c>
      <c r="C28" s="109">
        <f>IF($A28="","",SUMIFS(L_VALOR,L_CAT,$A28,L_AM,C$6)+SUMPRODUCT((PARC_CAT=$A28)*(PARC_MESES=C$7)*PARC_MATRIZ))</f>
        <v/>
      </c>
      <c r="D28" s="109">
        <f>IF($A28="","",SUMIFS(L_VALOR,L_CAT,$A28,L_AM,D$6)+SUMPRODUCT((PARC_CAT=$A28)*(PARC_MESES=D$7)*PARC_MATRIZ))</f>
        <v/>
      </c>
      <c r="E28" s="109">
        <f>IF($A28="","",SUMIFS(L_VALOR,L_CAT,$A28,L_AM,E$6)+SUMPRODUCT((PARC_CAT=$A28)*(PARC_MESES=E$7)*PARC_MATRIZ))</f>
        <v/>
      </c>
      <c r="F28" s="109">
        <f>IF($A28="","",SUMIFS(L_VALOR,L_CAT,$A28,L_AM,F$6)+SUMPRODUCT((PARC_CAT=$A28)*(PARC_MESES=F$7)*PARC_MATRIZ))</f>
        <v/>
      </c>
      <c r="G28" s="109">
        <f>IF($A28="","",SUMIFS(L_VALOR,L_CAT,$A28,L_AM,G$6)+SUMPRODUCT((PARC_CAT=$A28)*(PARC_MESES=G$7)*PARC_MATRIZ))</f>
        <v/>
      </c>
      <c r="H28" s="109">
        <f>IF($A28="","",SUMIFS(L_VALOR,L_CAT,$A28,L_AM,H$6)+SUMPRODUCT((PARC_CAT=$A28)*(PARC_MESES=H$7)*PARC_MATRIZ))</f>
        <v/>
      </c>
      <c r="I28" s="109">
        <f>IF($A28="","",SUMIFS(L_VALOR,L_CAT,$A28,L_AM,I$6)+SUMPRODUCT((PARC_CAT=$A28)*(PARC_MESES=I$7)*PARC_MATRIZ))</f>
        <v/>
      </c>
      <c r="J28" s="109">
        <f>IF($A28="","",SUMIFS(L_VALOR,L_CAT,$A28,L_AM,J$6)+SUMPRODUCT((PARC_CAT=$A28)*(PARC_MESES=J$7)*PARC_MATRIZ))</f>
        <v/>
      </c>
      <c r="K28" s="109">
        <f>IF($A28="","",SUMIFS(L_VALOR,L_CAT,$A28,L_AM,K$6)+SUMPRODUCT((PARC_CAT=$A28)*(PARC_MESES=K$7)*PARC_MATRIZ))</f>
        <v/>
      </c>
      <c r="L28" s="109">
        <f>IF($A28="","",SUMIFS(L_VALOR,L_CAT,$A28,L_AM,L$6)+SUMPRODUCT((PARC_CAT=$A28)*(PARC_MESES=L$7)*PARC_MATRIZ))</f>
        <v/>
      </c>
      <c r="M28" s="109">
        <f>IF($A28="","",SUMIFS(L_VALOR,L_CAT,$A28,L_AM,M$6)+SUMPRODUCT((PARC_CAT=$A28)*(PARC_MESES=M$7)*PARC_MATRIZ))</f>
        <v/>
      </c>
      <c r="N28" s="109">
        <f>IF($A28="","",SUMIFS(L_VALOR,L_CAT,$A28,L_AM,N$6)+SUMPRODUCT((PARC_CAT=$A28)*(PARC_MESES=N$7)*PARC_MATRIZ))</f>
        <v/>
      </c>
      <c r="O28" s="85">
        <f>IF($A28="","",SUM(C28:N28))</f>
        <v/>
      </c>
      <c r="P28" s="84">
        <f>IF($A28="","",IF(SUM($C$19:$N$19)=0,0,O28/SUM($C$19:$N$19)))</f>
        <v/>
      </c>
      <c r="Q28" s="86">
        <f>IF(OR($A28="",$O$11=0),"",IF(OR($B28="Necessidade",$B28="Desejo"),O28/$O$11,""))</f>
        <v/>
      </c>
    </row>
    <row r="29">
      <c r="A29" s="75">
        <f>IF('Configurações'!A15="","",'Configurações'!A15)</f>
        <v/>
      </c>
      <c r="B29" s="75">
        <f>IF($A29="","",'Configurações'!B15)</f>
        <v/>
      </c>
      <c r="C29" s="109">
        <f>IF($A29="","",SUMIFS(L_VALOR,L_CAT,$A29,L_AM,C$6)+SUMPRODUCT((PARC_CAT=$A29)*(PARC_MESES=C$7)*PARC_MATRIZ))</f>
        <v/>
      </c>
      <c r="D29" s="109">
        <f>IF($A29="","",SUMIFS(L_VALOR,L_CAT,$A29,L_AM,D$6)+SUMPRODUCT((PARC_CAT=$A29)*(PARC_MESES=D$7)*PARC_MATRIZ))</f>
        <v/>
      </c>
      <c r="E29" s="109">
        <f>IF($A29="","",SUMIFS(L_VALOR,L_CAT,$A29,L_AM,E$6)+SUMPRODUCT((PARC_CAT=$A29)*(PARC_MESES=E$7)*PARC_MATRIZ))</f>
        <v/>
      </c>
      <c r="F29" s="109">
        <f>IF($A29="","",SUMIFS(L_VALOR,L_CAT,$A29,L_AM,F$6)+SUMPRODUCT((PARC_CAT=$A29)*(PARC_MESES=F$7)*PARC_MATRIZ))</f>
        <v/>
      </c>
      <c r="G29" s="109">
        <f>IF($A29="","",SUMIFS(L_VALOR,L_CAT,$A29,L_AM,G$6)+SUMPRODUCT((PARC_CAT=$A29)*(PARC_MESES=G$7)*PARC_MATRIZ))</f>
        <v/>
      </c>
      <c r="H29" s="109">
        <f>IF($A29="","",SUMIFS(L_VALOR,L_CAT,$A29,L_AM,H$6)+SUMPRODUCT((PARC_CAT=$A29)*(PARC_MESES=H$7)*PARC_MATRIZ))</f>
        <v/>
      </c>
      <c r="I29" s="109">
        <f>IF($A29="","",SUMIFS(L_VALOR,L_CAT,$A29,L_AM,I$6)+SUMPRODUCT((PARC_CAT=$A29)*(PARC_MESES=I$7)*PARC_MATRIZ))</f>
        <v/>
      </c>
      <c r="J29" s="109">
        <f>IF($A29="","",SUMIFS(L_VALOR,L_CAT,$A29,L_AM,J$6)+SUMPRODUCT((PARC_CAT=$A29)*(PARC_MESES=J$7)*PARC_MATRIZ))</f>
        <v/>
      </c>
      <c r="K29" s="109">
        <f>IF($A29="","",SUMIFS(L_VALOR,L_CAT,$A29,L_AM,K$6)+SUMPRODUCT((PARC_CAT=$A29)*(PARC_MESES=K$7)*PARC_MATRIZ))</f>
        <v/>
      </c>
      <c r="L29" s="109">
        <f>IF($A29="","",SUMIFS(L_VALOR,L_CAT,$A29,L_AM,L$6)+SUMPRODUCT((PARC_CAT=$A29)*(PARC_MESES=L$7)*PARC_MATRIZ))</f>
        <v/>
      </c>
      <c r="M29" s="109">
        <f>IF($A29="","",SUMIFS(L_VALOR,L_CAT,$A29,L_AM,M$6)+SUMPRODUCT((PARC_CAT=$A29)*(PARC_MESES=M$7)*PARC_MATRIZ))</f>
        <v/>
      </c>
      <c r="N29" s="109">
        <f>IF($A29="","",SUMIFS(L_VALOR,L_CAT,$A29,L_AM,N$6)+SUMPRODUCT((PARC_CAT=$A29)*(PARC_MESES=N$7)*PARC_MATRIZ))</f>
        <v/>
      </c>
      <c r="O29" s="85">
        <f>IF($A29="","",SUM(C29:N29))</f>
        <v/>
      </c>
      <c r="P29" s="84">
        <f>IF($A29="","",IF(SUM($C$19:$N$19)=0,0,O29/SUM($C$19:$N$19)))</f>
        <v/>
      </c>
      <c r="Q29" s="86">
        <f>IF(OR($A29="",$O$11=0),"",IF(OR($B29="Necessidade",$B29="Desejo"),O29/$O$11,""))</f>
        <v/>
      </c>
    </row>
    <row r="30">
      <c r="A30" s="75">
        <f>IF('Configurações'!A16="","",'Configurações'!A16)</f>
        <v/>
      </c>
      <c r="B30" s="75">
        <f>IF($A30="","",'Configurações'!B16)</f>
        <v/>
      </c>
      <c r="C30" s="109">
        <f>IF($A30="","",SUMIFS(L_VALOR,L_CAT,$A30,L_AM,C$6)+SUMPRODUCT((PARC_CAT=$A30)*(PARC_MESES=C$7)*PARC_MATRIZ))</f>
        <v/>
      </c>
      <c r="D30" s="109">
        <f>IF($A30="","",SUMIFS(L_VALOR,L_CAT,$A30,L_AM,D$6)+SUMPRODUCT((PARC_CAT=$A30)*(PARC_MESES=D$7)*PARC_MATRIZ))</f>
        <v/>
      </c>
      <c r="E30" s="109">
        <f>IF($A30="","",SUMIFS(L_VALOR,L_CAT,$A30,L_AM,E$6)+SUMPRODUCT((PARC_CAT=$A30)*(PARC_MESES=E$7)*PARC_MATRIZ))</f>
        <v/>
      </c>
      <c r="F30" s="109">
        <f>IF($A30="","",SUMIFS(L_VALOR,L_CAT,$A30,L_AM,F$6)+SUMPRODUCT((PARC_CAT=$A30)*(PARC_MESES=F$7)*PARC_MATRIZ))</f>
        <v/>
      </c>
      <c r="G30" s="109">
        <f>IF($A30="","",SUMIFS(L_VALOR,L_CAT,$A30,L_AM,G$6)+SUMPRODUCT((PARC_CAT=$A30)*(PARC_MESES=G$7)*PARC_MATRIZ))</f>
        <v/>
      </c>
      <c r="H30" s="109">
        <f>IF($A30="","",SUMIFS(L_VALOR,L_CAT,$A30,L_AM,H$6)+SUMPRODUCT((PARC_CAT=$A30)*(PARC_MESES=H$7)*PARC_MATRIZ))</f>
        <v/>
      </c>
      <c r="I30" s="109">
        <f>IF($A30="","",SUMIFS(L_VALOR,L_CAT,$A30,L_AM,I$6)+SUMPRODUCT((PARC_CAT=$A30)*(PARC_MESES=I$7)*PARC_MATRIZ))</f>
        <v/>
      </c>
      <c r="J30" s="109">
        <f>IF($A30="","",SUMIFS(L_VALOR,L_CAT,$A30,L_AM,J$6)+SUMPRODUCT((PARC_CAT=$A30)*(PARC_MESES=J$7)*PARC_MATRIZ))</f>
        <v/>
      </c>
      <c r="K30" s="109">
        <f>IF($A30="","",SUMIFS(L_VALOR,L_CAT,$A30,L_AM,K$6)+SUMPRODUCT((PARC_CAT=$A30)*(PARC_MESES=K$7)*PARC_MATRIZ))</f>
        <v/>
      </c>
      <c r="L30" s="109">
        <f>IF($A30="","",SUMIFS(L_VALOR,L_CAT,$A30,L_AM,L$6)+SUMPRODUCT((PARC_CAT=$A30)*(PARC_MESES=L$7)*PARC_MATRIZ))</f>
        <v/>
      </c>
      <c r="M30" s="109">
        <f>IF($A30="","",SUMIFS(L_VALOR,L_CAT,$A30,L_AM,M$6)+SUMPRODUCT((PARC_CAT=$A30)*(PARC_MESES=M$7)*PARC_MATRIZ))</f>
        <v/>
      </c>
      <c r="N30" s="109">
        <f>IF($A30="","",SUMIFS(L_VALOR,L_CAT,$A30,L_AM,N$6)+SUMPRODUCT((PARC_CAT=$A30)*(PARC_MESES=N$7)*PARC_MATRIZ))</f>
        <v/>
      </c>
      <c r="O30" s="85">
        <f>IF($A30="","",SUM(C30:N30))</f>
        <v/>
      </c>
      <c r="P30" s="84">
        <f>IF($A30="","",IF(SUM($C$19:$N$19)=0,0,O30/SUM($C$19:$N$19)))</f>
        <v/>
      </c>
      <c r="Q30" s="86">
        <f>IF(OR($A30="",$O$11=0),"",IF(OR($B30="Necessidade",$B30="Desejo"),O30/$O$11,""))</f>
        <v/>
      </c>
    </row>
    <row r="31">
      <c r="A31" s="75">
        <f>IF('Configurações'!A17="","",'Configurações'!A17)</f>
        <v/>
      </c>
      <c r="B31" s="75">
        <f>IF($A31="","",'Configurações'!B17)</f>
        <v/>
      </c>
      <c r="C31" s="109">
        <f>IF($A31="","",SUMIFS(L_VALOR,L_CAT,$A31,L_AM,C$6)+SUMPRODUCT((PARC_CAT=$A31)*(PARC_MESES=C$7)*PARC_MATRIZ))</f>
        <v/>
      </c>
      <c r="D31" s="109">
        <f>IF($A31="","",SUMIFS(L_VALOR,L_CAT,$A31,L_AM,D$6)+SUMPRODUCT((PARC_CAT=$A31)*(PARC_MESES=D$7)*PARC_MATRIZ))</f>
        <v/>
      </c>
      <c r="E31" s="109">
        <f>IF($A31="","",SUMIFS(L_VALOR,L_CAT,$A31,L_AM,E$6)+SUMPRODUCT((PARC_CAT=$A31)*(PARC_MESES=E$7)*PARC_MATRIZ))</f>
        <v/>
      </c>
      <c r="F31" s="109">
        <f>IF($A31="","",SUMIFS(L_VALOR,L_CAT,$A31,L_AM,F$6)+SUMPRODUCT((PARC_CAT=$A31)*(PARC_MESES=F$7)*PARC_MATRIZ))</f>
        <v/>
      </c>
      <c r="G31" s="109">
        <f>IF($A31="","",SUMIFS(L_VALOR,L_CAT,$A31,L_AM,G$6)+SUMPRODUCT((PARC_CAT=$A31)*(PARC_MESES=G$7)*PARC_MATRIZ))</f>
        <v/>
      </c>
      <c r="H31" s="109">
        <f>IF($A31="","",SUMIFS(L_VALOR,L_CAT,$A31,L_AM,H$6)+SUMPRODUCT((PARC_CAT=$A31)*(PARC_MESES=H$7)*PARC_MATRIZ))</f>
        <v/>
      </c>
      <c r="I31" s="109">
        <f>IF($A31="","",SUMIFS(L_VALOR,L_CAT,$A31,L_AM,I$6)+SUMPRODUCT((PARC_CAT=$A31)*(PARC_MESES=I$7)*PARC_MATRIZ))</f>
        <v/>
      </c>
      <c r="J31" s="109">
        <f>IF($A31="","",SUMIFS(L_VALOR,L_CAT,$A31,L_AM,J$6)+SUMPRODUCT((PARC_CAT=$A31)*(PARC_MESES=J$7)*PARC_MATRIZ))</f>
        <v/>
      </c>
      <c r="K31" s="109">
        <f>IF($A31="","",SUMIFS(L_VALOR,L_CAT,$A31,L_AM,K$6)+SUMPRODUCT((PARC_CAT=$A31)*(PARC_MESES=K$7)*PARC_MATRIZ))</f>
        <v/>
      </c>
      <c r="L31" s="109">
        <f>IF($A31="","",SUMIFS(L_VALOR,L_CAT,$A31,L_AM,L$6)+SUMPRODUCT((PARC_CAT=$A31)*(PARC_MESES=L$7)*PARC_MATRIZ))</f>
        <v/>
      </c>
      <c r="M31" s="109">
        <f>IF($A31="","",SUMIFS(L_VALOR,L_CAT,$A31,L_AM,M$6)+SUMPRODUCT((PARC_CAT=$A31)*(PARC_MESES=M$7)*PARC_MATRIZ))</f>
        <v/>
      </c>
      <c r="N31" s="109">
        <f>IF($A31="","",SUMIFS(L_VALOR,L_CAT,$A31,L_AM,N$6)+SUMPRODUCT((PARC_CAT=$A31)*(PARC_MESES=N$7)*PARC_MATRIZ))</f>
        <v/>
      </c>
      <c r="O31" s="85">
        <f>IF($A31="","",SUM(C31:N31))</f>
        <v/>
      </c>
      <c r="P31" s="84">
        <f>IF($A31="","",IF(SUM($C$19:$N$19)=0,0,O31/SUM($C$19:$N$19)))</f>
        <v/>
      </c>
      <c r="Q31" s="86">
        <f>IF(OR($A31="",$O$11=0),"",IF(OR($B31="Necessidade",$B31="Desejo"),O31/$O$11,""))</f>
        <v/>
      </c>
    </row>
    <row r="32">
      <c r="A32" s="75">
        <f>IF('Configurações'!A18="","",'Configurações'!A18)</f>
        <v/>
      </c>
      <c r="B32" s="75">
        <f>IF($A32="","",'Configurações'!B18)</f>
        <v/>
      </c>
      <c r="C32" s="109">
        <f>IF($A32="","",SUMIFS(L_VALOR,L_CAT,$A32,L_AM,C$6)+SUMPRODUCT((PARC_CAT=$A32)*(PARC_MESES=C$7)*PARC_MATRIZ))</f>
        <v/>
      </c>
      <c r="D32" s="109">
        <f>IF($A32="","",SUMIFS(L_VALOR,L_CAT,$A32,L_AM,D$6)+SUMPRODUCT((PARC_CAT=$A32)*(PARC_MESES=D$7)*PARC_MATRIZ))</f>
        <v/>
      </c>
      <c r="E32" s="109">
        <f>IF($A32="","",SUMIFS(L_VALOR,L_CAT,$A32,L_AM,E$6)+SUMPRODUCT((PARC_CAT=$A32)*(PARC_MESES=E$7)*PARC_MATRIZ))</f>
        <v/>
      </c>
      <c r="F32" s="109">
        <f>IF($A32="","",SUMIFS(L_VALOR,L_CAT,$A32,L_AM,F$6)+SUMPRODUCT((PARC_CAT=$A32)*(PARC_MESES=F$7)*PARC_MATRIZ))</f>
        <v/>
      </c>
      <c r="G32" s="109">
        <f>IF($A32="","",SUMIFS(L_VALOR,L_CAT,$A32,L_AM,G$6)+SUMPRODUCT((PARC_CAT=$A32)*(PARC_MESES=G$7)*PARC_MATRIZ))</f>
        <v/>
      </c>
      <c r="H32" s="109">
        <f>IF($A32="","",SUMIFS(L_VALOR,L_CAT,$A32,L_AM,H$6)+SUMPRODUCT((PARC_CAT=$A32)*(PARC_MESES=H$7)*PARC_MATRIZ))</f>
        <v/>
      </c>
      <c r="I32" s="109">
        <f>IF($A32="","",SUMIFS(L_VALOR,L_CAT,$A32,L_AM,I$6)+SUMPRODUCT((PARC_CAT=$A32)*(PARC_MESES=I$7)*PARC_MATRIZ))</f>
        <v/>
      </c>
      <c r="J32" s="109">
        <f>IF($A32="","",SUMIFS(L_VALOR,L_CAT,$A32,L_AM,J$6)+SUMPRODUCT((PARC_CAT=$A32)*(PARC_MESES=J$7)*PARC_MATRIZ))</f>
        <v/>
      </c>
      <c r="K32" s="109">
        <f>IF($A32="","",SUMIFS(L_VALOR,L_CAT,$A32,L_AM,K$6)+SUMPRODUCT((PARC_CAT=$A32)*(PARC_MESES=K$7)*PARC_MATRIZ))</f>
        <v/>
      </c>
      <c r="L32" s="109">
        <f>IF($A32="","",SUMIFS(L_VALOR,L_CAT,$A32,L_AM,L$6)+SUMPRODUCT((PARC_CAT=$A32)*(PARC_MESES=L$7)*PARC_MATRIZ))</f>
        <v/>
      </c>
      <c r="M32" s="109">
        <f>IF($A32="","",SUMIFS(L_VALOR,L_CAT,$A32,L_AM,M$6)+SUMPRODUCT((PARC_CAT=$A32)*(PARC_MESES=M$7)*PARC_MATRIZ))</f>
        <v/>
      </c>
      <c r="N32" s="109">
        <f>IF($A32="","",SUMIFS(L_VALOR,L_CAT,$A32,L_AM,N$6)+SUMPRODUCT((PARC_CAT=$A32)*(PARC_MESES=N$7)*PARC_MATRIZ))</f>
        <v/>
      </c>
      <c r="O32" s="85">
        <f>IF($A32="","",SUM(C32:N32))</f>
        <v/>
      </c>
      <c r="P32" s="84">
        <f>IF($A32="","",IF(SUM($C$19:$N$19)=0,0,O32/SUM($C$19:$N$19)))</f>
        <v/>
      </c>
      <c r="Q32" s="86">
        <f>IF(OR($A32="",$O$11=0),"",IF(OR($B32="Necessidade",$B32="Desejo"),O32/$O$11,""))</f>
        <v/>
      </c>
    </row>
    <row r="33">
      <c r="A33" s="75">
        <f>IF('Configurações'!A19="","",'Configurações'!A19)</f>
        <v/>
      </c>
      <c r="B33" s="75">
        <f>IF($A33="","",'Configurações'!B19)</f>
        <v/>
      </c>
      <c r="C33" s="109">
        <f>IF($A33="","",SUMIFS(L_VALOR,L_CAT,$A33,L_AM,C$6)+SUMPRODUCT((PARC_CAT=$A33)*(PARC_MESES=C$7)*PARC_MATRIZ))</f>
        <v/>
      </c>
      <c r="D33" s="109">
        <f>IF($A33="","",SUMIFS(L_VALOR,L_CAT,$A33,L_AM,D$6)+SUMPRODUCT((PARC_CAT=$A33)*(PARC_MESES=D$7)*PARC_MATRIZ))</f>
        <v/>
      </c>
      <c r="E33" s="109">
        <f>IF($A33="","",SUMIFS(L_VALOR,L_CAT,$A33,L_AM,E$6)+SUMPRODUCT((PARC_CAT=$A33)*(PARC_MESES=E$7)*PARC_MATRIZ))</f>
        <v/>
      </c>
      <c r="F33" s="109">
        <f>IF($A33="","",SUMIFS(L_VALOR,L_CAT,$A33,L_AM,F$6)+SUMPRODUCT((PARC_CAT=$A33)*(PARC_MESES=F$7)*PARC_MATRIZ))</f>
        <v/>
      </c>
      <c r="G33" s="109">
        <f>IF($A33="","",SUMIFS(L_VALOR,L_CAT,$A33,L_AM,G$6)+SUMPRODUCT((PARC_CAT=$A33)*(PARC_MESES=G$7)*PARC_MATRIZ))</f>
        <v/>
      </c>
      <c r="H33" s="109">
        <f>IF($A33="","",SUMIFS(L_VALOR,L_CAT,$A33,L_AM,H$6)+SUMPRODUCT((PARC_CAT=$A33)*(PARC_MESES=H$7)*PARC_MATRIZ))</f>
        <v/>
      </c>
      <c r="I33" s="109">
        <f>IF($A33="","",SUMIFS(L_VALOR,L_CAT,$A33,L_AM,I$6)+SUMPRODUCT((PARC_CAT=$A33)*(PARC_MESES=I$7)*PARC_MATRIZ))</f>
        <v/>
      </c>
      <c r="J33" s="109">
        <f>IF($A33="","",SUMIFS(L_VALOR,L_CAT,$A33,L_AM,J$6)+SUMPRODUCT((PARC_CAT=$A33)*(PARC_MESES=J$7)*PARC_MATRIZ))</f>
        <v/>
      </c>
      <c r="K33" s="109">
        <f>IF($A33="","",SUMIFS(L_VALOR,L_CAT,$A33,L_AM,K$6)+SUMPRODUCT((PARC_CAT=$A33)*(PARC_MESES=K$7)*PARC_MATRIZ))</f>
        <v/>
      </c>
      <c r="L33" s="109">
        <f>IF($A33="","",SUMIFS(L_VALOR,L_CAT,$A33,L_AM,L$6)+SUMPRODUCT((PARC_CAT=$A33)*(PARC_MESES=L$7)*PARC_MATRIZ))</f>
        <v/>
      </c>
      <c r="M33" s="109">
        <f>IF($A33="","",SUMIFS(L_VALOR,L_CAT,$A33,L_AM,M$6)+SUMPRODUCT((PARC_CAT=$A33)*(PARC_MESES=M$7)*PARC_MATRIZ))</f>
        <v/>
      </c>
      <c r="N33" s="109">
        <f>IF($A33="","",SUMIFS(L_VALOR,L_CAT,$A33,L_AM,N$6)+SUMPRODUCT((PARC_CAT=$A33)*(PARC_MESES=N$7)*PARC_MATRIZ))</f>
        <v/>
      </c>
      <c r="O33" s="85">
        <f>IF($A33="","",SUM(C33:N33))</f>
        <v/>
      </c>
      <c r="P33" s="84">
        <f>IF($A33="","",IF(SUM($C$19:$N$19)=0,0,O33/SUM($C$19:$N$19)))</f>
        <v/>
      </c>
      <c r="Q33" s="86">
        <f>IF(OR($A33="",$O$11=0),"",IF(OR($B33="Necessidade",$B33="Desejo"),O33/$O$11,""))</f>
        <v/>
      </c>
    </row>
    <row r="34">
      <c r="A34" s="75">
        <f>IF('Configurações'!A20="","",'Configurações'!A20)</f>
        <v/>
      </c>
      <c r="B34" s="75">
        <f>IF($A34="","",'Configurações'!B20)</f>
        <v/>
      </c>
      <c r="C34" s="109">
        <f>IF($A34="","",SUMIFS(L_VALOR,L_CAT,$A34,L_AM,C$6)+SUMPRODUCT((PARC_CAT=$A34)*(PARC_MESES=C$7)*PARC_MATRIZ))</f>
        <v/>
      </c>
      <c r="D34" s="109">
        <f>IF($A34="","",SUMIFS(L_VALOR,L_CAT,$A34,L_AM,D$6)+SUMPRODUCT((PARC_CAT=$A34)*(PARC_MESES=D$7)*PARC_MATRIZ))</f>
        <v/>
      </c>
      <c r="E34" s="109">
        <f>IF($A34="","",SUMIFS(L_VALOR,L_CAT,$A34,L_AM,E$6)+SUMPRODUCT((PARC_CAT=$A34)*(PARC_MESES=E$7)*PARC_MATRIZ))</f>
        <v/>
      </c>
      <c r="F34" s="109">
        <f>IF($A34="","",SUMIFS(L_VALOR,L_CAT,$A34,L_AM,F$6)+SUMPRODUCT((PARC_CAT=$A34)*(PARC_MESES=F$7)*PARC_MATRIZ))</f>
        <v/>
      </c>
      <c r="G34" s="109">
        <f>IF($A34="","",SUMIFS(L_VALOR,L_CAT,$A34,L_AM,G$6)+SUMPRODUCT((PARC_CAT=$A34)*(PARC_MESES=G$7)*PARC_MATRIZ))</f>
        <v/>
      </c>
      <c r="H34" s="109">
        <f>IF($A34="","",SUMIFS(L_VALOR,L_CAT,$A34,L_AM,H$6)+SUMPRODUCT((PARC_CAT=$A34)*(PARC_MESES=H$7)*PARC_MATRIZ))</f>
        <v/>
      </c>
      <c r="I34" s="109">
        <f>IF($A34="","",SUMIFS(L_VALOR,L_CAT,$A34,L_AM,I$6)+SUMPRODUCT((PARC_CAT=$A34)*(PARC_MESES=I$7)*PARC_MATRIZ))</f>
        <v/>
      </c>
      <c r="J34" s="109">
        <f>IF($A34="","",SUMIFS(L_VALOR,L_CAT,$A34,L_AM,J$6)+SUMPRODUCT((PARC_CAT=$A34)*(PARC_MESES=J$7)*PARC_MATRIZ))</f>
        <v/>
      </c>
      <c r="K34" s="109">
        <f>IF($A34="","",SUMIFS(L_VALOR,L_CAT,$A34,L_AM,K$6)+SUMPRODUCT((PARC_CAT=$A34)*(PARC_MESES=K$7)*PARC_MATRIZ))</f>
        <v/>
      </c>
      <c r="L34" s="109">
        <f>IF($A34="","",SUMIFS(L_VALOR,L_CAT,$A34,L_AM,L$6)+SUMPRODUCT((PARC_CAT=$A34)*(PARC_MESES=L$7)*PARC_MATRIZ))</f>
        <v/>
      </c>
      <c r="M34" s="109">
        <f>IF($A34="","",SUMIFS(L_VALOR,L_CAT,$A34,L_AM,M$6)+SUMPRODUCT((PARC_CAT=$A34)*(PARC_MESES=M$7)*PARC_MATRIZ))</f>
        <v/>
      </c>
      <c r="N34" s="109">
        <f>IF($A34="","",SUMIFS(L_VALOR,L_CAT,$A34,L_AM,N$6)+SUMPRODUCT((PARC_CAT=$A34)*(PARC_MESES=N$7)*PARC_MATRIZ))</f>
        <v/>
      </c>
      <c r="O34" s="85">
        <f>IF($A34="","",SUM(C34:N34))</f>
        <v/>
      </c>
      <c r="P34" s="84">
        <f>IF($A34="","",IF(SUM($C$19:$N$19)=0,0,O34/SUM($C$19:$N$19)))</f>
        <v/>
      </c>
      <c r="Q34" s="86">
        <f>IF(OR($A34="",$O$11=0),"",IF(OR($B34="Necessidade",$B34="Desejo"),O34/$O$11,""))</f>
        <v/>
      </c>
    </row>
    <row r="35">
      <c r="A35" s="75">
        <f>IF('Configurações'!A21="","",'Configurações'!A21)</f>
        <v/>
      </c>
      <c r="B35" s="75">
        <f>IF($A35="","",'Configurações'!B21)</f>
        <v/>
      </c>
      <c r="C35" s="109">
        <f>IF($A35="","",SUMIFS(L_VALOR,L_CAT,$A35,L_AM,C$6)+SUMPRODUCT((PARC_CAT=$A35)*(PARC_MESES=C$7)*PARC_MATRIZ))</f>
        <v/>
      </c>
      <c r="D35" s="109">
        <f>IF($A35="","",SUMIFS(L_VALOR,L_CAT,$A35,L_AM,D$6)+SUMPRODUCT((PARC_CAT=$A35)*(PARC_MESES=D$7)*PARC_MATRIZ))</f>
        <v/>
      </c>
      <c r="E35" s="109">
        <f>IF($A35="","",SUMIFS(L_VALOR,L_CAT,$A35,L_AM,E$6)+SUMPRODUCT((PARC_CAT=$A35)*(PARC_MESES=E$7)*PARC_MATRIZ))</f>
        <v/>
      </c>
      <c r="F35" s="109">
        <f>IF($A35="","",SUMIFS(L_VALOR,L_CAT,$A35,L_AM,F$6)+SUMPRODUCT((PARC_CAT=$A35)*(PARC_MESES=F$7)*PARC_MATRIZ))</f>
        <v/>
      </c>
      <c r="G35" s="109">
        <f>IF($A35="","",SUMIFS(L_VALOR,L_CAT,$A35,L_AM,G$6)+SUMPRODUCT((PARC_CAT=$A35)*(PARC_MESES=G$7)*PARC_MATRIZ))</f>
        <v/>
      </c>
      <c r="H35" s="109">
        <f>IF($A35="","",SUMIFS(L_VALOR,L_CAT,$A35,L_AM,H$6)+SUMPRODUCT((PARC_CAT=$A35)*(PARC_MESES=H$7)*PARC_MATRIZ))</f>
        <v/>
      </c>
      <c r="I35" s="109">
        <f>IF($A35="","",SUMIFS(L_VALOR,L_CAT,$A35,L_AM,I$6)+SUMPRODUCT((PARC_CAT=$A35)*(PARC_MESES=I$7)*PARC_MATRIZ))</f>
        <v/>
      </c>
      <c r="J35" s="109">
        <f>IF($A35="","",SUMIFS(L_VALOR,L_CAT,$A35,L_AM,J$6)+SUMPRODUCT((PARC_CAT=$A35)*(PARC_MESES=J$7)*PARC_MATRIZ))</f>
        <v/>
      </c>
      <c r="K35" s="109">
        <f>IF($A35="","",SUMIFS(L_VALOR,L_CAT,$A35,L_AM,K$6)+SUMPRODUCT((PARC_CAT=$A35)*(PARC_MESES=K$7)*PARC_MATRIZ))</f>
        <v/>
      </c>
      <c r="L35" s="109">
        <f>IF($A35="","",SUMIFS(L_VALOR,L_CAT,$A35,L_AM,L$6)+SUMPRODUCT((PARC_CAT=$A35)*(PARC_MESES=L$7)*PARC_MATRIZ))</f>
        <v/>
      </c>
      <c r="M35" s="109">
        <f>IF($A35="","",SUMIFS(L_VALOR,L_CAT,$A35,L_AM,M$6)+SUMPRODUCT((PARC_CAT=$A35)*(PARC_MESES=M$7)*PARC_MATRIZ))</f>
        <v/>
      </c>
      <c r="N35" s="109">
        <f>IF($A35="","",SUMIFS(L_VALOR,L_CAT,$A35,L_AM,N$6)+SUMPRODUCT((PARC_CAT=$A35)*(PARC_MESES=N$7)*PARC_MATRIZ))</f>
        <v/>
      </c>
      <c r="O35" s="85">
        <f>IF($A35="","",SUM(C35:N35))</f>
        <v/>
      </c>
      <c r="P35" s="84">
        <f>IF($A35="","",IF(SUM($C$19:$N$19)=0,0,O35/SUM($C$19:$N$19)))</f>
        <v/>
      </c>
      <c r="Q35" s="86">
        <f>IF(OR($A35="",$O$11=0),"",IF(OR($B35="Necessidade",$B35="Desejo"),O35/$O$11,""))</f>
        <v/>
      </c>
    </row>
    <row r="36">
      <c r="A36" s="75">
        <f>IF('Configurações'!A22="","",'Configurações'!A22)</f>
        <v/>
      </c>
      <c r="B36" s="75">
        <f>IF($A36="","",'Configurações'!B22)</f>
        <v/>
      </c>
      <c r="C36" s="109">
        <f>IF($A36="","",SUMIFS(L_VALOR,L_CAT,$A36,L_AM,C$6)+SUMPRODUCT((PARC_CAT=$A36)*(PARC_MESES=C$7)*PARC_MATRIZ))</f>
        <v/>
      </c>
      <c r="D36" s="109">
        <f>IF($A36="","",SUMIFS(L_VALOR,L_CAT,$A36,L_AM,D$6)+SUMPRODUCT((PARC_CAT=$A36)*(PARC_MESES=D$7)*PARC_MATRIZ))</f>
        <v/>
      </c>
      <c r="E36" s="109">
        <f>IF($A36="","",SUMIFS(L_VALOR,L_CAT,$A36,L_AM,E$6)+SUMPRODUCT((PARC_CAT=$A36)*(PARC_MESES=E$7)*PARC_MATRIZ))</f>
        <v/>
      </c>
      <c r="F36" s="109">
        <f>IF($A36="","",SUMIFS(L_VALOR,L_CAT,$A36,L_AM,F$6)+SUMPRODUCT((PARC_CAT=$A36)*(PARC_MESES=F$7)*PARC_MATRIZ))</f>
        <v/>
      </c>
      <c r="G36" s="109">
        <f>IF($A36="","",SUMIFS(L_VALOR,L_CAT,$A36,L_AM,G$6)+SUMPRODUCT((PARC_CAT=$A36)*(PARC_MESES=G$7)*PARC_MATRIZ))</f>
        <v/>
      </c>
      <c r="H36" s="109">
        <f>IF($A36="","",SUMIFS(L_VALOR,L_CAT,$A36,L_AM,H$6)+SUMPRODUCT((PARC_CAT=$A36)*(PARC_MESES=H$7)*PARC_MATRIZ))</f>
        <v/>
      </c>
      <c r="I36" s="109">
        <f>IF($A36="","",SUMIFS(L_VALOR,L_CAT,$A36,L_AM,I$6)+SUMPRODUCT((PARC_CAT=$A36)*(PARC_MESES=I$7)*PARC_MATRIZ))</f>
        <v/>
      </c>
      <c r="J36" s="109">
        <f>IF($A36="","",SUMIFS(L_VALOR,L_CAT,$A36,L_AM,J$6)+SUMPRODUCT((PARC_CAT=$A36)*(PARC_MESES=J$7)*PARC_MATRIZ))</f>
        <v/>
      </c>
      <c r="K36" s="109">
        <f>IF($A36="","",SUMIFS(L_VALOR,L_CAT,$A36,L_AM,K$6)+SUMPRODUCT((PARC_CAT=$A36)*(PARC_MESES=K$7)*PARC_MATRIZ))</f>
        <v/>
      </c>
      <c r="L36" s="109">
        <f>IF($A36="","",SUMIFS(L_VALOR,L_CAT,$A36,L_AM,L$6)+SUMPRODUCT((PARC_CAT=$A36)*(PARC_MESES=L$7)*PARC_MATRIZ))</f>
        <v/>
      </c>
      <c r="M36" s="109">
        <f>IF($A36="","",SUMIFS(L_VALOR,L_CAT,$A36,L_AM,M$6)+SUMPRODUCT((PARC_CAT=$A36)*(PARC_MESES=M$7)*PARC_MATRIZ))</f>
        <v/>
      </c>
      <c r="N36" s="109">
        <f>IF($A36="","",SUMIFS(L_VALOR,L_CAT,$A36,L_AM,N$6)+SUMPRODUCT((PARC_CAT=$A36)*(PARC_MESES=N$7)*PARC_MATRIZ))</f>
        <v/>
      </c>
      <c r="O36" s="85">
        <f>IF($A36="","",SUM(C36:N36))</f>
        <v/>
      </c>
      <c r="P36" s="84">
        <f>IF($A36="","",IF(SUM($C$19:$N$19)=0,0,O36/SUM($C$19:$N$19)))</f>
        <v/>
      </c>
      <c r="Q36" s="86">
        <f>IF(OR($A36="",$O$11=0),"",IF(OR($B36="Necessidade",$B36="Desejo"),O36/$O$11,""))</f>
        <v/>
      </c>
    </row>
    <row r="37">
      <c r="A37" s="75">
        <f>IF('Configurações'!A23="","",'Configurações'!A23)</f>
        <v/>
      </c>
      <c r="B37" s="75">
        <f>IF($A37="","",'Configurações'!B23)</f>
        <v/>
      </c>
      <c r="C37" s="109">
        <f>IF($A37="","",SUMIFS(L_VALOR,L_CAT,$A37,L_AM,C$6)+SUMPRODUCT((PARC_CAT=$A37)*(PARC_MESES=C$7)*PARC_MATRIZ))</f>
        <v/>
      </c>
      <c r="D37" s="109">
        <f>IF($A37="","",SUMIFS(L_VALOR,L_CAT,$A37,L_AM,D$6)+SUMPRODUCT((PARC_CAT=$A37)*(PARC_MESES=D$7)*PARC_MATRIZ))</f>
        <v/>
      </c>
      <c r="E37" s="109">
        <f>IF($A37="","",SUMIFS(L_VALOR,L_CAT,$A37,L_AM,E$6)+SUMPRODUCT((PARC_CAT=$A37)*(PARC_MESES=E$7)*PARC_MATRIZ))</f>
        <v/>
      </c>
      <c r="F37" s="109">
        <f>IF($A37="","",SUMIFS(L_VALOR,L_CAT,$A37,L_AM,F$6)+SUMPRODUCT((PARC_CAT=$A37)*(PARC_MESES=F$7)*PARC_MATRIZ))</f>
        <v/>
      </c>
      <c r="G37" s="109">
        <f>IF($A37="","",SUMIFS(L_VALOR,L_CAT,$A37,L_AM,G$6)+SUMPRODUCT((PARC_CAT=$A37)*(PARC_MESES=G$7)*PARC_MATRIZ))</f>
        <v/>
      </c>
      <c r="H37" s="109">
        <f>IF($A37="","",SUMIFS(L_VALOR,L_CAT,$A37,L_AM,H$6)+SUMPRODUCT((PARC_CAT=$A37)*(PARC_MESES=H$7)*PARC_MATRIZ))</f>
        <v/>
      </c>
      <c r="I37" s="109">
        <f>IF($A37="","",SUMIFS(L_VALOR,L_CAT,$A37,L_AM,I$6)+SUMPRODUCT((PARC_CAT=$A37)*(PARC_MESES=I$7)*PARC_MATRIZ))</f>
        <v/>
      </c>
      <c r="J37" s="109">
        <f>IF($A37="","",SUMIFS(L_VALOR,L_CAT,$A37,L_AM,J$6)+SUMPRODUCT((PARC_CAT=$A37)*(PARC_MESES=J$7)*PARC_MATRIZ))</f>
        <v/>
      </c>
      <c r="K37" s="109">
        <f>IF($A37="","",SUMIFS(L_VALOR,L_CAT,$A37,L_AM,K$6)+SUMPRODUCT((PARC_CAT=$A37)*(PARC_MESES=K$7)*PARC_MATRIZ))</f>
        <v/>
      </c>
      <c r="L37" s="109">
        <f>IF($A37="","",SUMIFS(L_VALOR,L_CAT,$A37,L_AM,L$6)+SUMPRODUCT((PARC_CAT=$A37)*(PARC_MESES=L$7)*PARC_MATRIZ))</f>
        <v/>
      </c>
      <c r="M37" s="109">
        <f>IF($A37="","",SUMIFS(L_VALOR,L_CAT,$A37,L_AM,M$6)+SUMPRODUCT((PARC_CAT=$A37)*(PARC_MESES=M$7)*PARC_MATRIZ))</f>
        <v/>
      </c>
      <c r="N37" s="109">
        <f>IF($A37="","",SUMIFS(L_VALOR,L_CAT,$A37,L_AM,N$6)+SUMPRODUCT((PARC_CAT=$A37)*(PARC_MESES=N$7)*PARC_MATRIZ))</f>
        <v/>
      </c>
      <c r="O37" s="85">
        <f>IF($A37="","",SUM(C37:N37))</f>
        <v/>
      </c>
      <c r="P37" s="84">
        <f>IF($A37="","",IF(SUM($C$19:$N$19)=0,0,O37/SUM($C$19:$N$19)))</f>
        <v/>
      </c>
      <c r="Q37" s="86">
        <f>IF(OR($A37="",$O$11=0),"",IF(OR($B37="Necessidade",$B37="Desejo"),O37/$O$11,""))</f>
        <v/>
      </c>
    </row>
    <row r="38">
      <c r="A38" s="75">
        <f>IF('Configurações'!A24="","",'Configurações'!A24)</f>
        <v/>
      </c>
      <c r="B38" s="75">
        <f>IF($A38="","",'Configurações'!B24)</f>
        <v/>
      </c>
      <c r="C38" s="109">
        <f>IF($A38="","",SUMIFS(L_VALOR,L_CAT,$A38,L_AM,C$6)+SUMPRODUCT((PARC_CAT=$A38)*(PARC_MESES=C$7)*PARC_MATRIZ))</f>
        <v/>
      </c>
      <c r="D38" s="109">
        <f>IF($A38="","",SUMIFS(L_VALOR,L_CAT,$A38,L_AM,D$6)+SUMPRODUCT((PARC_CAT=$A38)*(PARC_MESES=D$7)*PARC_MATRIZ))</f>
        <v/>
      </c>
      <c r="E38" s="109">
        <f>IF($A38="","",SUMIFS(L_VALOR,L_CAT,$A38,L_AM,E$6)+SUMPRODUCT((PARC_CAT=$A38)*(PARC_MESES=E$7)*PARC_MATRIZ))</f>
        <v/>
      </c>
      <c r="F38" s="109">
        <f>IF($A38="","",SUMIFS(L_VALOR,L_CAT,$A38,L_AM,F$6)+SUMPRODUCT((PARC_CAT=$A38)*(PARC_MESES=F$7)*PARC_MATRIZ))</f>
        <v/>
      </c>
      <c r="G38" s="109">
        <f>IF($A38="","",SUMIFS(L_VALOR,L_CAT,$A38,L_AM,G$6)+SUMPRODUCT((PARC_CAT=$A38)*(PARC_MESES=G$7)*PARC_MATRIZ))</f>
        <v/>
      </c>
      <c r="H38" s="109">
        <f>IF($A38="","",SUMIFS(L_VALOR,L_CAT,$A38,L_AM,H$6)+SUMPRODUCT((PARC_CAT=$A38)*(PARC_MESES=H$7)*PARC_MATRIZ))</f>
        <v/>
      </c>
      <c r="I38" s="109">
        <f>IF($A38="","",SUMIFS(L_VALOR,L_CAT,$A38,L_AM,I$6)+SUMPRODUCT((PARC_CAT=$A38)*(PARC_MESES=I$7)*PARC_MATRIZ))</f>
        <v/>
      </c>
      <c r="J38" s="109">
        <f>IF($A38="","",SUMIFS(L_VALOR,L_CAT,$A38,L_AM,J$6)+SUMPRODUCT((PARC_CAT=$A38)*(PARC_MESES=J$7)*PARC_MATRIZ))</f>
        <v/>
      </c>
      <c r="K38" s="109">
        <f>IF($A38="","",SUMIFS(L_VALOR,L_CAT,$A38,L_AM,K$6)+SUMPRODUCT((PARC_CAT=$A38)*(PARC_MESES=K$7)*PARC_MATRIZ))</f>
        <v/>
      </c>
      <c r="L38" s="109">
        <f>IF($A38="","",SUMIFS(L_VALOR,L_CAT,$A38,L_AM,L$6)+SUMPRODUCT((PARC_CAT=$A38)*(PARC_MESES=L$7)*PARC_MATRIZ))</f>
        <v/>
      </c>
      <c r="M38" s="109">
        <f>IF($A38="","",SUMIFS(L_VALOR,L_CAT,$A38,L_AM,M$6)+SUMPRODUCT((PARC_CAT=$A38)*(PARC_MESES=M$7)*PARC_MATRIZ))</f>
        <v/>
      </c>
      <c r="N38" s="109">
        <f>IF($A38="","",SUMIFS(L_VALOR,L_CAT,$A38,L_AM,N$6)+SUMPRODUCT((PARC_CAT=$A38)*(PARC_MESES=N$7)*PARC_MATRIZ))</f>
        <v/>
      </c>
      <c r="O38" s="85">
        <f>IF($A38="","",SUM(C38:N38))</f>
        <v/>
      </c>
      <c r="P38" s="84">
        <f>IF($A38="","",IF(SUM($C$19:$N$19)=0,0,O38/SUM($C$19:$N$19)))</f>
        <v/>
      </c>
      <c r="Q38" s="86">
        <f>IF(OR($A38="",$O$11=0),"",IF(OR($B38="Necessidade",$B38="Desejo"),O38/$O$11,""))</f>
        <v/>
      </c>
    </row>
    <row r="39">
      <c r="A39" s="75">
        <f>IF('Configurações'!A25="","",'Configurações'!A25)</f>
        <v/>
      </c>
      <c r="B39" s="75">
        <f>IF($A39="","",'Configurações'!B25)</f>
        <v/>
      </c>
      <c r="C39" s="109">
        <f>IF($A39="","",SUMIFS(L_VALOR,L_CAT,$A39,L_AM,C$6)+SUMPRODUCT((PARC_CAT=$A39)*(PARC_MESES=C$7)*PARC_MATRIZ))</f>
        <v/>
      </c>
      <c r="D39" s="109">
        <f>IF($A39="","",SUMIFS(L_VALOR,L_CAT,$A39,L_AM,D$6)+SUMPRODUCT((PARC_CAT=$A39)*(PARC_MESES=D$7)*PARC_MATRIZ))</f>
        <v/>
      </c>
      <c r="E39" s="109">
        <f>IF($A39="","",SUMIFS(L_VALOR,L_CAT,$A39,L_AM,E$6)+SUMPRODUCT((PARC_CAT=$A39)*(PARC_MESES=E$7)*PARC_MATRIZ))</f>
        <v/>
      </c>
      <c r="F39" s="109">
        <f>IF($A39="","",SUMIFS(L_VALOR,L_CAT,$A39,L_AM,F$6)+SUMPRODUCT((PARC_CAT=$A39)*(PARC_MESES=F$7)*PARC_MATRIZ))</f>
        <v/>
      </c>
      <c r="G39" s="109">
        <f>IF($A39="","",SUMIFS(L_VALOR,L_CAT,$A39,L_AM,G$6)+SUMPRODUCT((PARC_CAT=$A39)*(PARC_MESES=G$7)*PARC_MATRIZ))</f>
        <v/>
      </c>
      <c r="H39" s="109">
        <f>IF($A39="","",SUMIFS(L_VALOR,L_CAT,$A39,L_AM,H$6)+SUMPRODUCT((PARC_CAT=$A39)*(PARC_MESES=H$7)*PARC_MATRIZ))</f>
        <v/>
      </c>
      <c r="I39" s="109">
        <f>IF($A39="","",SUMIFS(L_VALOR,L_CAT,$A39,L_AM,I$6)+SUMPRODUCT((PARC_CAT=$A39)*(PARC_MESES=I$7)*PARC_MATRIZ))</f>
        <v/>
      </c>
      <c r="J39" s="109">
        <f>IF($A39="","",SUMIFS(L_VALOR,L_CAT,$A39,L_AM,J$6)+SUMPRODUCT((PARC_CAT=$A39)*(PARC_MESES=J$7)*PARC_MATRIZ))</f>
        <v/>
      </c>
      <c r="K39" s="109">
        <f>IF($A39="","",SUMIFS(L_VALOR,L_CAT,$A39,L_AM,K$6)+SUMPRODUCT((PARC_CAT=$A39)*(PARC_MESES=K$7)*PARC_MATRIZ))</f>
        <v/>
      </c>
      <c r="L39" s="109">
        <f>IF($A39="","",SUMIFS(L_VALOR,L_CAT,$A39,L_AM,L$6)+SUMPRODUCT((PARC_CAT=$A39)*(PARC_MESES=L$7)*PARC_MATRIZ))</f>
        <v/>
      </c>
      <c r="M39" s="109">
        <f>IF($A39="","",SUMIFS(L_VALOR,L_CAT,$A39,L_AM,M$6)+SUMPRODUCT((PARC_CAT=$A39)*(PARC_MESES=M$7)*PARC_MATRIZ))</f>
        <v/>
      </c>
      <c r="N39" s="109">
        <f>IF($A39="","",SUMIFS(L_VALOR,L_CAT,$A39,L_AM,N$6)+SUMPRODUCT((PARC_CAT=$A39)*(PARC_MESES=N$7)*PARC_MATRIZ))</f>
        <v/>
      </c>
      <c r="O39" s="85">
        <f>IF($A39="","",SUM(C39:N39))</f>
        <v/>
      </c>
      <c r="P39" s="84">
        <f>IF($A39="","",IF(SUM($C$19:$N$19)=0,0,O39/SUM($C$19:$N$19)))</f>
        <v/>
      </c>
      <c r="Q39" s="86">
        <f>IF(OR($A39="",$O$11=0),"",IF(OR($B39="Necessidade",$B39="Desejo"),O39/$O$11,""))</f>
        <v/>
      </c>
    </row>
    <row r="40">
      <c r="A40" s="75">
        <f>IF('Configurações'!A26="","",'Configurações'!A26)</f>
        <v/>
      </c>
      <c r="B40" s="75">
        <f>IF($A40="","",'Configurações'!B26)</f>
        <v/>
      </c>
      <c r="C40" s="109">
        <f>IF($A40="","",SUMIFS(L_VALOR,L_CAT,$A40,L_AM,C$6)+SUMPRODUCT((PARC_CAT=$A40)*(PARC_MESES=C$7)*PARC_MATRIZ))</f>
        <v/>
      </c>
      <c r="D40" s="109">
        <f>IF($A40="","",SUMIFS(L_VALOR,L_CAT,$A40,L_AM,D$6)+SUMPRODUCT((PARC_CAT=$A40)*(PARC_MESES=D$7)*PARC_MATRIZ))</f>
        <v/>
      </c>
      <c r="E40" s="109">
        <f>IF($A40="","",SUMIFS(L_VALOR,L_CAT,$A40,L_AM,E$6)+SUMPRODUCT((PARC_CAT=$A40)*(PARC_MESES=E$7)*PARC_MATRIZ))</f>
        <v/>
      </c>
      <c r="F40" s="109">
        <f>IF($A40="","",SUMIFS(L_VALOR,L_CAT,$A40,L_AM,F$6)+SUMPRODUCT((PARC_CAT=$A40)*(PARC_MESES=F$7)*PARC_MATRIZ))</f>
        <v/>
      </c>
      <c r="G40" s="109">
        <f>IF($A40="","",SUMIFS(L_VALOR,L_CAT,$A40,L_AM,G$6)+SUMPRODUCT((PARC_CAT=$A40)*(PARC_MESES=G$7)*PARC_MATRIZ))</f>
        <v/>
      </c>
      <c r="H40" s="109">
        <f>IF($A40="","",SUMIFS(L_VALOR,L_CAT,$A40,L_AM,H$6)+SUMPRODUCT((PARC_CAT=$A40)*(PARC_MESES=H$7)*PARC_MATRIZ))</f>
        <v/>
      </c>
      <c r="I40" s="109">
        <f>IF($A40="","",SUMIFS(L_VALOR,L_CAT,$A40,L_AM,I$6)+SUMPRODUCT((PARC_CAT=$A40)*(PARC_MESES=I$7)*PARC_MATRIZ))</f>
        <v/>
      </c>
      <c r="J40" s="109">
        <f>IF($A40="","",SUMIFS(L_VALOR,L_CAT,$A40,L_AM,J$6)+SUMPRODUCT((PARC_CAT=$A40)*(PARC_MESES=J$7)*PARC_MATRIZ))</f>
        <v/>
      </c>
      <c r="K40" s="109">
        <f>IF($A40="","",SUMIFS(L_VALOR,L_CAT,$A40,L_AM,K$6)+SUMPRODUCT((PARC_CAT=$A40)*(PARC_MESES=K$7)*PARC_MATRIZ))</f>
        <v/>
      </c>
      <c r="L40" s="109">
        <f>IF($A40="","",SUMIFS(L_VALOR,L_CAT,$A40,L_AM,L$6)+SUMPRODUCT((PARC_CAT=$A40)*(PARC_MESES=L$7)*PARC_MATRIZ))</f>
        <v/>
      </c>
      <c r="M40" s="109">
        <f>IF($A40="","",SUMIFS(L_VALOR,L_CAT,$A40,L_AM,M$6)+SUMPRODUCT((PARC_CAT=$A40)*(PARC_MESES=M$7)*PARC_MATRIZ))</f>
        <v/>
      </c>
      <c r="N40" s="109">
        <f>IF($A40="","",SUMIFS(L_VALOR,L_CAT,$A40,L_AM,N$6)+SUMPRODUCT((PARC_CAT=$A40)*(PARC_MESES=N$7)*PARC_MATRIZ))</f>
        <v/>
      </c>
      <c r="O40" s="85">
        <f>IF($A40="","",SUM(C40:N40))</f>
        <v/>
      </c>
      <c r="P40" s="84">
        <f>IF($A40="","",IF(SUM($C$19:$N$19)=0,0,O40/SUM($C$19:$N$19)))</f>
        <v/>
      </c>
      <c r="Q40" s="86">
        <f>IF(OR($A40="",$O$11=0),"",IF(OR($B40="Necessidade",$B40="Desejo"),O40/$O$11,""))</f>
        <v/>
      </c>
    </row>
    <row r="41">
      <c r="A41" s="75">
        <f>IF('Configurações'!A27="","",'Configurações'!A27)</f>
        <v/>
      </c>
      <c r="B41" s="75">
        <f>IF($A41="","",'Configurações'!B27)</f>
        <v/>
      </c>
      <c r="C41" s="109">
        <f>IF($A41="","",SUMIFS(L_VALOR,L_CAT,$A41,L_AM,C$6)+SUMPRODUCT((PARC_CAT=$A41)*(PARC_MESES=C$7)*PARC_MATRIZ))</f>
        <v/>
      </c>
      <c r="D41" s="109">
        <f>IF($A41="","",SUMIFS(L_VALOR,L_CAT,$A41,L_AM,D$6)+SUMPRODUCT((PARC_CAT=$A41)*(PARC_MESES=D$7)*PARC_MATRIZ))</f>
        <v/>
      </c>
      <c r="E41" s="109">
        <f>IF($A41="","",SUMIFS(L_VALOR,L_CAT,$A41,L_AM,E$6)+SUMPRODUCT((PARC_CAT=$A41)*(PARC_MESES=E$7)*PARC_MATRIZ))</f>
        <v/>
      </c>
      <c r="F41" s="109">
        <f>IF($A41="","",SUMIFS(L_VALOR,L_CAT,$A41,L_AM,F$6)+SUMPRODUCT((PARC_CAT=$A41)*(PARC_MESES=F$7)*PARC_MATRIZ))</f>
        <v/>
      </c>
      <c r="G41" s="109">
        <f>IF($A41="","",SUMIFS(L_VALOR,L_CAT,$A41,L_AM,G$6)+SUMPRODUCT((PARC_CAT=$A41)*(PARC_MESES=G$7)*PARC_MATRIZ))</f>
        <v/>
      </c>
      <c r="H41" s="109">
        <f>IF($A41="","",SUMIFS(L_VALOR,L_CAT,$A41,L_AM,H$6)+SUMPRODUCT((PARC_CAT=$A41)*(PARC_MESES=H$7)*PARC_MATRIZ))</f>
        <v/>
      </c>
      <c r="I41" s="109">
        <f>IF($A41="","",SUMIFS(L_VALOR,L_CAT,$A41,L_AM,I$6)+SUMPRODUCT((PARC_CAT=$A41)*(PARC_MESES=I$7)*PARC_MATRIZ))</f>
        <v/>
      </c>
      <c r="J41" s="109">
        <f>IF($A41="","",SUMIFS(L_VALOR,L_CAT,$A41,L_AM,J$6)+SUMPRODUCT((PARC_CAT=$A41)*(PARC_MESES=J$7)*PARC_MATRIZ))</f>
        <v/>
      </c>
      <c r="K41" s="109">
        <f>IF($A41="","",SUMIFS(L_VALOR,L_CAT,$A41,L_AM,K$6)+SUMPRODUCT((PARC_CAT=$A41)*(PARC_MESES=K$7)*PARC_MATRIZ))</f>
        <v/>
      </c>
      <c r="L41" s="109">
        <f>IF($A41="","",SUMIFS(L_VALOR,L_CAT,$A41,L_AM,L$6)+SUMPRODUCT((PARC_CAT=$A41)*(PARC_MESES=L$7)*PARC_MATRIZ))</f>
        <v/>
      </c>
      <c r="M41" s="109">
        <f>IF($A41="","",SUMIFS(L_VALOR,L_CAT,$A41,L_AM,M$6)+SUMPRODUCT((PARC_CAT=$A41)*(PARC_MESES=M$7)*PARC_MATRIZ))</f>
        <v/>
      </c>
      <c r="N41" s="109">
        <f>IF($A41="","",SUMIFS(L_VALOR,L_CAT,$A41,L_AM,N$6)+SUMPRODUCT((PARC_CAT=$A41)*(PARC_MESES=N$7)*PARC_MATRIZ))</f>
        <v/>
      </c>
      <c r="O41" s="85">
        <f>IF($A41="","",SUM(C41:N41))</f>
        <v/>
      </c>
      <c r="P41" s="84">
        <f>IF($A41="","",IF(SUM($C$19:$N$19)=0,0,O41/SUM($C$19:$N$19)))</f>
        <v/>
      </c>
      <c r="Q41" s="86">
        <f>IF(OR($A41="",$O$11=0),"",IF(OR($B41="Necessidade",$B41="Desejo"),O41/$O$11,""))</f>
        <v/>
      </c>
    </row>
    <row r="42">
      <c r="A42" s="75">
        <f>IF('Configurações'!A28="","",'Configurações'!A28)</f>
        <v/>
      </c>
      <c r="B42" s="75">
        <f>IF($A42="","",'Configurações'!B28)</f>
        <v/>
      </c>
      <c r="C42" s="109">
        <f>IF($A42="","",SUMIFS(L_VALOR,L_CAT,$A42,L_AM,C$6)+SUMPRODUCT((PARC_CAT=$A42)*(PARC_MESES=C$7)*PARC_MATRIZ))</f>
        <v/>
      </c>
      <c r="D42" s="109">
        <f>IF($A42="","",SUMIFS(L_VALOR,L_CAT,$A42,L_AM,D$6)+SUMPRODUCT((PARC_CAT=$A42)*(PARC_MESES=D$7)*PARC_MATRIZ))</f>
        <v/>
      </c>
      <c r="E42" s="109">
        <f>IF($A42="","",SUMIFS(L_VALOR,L_CAT,$A42,L_AM,E$6)+SUMPRODUCT((PARC_CAT=$A42)*(PARC_MESES=E$7)*PARC_MATRIZ))</f>
        <v/>
      </c>
      <c r="F42" s="109">
        <f>IF($A42="","",SUMIFS(L_VALOR,L_CAT,$A42,L_AM,F$6)+SUMPRODUCT((PARC_CAT=$A42)*(PARC_MESES=F$7)*PARC_MATRIZ))</f>
        <v/>
      </c>
      <c r="G42" s="109">
        <f>IF($A42="","",SUMIFS(L_VALOR,L_CAT,$A42,L_AM,G$6)+SUMPRODUCT((PARC_CAT=$A42)*(PARC_MESES=G$7)*PARC_MATRIZ))</f>
        <v/>
      </c>
      <c r="H42" s="109">
        <f>IF($A42="","",SUMIFS(L_VALOR,L_CAT,$A42,L_AM,H$6)+SUMPRODUCT((PARC_CAT=$A42)*(PARC_MESES=H$7)*PARC_MATRIZ))</f>
        <v/>
      </c>
      <c r="I42" s="109">
        <f>IF($A42="","",SUMIFS(L_VALOR,L_CAT,$A42,L_AM,I$6)+SUMPRODUCT((PARC_CAT=$A42)*(PARC_MESES=I$7)*PARC_MATRIZ))</f>
        <v/>
      </c>
      <c r="J42" s="109">
        <f>IF($A42="","",SUMIFS(L_VALOR,L_CAT,$A42,L_AM,J$6)+SUMPRODUCT((PARC_CAT=$A42)*(PARC_MESES=J$7)*PARC_MATRIZ))</f>
        <v/>
      </c>
      <c r="K42" s="109">
        <f>IF($A42="","",SUMIFS(L_VALOR,L_CAT,$A42,L_AM,K$6)+SUMPRODUCT((PARC_CAT=$A42)*(PARC_MESES=K$7)*PARC_MATRIZ))</f>
        <v/>
      </c>
      <c r="L42" s="109">
        <f>IF($A42="","",SUMIFS(L_VALOR,L_CAT,$A42,L_AM,L$6)+SUMPRODUCT((PARC_CAT=$A42)*(PARC_MESES=L$7)*PARC_MATRIZ))</f>
        <v/>
      </c>
      <c r="M42" s="109">
        <f>IF($A42="","",SUMIFS(L_VALOR,L_CAT,$A42,L_AM,M$6)+SUMPRODUCT((PARC_CAT=$A42)*(PARC_MESES=M$7)*PARC_MATRIZ))</f>
        <v/>
      </c>
      <c r="N42" s="109">
        <f>IF($A42="","",SUMIFS(L_VALOR,L_CAT,$A42,L_AM,N$6)+SUMPRODUCT((PARC_CAT=$A42)*(PARC_MESES=N$7)*PARC_MATRIZ))</f>
        <v/>
      </c>
      <c r="O42" s="85">
        <f>IF($A42="","",SUM(C42:N42))</f>
        <v/>
      </c>
      <c r="P42" s="84">
        <f>IF($A42="","",IF(SUM($C$19:$N$19)=0,0,O42/SUM($C$19:$N$19)))</f>
        <v/>
      </c>
      <c r="Q42" s="86">
        <f>IF(OR($A42="",$O$11=0),"",IF(OR($B42="Necessidade",$B42="Desejo"),O42/$O$11,""))</f>
        <v/>
      </c>
    </row>
    <row r="43">
      <c r="A43" s="75">
        <f>IF('Configurações'!A29="","",'Configurações'!A29)</f>
        <v/>
      </c>
      <c r="B43" s="75">
        <f>IF($A43="","",'Configurações'!B29)</f>
        <v/>
      </c>
      <c r="C43" s="109">
        <f>IF($A43="","",SUMIFS(L_VALOR,L_CAT,$A43,L_AM,C$6)+SUMPRODUCT((PARC_CAT=$A43)*(PARC_MESES=C$7)*PARC_MATRIZ))</f>
        <v/>
      </c>
      <c r="D43" s="109">
        <f>IF($A43="","",SUMIFS(L_VALOR,L_CAT,$A43,L_AM,D$6)+SUMPRODUCT((PARC_CAT=$A43)*(PARC_MESES=D$7)*PARC_MATRIZ))</f>
        <v/>
      </c>
      <c r="E43" s="109">
        <f>IF($A43="","",SUMIFS(L_VALOR,L_CAT,$A43,L_AM,E$6)+SUMPRODUCT((PARC_CAT=$A43)*(PARC_MESES=E$7)*PARC_MATRIZ))</f>
        <v/>
      </c>
      <c r="F43" s="109">
        <f>IF($A43="","",SUMIFS(L_VALOR,L_CAT,$A43,L_AM,F$6)+SUMPRODUCT((PARC_CAT=$A43)*(PARC_MESES=F$7)*PARC_MATRIZ))</f>
        <v/>
      </c>
      <c r="G43" s="109">
        <f>IF($A43="","",SUMIFS(L_VALOR,L_CAT,$A43,L_AM,G$6)+SUMPRODUCT((PARC_CAT=$A43)*(PARC_MESES=G$7)*PARC_MATRIZ))</f>
        <v/>
      </c>
      <c r="H43" s="109">
        <f>IF($A43="","",SUMIFS(L_VALOR,L_CAT,$A43,L_AM,H$6)+SUMPRODUCT((PARC_CAT=$A43)*(PARC_MESES=H$7)*PARC_MATRIZ))</f>
        <v/>
      </c>
      <c r="I43" s="109">
        <f>IF($A43="","",SUMIFS(L_VALOR,L_CAT,$A43,L_AM,I$6)+SUMPRODUCT((PARC_CAT=$A43)*(PARC_MESES=I$7)*PARC_MATRIZ))</f>
        <v/>
      </c>
      <c r="J43" s="109">
        <f>IF($A43="","",SUMIFS(L_VALOR,L_CAT,$A43,L_AM,J$6)+SUMPRODUCT((PARC_CAT=$A43)*(PARC_MESES=J$7)*PARC_MATRIZ))</f>
        <v/>
      </c>
      <c r="K43" s="109">
        <f>IF($A43="","",SUMIFS(L_VALOR,L_CAT,$A43,L_AM,K$6)+SUMPRODUCT((PARC_CAT=$A43)*(PARC_MESES=K$7)*PARC_MATRIZ))</f>
        <v/>
      </c>
      <c r="L43" s="109">
        <f>IF($A43="","",SUMIFS(L_VALOR,L_CAT,$A43,L_AM,L$6)+SUMPRODUCT((PARC_CAT=$A43)*(PARC_MESES=L$7)*PARC_MATRIZ))</f>
        <v/>
      </c>
      <c r="M43" s="109">
        <f>IF($A43="","",SUMIFS(L_VALOR,L_CAT,$A43,L_AM,M$6)+SUMPRODUCT((PARC_CAT=$A43)*(PARC_MESES=M$7)*PARC_MATRIZ))</f>
        <v/>
      </c>
      <c r="N43" s="109">
        <f>IF($A43="","",SUMIFS(L_VALOR,L_CAT,$A43,L_AM,N$6)+SUMPRODUCT((PARC_CAT=$A43)*(PARC_MESES=N$7)*PARC_MATRIZ))</f>
        <v/>
      </c>
      <c r="O43" s="85">
        <f>IF($A43="","",SUM(C43:N43))</f>
        <v/>
      </c>
      <c r="P43" s="84">
        <f>IF($A43="","",IF(SUM($C$19:$N$19)=0,0,O43/SUM($C$19:$N$19)))</f>
        <v/>
      </c>
      <c r="Q43" s="86">
        <f>IF(OR($A43="",$O$11=0),"",IF(OR($B43="Necessidade",$B43="Desejo"),O43/$O$11,""))</f>
        <v/>
      </c>
    </row>
    <row r="44">
      <c r="A44" s="75">
        <f>IF('Configurações'!A30="","",'Configurações'!A30)</f>
        <v/>
      </c>
      <c r="B44" s="75">
        <f>IF($A44="","",'Configurações'!B30)</f>
        <v/>
      </c>
      <c r="C44" s="109">
        <f>IF($A44="","",SUMIFS(L_VALOR,L_CAT,$A44,L_AM,C$6)+SUMPRODUCT((PARC_CAT=$A44)*(PARC_MESES=C$7)*PARC_MATRIZ))</f>
        <v/>
      </c>
      <c r="D44" s="109">
        <f>IF($A44="","",SUMIFS(L_VALOR,L_CAT,$A44,L_AM,D$6)+SUMPRODUCT((PARC_CAT=$A44)*(PARC_MESES=D$7)*PARC_MATRIZ))</f>
        <v/>
      </c>
      <c r="E44" s="109">
        <f>IF($A44="","",SUMIFS(L_VALOR,L_CAT,$A44,L_AM,E$6)+SUMPRODUCT((PARC_CAT=$A44)*(PARC_MESES=E$7)*PARC_MATRIZ))</f>
        <v/>
      </c>
      <c r="F44" s="109">
        <f>IF($A44="","",SUMIFS(L_VALOR,L_CAT,$A44,L_AM,F$6)+SUMPRODUCT((PARC_CAT=$A44)*(PARC_MESES=F$7)*PARC_MATRIZ))</f>
        <v/>
      </c>
      <c r="G44" s="109">
        <f>IF($A44="","",SUMIFS(L_VALOR,L_CAT,$A44,L_AM,G$6)+SUMPRODUCT((PARC_CAT=$A44)*(PARC_MESES=G$7)*PARC_MATRIZ))</f>
        <v/>
      </c>
      <c r="H44" s="109">
        <f>IF($A44="","",SUMIFS(L_VALOR,L_CAT,$A44,L_AM,H$6)+SUMPRODUCT((PARC_CAT=$A44)*(PARC_MESES=H$7)*PARC_MATRIZ))</f>
        <v/>
      </c>
      <c r="I44" s="109">
        <f>IF($A44="","",SUMIFS(L_VALOR,L_CAT,$A44,L_AM,I$6)+SUMPRODUCT((PARC_CAT=$A44)*(PARC_MESES=I$7)*PARC_MATRIZ))</f>
        <v/>
      </c>
      <c r="J44" s="109">
        <f>IF($A44="","",SUMIFS(L_VALOR,L_CAT,$A44,L_AM,J$6)+SUMPRODUCT((PARC_CAT=$A44)*(PARC_MESES=J$7)*PARC_MATRIZ))</f>
        <v/>
      </c>
      <c r="K44" s="109">
        <f>IF($A44="","",SUMIFS(L_VALOR,L_CAT,$A44,L_AM,K$6)+SUMPRODUCT((PARC_CAT=$A44)*(PARC_MESES=K$7)*PARC_MATRIZ))</f>
        <v/>
      </c>
      <c r="L44" s="109">
        <f>IF($A44="","",SUMIFS(L_VALOR,L_CAT,$A44,L_AM,L$6)+SUMPRODUCT((PARC_CAT=$A44)*(PARC_MESES=L$7)*PARC_MATRIZ))</f>
        <v/>
      </c>
      <c r="M44" s="109">
        <f>IF($A44="","",SUMIFS(L_VALOR,L_CAT,$A44,L_AM,M$6)+SUMPRODUCT((PARC_CAT=$A44)*(PARC_MESES=M$7)*PARC_MATRIZ))</f>
        <v/>
      </c>
      <c r="N44" s="109">
        <f>IF($A44="","",SUMIFS(L_VALOR,L_CAT,$A44,L_AM,N$6)+SUMPRODUCT((PARC_CAT=$A44)*(PARC_MESES=N$7)*PARC_MATRIZ))</f>
        <v/>
      </c>
      <c r="O44" s="85">
        <f>IF($A44="","",SUM(C44:N44))</f>
        <v/>
      </c>
      <c r="P44" s="84">
        <f>IF($A44="","",IF(SUM($C$19:$N$19)=0,0,O44/SUM($C$19:$N$19)))</f>
        <v/>
      </c>
      <c r="Q44" s="86">
        <f>IF(OR($A44="",$O$11=0),"",IF(OR($B44="Necessidade",$B44="Desejo"),O44/$O$11,""))</f>
        <v/>
      </c>
    </row>
    <row r="45">
      <c r="A45" s="75">
        <f>IF('Configurações'!A31="","",'Configurações'!A31)</f>
        <v/>
      </c>
      <c r="B45" s="75">
        <f>IF($A45="","",'Configurações'!B31)</f>
        <v/>
      </c>
      <c r="C45" s="109">
        <f>IF($A45="","",SUMIFS(L_VALOR,L_CAT,$A45,L_AM,C$6)+SUMPRODUCT((PARC_CAT=$A45)*(PARC_MESES=C$7)*PARC_MATRIZ))</f>
        <v/>
      </c>
      <c r="D45" s="109">
        <f>IF($A45="","",SUMIFS(L_VALOR,L_CAT,$A45,L_AM,D$6)+SUMPRODUCT((PARC_CAT=$A45)*(PARC_MESES=D$7)*PARC_MATRIZ))</f>
        <v/>
      </c>
      <c r="E45" s="109">
        <f>IF($A45="","",SUMIFS(L_VALOR,L_CAT,$A45,L_AM,E$6)+SUMPRODUCT((PARC_CAT=$A45)*(PARC_MESES=E$7)*PARC_MATRIZ))</f>
        <v/>
      </c>
      <c r="F45" s="109">
        <f>IF($A45="","",SUMIFS(L_VALOR,L_CAT,$A45,L_AM,F$6)+SUMPRODUCT((PARC_CAT=$A45)*(PARC_MESES=F$7)*PARC_MATRIZ))</f>
        <v/>
      </c>
      <c r="G45" s="109">
        <f>IF($A45="","",SUMIFS(L_VALOR,L_CAT,$A45,L_AM,G$6)+SUMPRODUCT((PARC_CAT=$A45)*(PARC_MESES=G$7)*PARC_MATRIZ))</f>
        <v/>
      </c>
      <c r="H45" s="109">
        <f>IF($A45="","",SUMIFS(L_VALOR,L_CAT,$A45,L_AM,H$6)+SUMPRODUCT((PARC_CAT=$A45)*(PARC_MESES=H$7)*PARC_MATRIZ))</f>
        <v/>
      </c>
      <c r="I45" s="109">
        <f>IF($A45="","",SUMIFS(L_VALOR,L_CAT,$A45,L_AM,I$6)+SUMPRODUCT((PARC_CAT=$A45)*(PARC_MESES=I$7)*PARC_MATRIZ))</f>
        <v/>
      </c>
      <c r="J45" s="109">
        <f>IF($A45="","",SUMIFS(L_VALOR,L_CAT,$A45,L_AM,J$6)+SUMPRODUCT((PARC_CAT=$A45)*(PARC_MESES=J$7)*PARC_MATRIZ))</f>
        <v/>
      </c>
      <c r="K45" s="109">
        <f>IF($A45="","",SUMIFS(L_VALOR,L_CAT,$A45,L_AM,K$6)+SUMPRODUCT((PARC_CAT=$A45)*(PARC_MESES=K$7)*PARC_MATRIZ))</f>
        <v/>
      </c>
      <c r="L45" s="109">
        <f>IF($A45="","",SUMIFS(L_VALOR,L_CAT,$A45,L_AM,L$6)+SUMPRODUCT((PARC_CAT=$A45)*(PARC_MESES=L$7)*PARC_MATRIZ))</f>
        <v/>
      </c>
      <c r="M45" s="109">
        <f>IF($A45="","",SUMIFS(L_VALOR,L_CAT,$A45,L_AM,M$6)+SUMPRODUCT((PARC_CAT=$A45)*(PARC_MESES=M$7)*PARC_MATRIZ))</f>
        <v/>
      </c>
      <c r="N45" s="109">
        <f>IF($A45="","",SUMIFS(L_VALOR,L_CAT,$A45,L_AM,N$6)+SUMPRODUCT((PARC_CAT=$A45)*(PARC_MESES=N$7)*PARC_MATRIZ))</f>
        <v/>
      </c>
      <c r="O45" s="85">
        <f>IF($A45="","",SUM(C45:N45))</f>
        <v/>
      </c>
      <c r="P45" s="84">
        <f>IF($A45="","",IF(SUM($C$19:$N$19)=0,0,O45/SUM($C$19:$N$19)))</f>
        <v/>
      </c>
      <c r="Q45" s="86">
        <f>IF(OR($A45="",$O$11=0),"",IF(OR($B45="Necessidade",$B45="Desejo"),O45/$O$11,""))</f>
        <v/>
      </c>
    </row>
    <row r="46">
      <c r="A46" s="75">
        <f>IF('Configurações'!A32="","",'Configurações'!A32)</f>
        <v/>
      </c>
      <c r="B46" s="75">
        <f>IF($A46="","",'Configurações'!B32)</f>
        <v/>
      </c>
      <c r="C46" s="109">
        <f>IF($A46="","",SUMIFS(L_VALOR,L_CAT,$A46,L_AM,C$6)+SUMPRODUCT((PARC_CAT=$A46)*(PARC_MESES=C$7)*PARC_MATRIZ))</f>
        <v/>
      </c>
      <c r="D46" s="109">
        <f>IF($A46="","",SUMIFS(L_VALOR,L_CAT,$A46,L_AM,D$6)+SUMPRODUCT((PARC_CAT=$A46)*(PARC_MESES=D$7)*PARC_MATRIZ))</f>
        <v/>
      </c>
      <c r="E46" s="109">
        <f>IF($A46="","",SUMIFS(L_VALOR,L_CAT,$A46,L_AM,E$6)+SUMPRODUCT((PARC_CAT=$A46)*(PARC_MESES=E$7)*PARC_MATRIZ))</f>
        <v/>
      </c>
      <c r="F46" s="109">
        <f>IF($A46="","",SUMIFS(L_VALOR,L_CAT,$A46,L_AM,F$6)+SUMPRODUCT((PARC_CAT=$A46)*(PARC_MESES=F$7)*PARC_MATRIZ))</f>
        <v/>
      </c>
      <c r="G46" s="109">
        <f>IF($A46="","",SUMIFS(L_VALOR,L_CAT,$A46,L_AM,G$6)+SUMPRODUCT((PARC_CAT=$A46)*(PARC_MESES=G$7)*PARC_MATRIZ))</f>
        <v/>
      </c>
      <c r="H46" s="109">
        <f>IF($A46="","",SUMIFS(L_VALOR,L_CAT,$A46,L_AM,H$6)+SUMPRODUCT((PARC_CAT=$A46)*(PARC_MESES=H$7)*PARC_MATRIZ))</f>
        <v/>
      </c>
      <c r="I46" s="109">
        <f>IF($A46="","",SUMIFS(L_VALOR,L_CAT,$A46,L_AM,I$6)+SUMPRODUCT((PARC_CAT=$A46)*(PARC_MESES=I$7)*PARC_MATRIZ))</f>
        <v/>
      </c>
      <c r="J46" s="109">
        <f>IF($A46="","",SUMIFS(L_VALOR,L_CAT,$A46,L_AM,J$6)+SUMPRODUCT((PARC_CAT=$A46)*(PARC_MESES=J$7)*PARC_MATRIZ))</f>
        <v/>
      </c>
      <c r="K46" s="109">
        <f>IF($A46="","",SUMIFS(L_VALOR,L_CAT,$A46,L_AM,K$6)+SUMPRODUCT((PARC_CAT=$A46)*(PARC_MESES=K$7)*PARC_MATRIZ))</f>
        <v/>
      </c>
      <c r="L46" s="109">
        <f>IF($A46="","",SUMIFS(L_VALOR,L_CAT,$A46,L_AM,L$6)+SUMPRODUCT((PARC_CAT=$A46)*(PARC_MESES=L$7)*PARC_MATRIZ))</f>
        <v/>
      </c>
      <c r="M46" s="109">
        <f>IF($A46="","",SUMIFS(L_VALOR,L_CAT,$A46,L_AM,M$6)+SUMPRODUCT((PARC_CAT=$A46)*(PARC_MESES=M$7)*PARC_MATRIZ))</f>
        <v/>
      </c>
      <c r="N46" s="109">
        <f>IF($A46="","",SUMIFS(L_VALOR,L_CAT,$A46,L_AM,N$6)+SUMPRODUCT((PARC_CAT=$A46)*(PARC_MESES=N$7)*PARC_MATRIZ))</f>
        <v/>
      </c>
      <c r="O46" s="85">
        <f>IF($A46="","",SUM(C46:N46))</f>
        <v/>
      </c>
      <c r="P46" s="84">
        <f>IF($A46="","",IF(SUM($C$19:$N$19)=0,0,O46/SUM($C$19:$N$19)))</f>
        <v/>
      </c>
      <c r="Q46" s="86">
        <f>IF(OR($A46="",$O$11=0),"",IF(OR($B46="Necessidade",$B46="Desejo"),O46/$O$11,""))</f>
        <v/>
      </c>
    </row>
    <row r="47">
      <c r="A47" s="75">
        <f>IF('Configurações'!A33="","",'Configurações'!A33)</f>
        <v/>
      </c>
      <c r="B47" s="75">
        <f>IF($A47="","",'Configurações'!B33)</f>
        <v/>
      </c>
      <c r="C47" s="109">
        <f>IF($A47="","",SUMIFS(L_VALOR,L_CAT,$A47,L_AM,C$6)+SUMPRODUCT((PARC_CAT=$A47)*(PARC_MESES=C$7)*PARC_MATRIZ))</f>
        <v/>
      </c>
      <c r="D47" s="109">
        <f>IF($A47="","",SUMIFS(L_VALOR,L_CAT,$A47,L_AM,D$6)+SUMPRODUCT((PARC_CAT=$A47)*(PARC_MESES=D$7)*PARC_MATRIZ))</f>
        <v/>
      </c>
      <c r="E47" s="109">
        <f>IF($A47="","",SUMIFS(L_VALOR,L_CAT,$A47,L_AM,E$6)+SUMPRODUCT((PARC_CAT=$A47)*(PARC_MESES=E$7)*PARC_MATRIZ))</f>
        <v/>
      </c>
      <c r="F47" s="109">
        <f>IF($A47="","",SUMIFS(L_VALOR,L_CAT,$A47,L_AM,F$6)+SUMPRODUCT((PARC_CAT=$A47)*(PARC_MESES=F$7)*PARC_MATRIZ))</f>
        <v/>
      </c>
      <c r="G47" s="109">
        <f>IF($A47="","",SUMIFS(L_VALOR,L_CAT,$A47,L_AM,G$6)+SUMPRODUCT((PARC_CAT=$A47)*(PARC_MESES=G$7)*PARC_MATRIZ))</f>
        <v/>
      </c>
      <c r="H47" s="109">
        <f>IF($A47="","",SUMIFS(L_VALOR,L_CAT,$A47,L_AM,H$6)+SUMPRODUCT((PARC_CAT=$A47)*(PARC_MESES=H$7)*PARC_MATRIZ))</f>
        <v/>
      </c>
      <c r="I47" s="109">
        <f>IF($A47="","",SUMIFS(L_VALOR,L_CAT,$A47,L_AM,I$6)+SUMPRODUCT((PARC_CAT=$A47)*(PARC_MESES=I$7)*PARC_MATRIZ))</f>
        <v/>
      </c>
      <c r="J47" s="109">
        <f>IF($A47="","",SUMIFS(L_VALOR,L_CAT,$A47,L_AM,J$6)+SUMPRODUCT((PARC_CAT=$A47)*(PARC_MESES=J$7)*PARC_MATRIZ))</f>
        <v/>
      </c>
      <c r="K47" s="109">
        <f>IF($A47="","",SUMIFS(L_VALOR,L_CAT,$A47,L_AM,K$6)+SUMPRODUCT((PARC_CAT=$A47)*(PARC_MESES=K$7)*PARC_MATRIZ))</f>
        <v/>
      </c>
      <c r="L47" s="109">
        <f>IF($A47="","",SUMIFS(L_VALOR,L_CAT,$A47,L_AM,L$6)+SUMPRODUCT((PARC_CAT=$A47)*(PARC_MESES=L$7)*PARC_MATRIZ))</f>
        <v/>
      </c>
      <c r="M47" s="109">
        <f>IF($A47="","",SUMIFS(L_VALOR,L_CAT,$A47,L_AM,M$6)+SUMPRODUCT((PARC_CAT=$A47)*(PARC_MESES=M$7)*PARC_MATRIZ))</f>
        <v/>
      </c>
      <c r="N47" s="109">
        <f>IF($A47="","",SUMIFS(L_VALOR,L_CAT,$A47,L_AM,N$6)+SUMPRODUCT((PARC_CAT=$A47)*(PARC_MESES=N$7)*PARC_MATRIZ))</f>
        <v/>
      </c>
      <c r="O47" s="85">
        <f>IF($A47="","",SUM(C47:N47))</f>
        <v/>
      </c>
      <c r="P47" s="84">
        <f>IF($A47="","",IF(SUM($C$19:$N$19)=0,0,O47/SUM($C$19:$N$19)))</f>
        <v/>
      </c>
      <c r="Q47" s="86">
        <f>IF(OR($A47="",$O$11=0),"",IF(OR($B47="Necessidade",$B47="Desejo"),O47/$O$11,""))</f>
        <v/>
      </c>
    </row>
    <row r="48">
      <c r="A48" s="75">
        <f>IF('Configurações'!A34="","",'Configurações'!A34)</f>
        <v/>
      </c>
      <c r="B48" s="75">
        <f>IF($A48="","",'Configurações'!B34)</f>
        <v/>
      </c>
      <c r="C48" s="109">
        <f>IF($A48="","",SUMIFS(L_VALOR,L_CAT,$A48,L_AM,C$6)+SUMPRODUCT((PARC_CAT=$A48)*(PARC_MESES=C$7)*PARC_MATRIZ))</f>
        <v/>
      </c>
      <c r="D48" s="109">
        <f>IF($A48="","",SUMIFS(L_VALOR,L_CAT,$A48,L_AM,D$6)+SUMPRODUCT((PARC_CAT=$A48)*(PARC_MESES=D$7)*PARC_MATRIZ))</f>
        <v/>
      </c>
      <c r="E48" s="109">
        <f>IF($A48="","",SUMIFS(L_VALOR,L_CAT,$A48,L_AM,E$6)+SUMPRODUCT((PARC_CAT=$A48)*(PARC_MESES=E$7)*PARC_MATRIZ))</f>
        <v/>
      </c>
      <c r="F48" s="109">
        <f>IF($A48="","",SUMIFS(L_VALOR,L_CAT,$A48,L_AM,F$6)+SUMPRODUCT((PARC_CAT=$A48)*(PARC_MESES=F$7)*PARC_MATRIZ))</f>
        <v/>
      </c>
      <c r="G48" s="109">
        <f>IF($A48="","",SUMIFS(L_VALOR,L_CAT,$A48,L_AM,G$6)+SUMPRODUCT((PARC_CAT=$A48)*(PARC_MESES=G$7)*PARC_MATRIZ))</f>
        <v/>
      </c>
      <c r="H48" s="109">
        <f>IF($A48="","",SUMIFS(L_VALOR,L_CAT,$A48,L_AM,H$6)+SUMPRODUCT((PARC_CAT=$A48)*(PARC_MESES=H$7)*PARC_MATRIZ))</f>
        <v/>
      </c>
      <c r="I48" s="109">
        <f>IF($A48="","",SUMIFS(L_VALOR,L_CAT,$A48,L_AM,I$6)+SUMPRODUCT((PARC_CAT=$A48)*(PARC_MESES=I$7)*PARC_MATRIZ))</f>
        <v/>
      </c>
      <c r="J48" s="109">
        <f>IF($A48="","",SUMIFS(L_VALOR,L_CAT,$A48,L_AM,J$6)+SUMPRODUCT((PARC_CAT=$A48)*(PARC_MESES=J$7)*PARC_MATRIZ))</f>
        <v/>
      </c>
      <c r="K48" s="109">
        <f>IF($A48="","",SUMIFS(L_VALOR,L_CAT,$A48,L_AM,K$6)+SUMPRODUCT((PARC_CAT=$A48)*(PARC_MESES=K$7)*PARC_MATRIZ))</f>
        <v/>
      </c>
      <c r="L48" s="109">
        <f>IF($A48="","",SUMIFS(L_VALOR,L_CAT,$A48,L_AM,L$6)+SUMPRODUCT((PARC_CAT=$A48)*(PARC_MESES=L$7)*PARC_MATRIZ))</f>
        <v/>
      </c>
      <c r="M48" s="109">
        <f>IF($A48="","",SUMIFS(L_VALOR,L_CAT,$A48,L_AM,M$6)+SUMPRODUCT((PARC_CAT=$A48)*(PARC_MESES=M$7)*PARC_MATRIZ))</f>
        <v/>
      </c>
      <c r="N48" s="109">
        <f>IF($A48="","",SUMIFS(L_VALOR,L_CAT,$A48,L_AM,N$6)+SUMPRODUCT((PARC_CAT=$A48)*(PARC_MESES=N$7)*PARC_MATRIZ))</f>
        <v/>
      </c>
      <c r="O48" s="85">
        <f>IF($A48="","",SUM(C48:N48))</f>
        <v/>
      </c>
      <c r="P48" s="84">
        <f>IF($A48="","",IF(SUM($C$19:$N$19)=0,0,O48/SUM($C$19:$N$19)))</f>
        <v/>
      </c>
      <c r="Q48" s="86">
        <f>IF(OR($A48="",$O$11=0),"",IF(OR($B48="Necessidade",$B48="Desejo"),O48/$O$11,""))</f>
        <v/>
      </c>
    </row>
    <row r="49">
      <c r="A49" s="75">
        <f>IF('Configurações'!A35="","",'Configurações'!A35)</f>
        <v/>
      </c>
      <c r="B49" s="75">
        <f>IF($A49="","",'Configurações'!B35)</f>
        <v/>
      </c>
      <c r="C49" s="109">
        <f>IF($A49="","",SUMIFS(L_VALOR,L_CAT,$A49,L_AM,C$6)+SUMPRODUCT((PARC_CAT=$A49)*(PARC_MESES=C$7)*PARC_MATRIZ))</f>
        <v/>
      </c>
      <c r="D49" s="109">
        <f>IF($A49="","",SUMIFS(L_VALOR,L_CAT,$A49,L_AM,D$6)+SUMPRODUCT((PARC_CAT=$A49)*(PARC_MESES=D$7)*PARC_MATRIZ))</f>
        <v/>
      </c>
      <c r="E49" s="109">
        <f>IF($A49="","",SUMIFS(L_VALOR,L_CAT,$A49,L_AM,E$6)+SUMPRODUCT((PARC_CAT=$A49)*(PARC_MESES=E$7)*PARC_MATRIZ))</f>
        <v/>
      </c>
      <c r="F49" s="109">
        <f>IF($A49="","",SUMIFS(L_VALOR,L_CAT,$A49,L_AM,F$6)+SUMPRODUCT((PARC_CAT=$A49)*(PARC_MESES=F$7)*PARC_MATRIZ))</f>
        <v/>
      </c>
      <c r="G49" s="109">
        <f>IF($A49="","",SUMIFS(L_VALOR,L_CAT,$A49,L_AM,G$6)+SUMPRODUCT((PARC_CAT=$A49)*(PARC_MESES=G$7)*PARC_MATRIZ))</f>
        <v/>
      </c>
      <c r="H49" s="109">
        <f>IF($A49="","",SUMIFS(L_VALOR,L_CAT,$A49,L_AM,H$6)+SUMPRODUCT((PARC_CAT=$A49)*(PARC_MESES=H$7)*PARC_MATRIZ))</f>
        <v/>
      </c>
      <c r="I49" s="109">
        <f>IF($A49="","",SUMIFS(L_VALOR,L_CAT,$A49,L_AM,I$6)+SUMPRODUCT((PARC_CAT=$A49)*(PARC_MESES=I$7)*PARC_MATRIZ))</f>
        <v/>
      </c>
      <c r="J49" s="109">
        <f>IF($A49="","",SUMIFS(L_VALOR,L_CAT,$A49,L_AM,J$6)+SUMPRODUCT((PARC_CAT=$A49)*(PARC_MESES=J$7)*PARC_MATRIZ))</f>
        <v/>
      </c>
      <c r="K49" s="109">
        <f>IF($A49="","",SUMIFS(L_VALOR,L_CAT,$A49,L_AM,K$6)+SUMPRODUCT((PARC_CAT=$A49)*(PARC_MESES=K$7)*PARC_MATRIZ))</f>
        <v/>
      </c>
      <c r="L49" s="109">
        <f>IF($A49="","",SUMIFS(L_VALOR,L_CAT,$A49,L_AM,L$6)+SUMPRODUCT((PARC_CAT=$A49)*(PARC_MESES=L$7)*PARC_MATRIZ))</f>
        <v/>
      </c>
      <c r="M49" s="109">
        <f>IF($A49="","",SUMIFS(L_VALOR,L_CAT,$A49,L_AM,M$6)+SUMPRODUCT((PARC_CAT=$A49)*(PARC_MESES=M$7)*PARC_MATRIZ))</f>
        <v/>
      </c>
      <c r="N49" s="109">
        <f>IF($A49="","",SUMIFS(L_VALOR,L_CAT,$A49,L_AM,N$6)+SUMPRODUCT((PARC_CAT=$A49)*(PARC_MESES=N$7)*PARC_MATRIZ))</f>
        <v/>
      </c>
      <c r="O49" s="85">
        <f>IF($A49="","",SUM(C49:N49))</f>
        <v/>
      </c>
      <c r="P49" s="84">
        <f>IF($A49="","",IF(SUM($C$19:$N$19)=0,0,O49/SUM($C$19:$N$19)))</f>
        <v/>
      </c>
      <c r="Q49" s="86">
        <f>IF(OR($A49="",$O$11=0),"",IF(OR($B49="Necessidade",$B49="Desejo"),O49/$O$11,""))</f>
        <v/>
      </c>
    </row>
    <row r="50">
      <c r="A50" s="75">
        <f>IF('Configurações'!A36="","",'Configurações'!A36)</f>
        <v/>
      </c>
      <c r="B50" s="75">
        <f>IF($A50="","",'Configurações'!B36)</f>
        <v/>
      </c>
      <c r="C50" s="109">
        <f>IF($A50="","",SUMIFS(L_VALOR,L_CAT,$A50,L_AM,C$6)+SUMPRODUCT((PARC_CAT=$A50)*(PARC_MESES=C$7)*PARC_MATRIZ))</f>
        <v/>
      </c>
      <c r="D50" s="109">
        <f>IF($A50="","",SUMIFS(L_VALOR,L_CAT,$A50,L_AM,D$6)+SUMPRODUCT((PARC_CAT=$A50)*(PARC_MESES=D$7)*PARC_MATRIZ))</f>
        <v/>
      </c>
      <c r="E50" s="109">
        <f>IF($A50="","",SUMIFS(L_VALOR,L_CAT,$A50,L_AM,E$6)+SUMPRODUCT((PARC_CAT=$A50)*(PARC_MESES=E$7)*PARC_MATRIZ))</f>
        <v/>
      </c>
      <c r="F50" s="109">
        <f>IF($A50="","",SUMIFS(L_VALOR,L_CAT,$A50,L_AM,F$6)+SUMPRODUCT((PARC_CAT=$A50)*(PARC_MESES=F$7)*PARC_MATRIZ))</f>
        <v/>
      </c>
      <c r="G50" s="109">
        <f>IF($A50="","",SUMIFS(L_VALOR,L_CAT,$A50,L_AM,G$6)+SUMPRODUCT((PARC_CAT=$A50)*(PARC_MESES=G$7)*PARC_MATRIZ))</f>
        <v/>
      </c>
      <c r="H50" s="109">
        <f>IF($A50="","",SUMIFS(L_VALOR,L_CAT,$A50,L_AM,H$6)+SUMPRODUCT((PARC_CAT=$A50)*(PARC_MESES=H$7)*PARC_MATRIZ))</f>
        <v/>
      </c>
      <c r="I50" s="109">
        <f>IF($A50="","",SUMIFS(L_VALOR,L_CAT,$A50,L_AM,I$6)+SUMPRODUCT((PARC_CAT=$A50)*(PARC_MESES=I$7)*PARC_MATRIZ))</f>
        <v/>
      </c>
      <c r="J50" s="109">
        <f>IF($A50="","",SUMIFS(L_VALOR,L_CAT,$A50,L_AM,J$6)+SUMPRODUCT((PARC_CAT=$A50)*(PARC_MESES=J$7)*PARC_MATRIZ))</f>
        <v/>
      </c>
      <c r="K50" s="109">
        <f>IF($A50="","",SUMIFS(L_VALOR,L_CAT,$A50,L_AM,K$6)+SUMPRODUCT((PARC_CAT=$A50)*(PARC_MESES=K$7)*PARC_MATRIZ))</f>
        <v/>
      </c>
      <c r="L50" s="109">
        <f>IF($A50="","",SUMIFS(L_VALOR,L_CAT,$A50,L_AM,L$6)+SUMPRODUCT((PARC_CAT=$A50)*(PARC_MESES=L$7)*PARC_MATRIZ))</f>
        <v/>
      </c>
      <c r="M50" s="109">
        <f>IF($A50="","",SUMIFS(L_VALOR,L_CAT,$A50,L_AM,M$6)+SUMPRODUCT((PARC_CAT=$A50)*(PARC_MESES=M$7)*PARC_MATRIZ))</f>
        <v/>
      </c>
      <c r="N50" s="109">
        <f>IF($A50="","",SUMIFS(L_VALOR,L_CAT,$A50,L_AM,N$6)+SUMPRODUCT((PARC_CAT=$A50)*(PARC_MESES=N$7)*PARC_MATRIZ))</f>
        <v/>
      </c>
      <c r="O50" s="85">
        <f>IF($A50="","",SUM(C50:N50))</f>
        <v/>
      </c>
      <c r="P50" s="84">
        <f>IF($A50="","",IF(SUM($C$19:$N$19)=0,0,O50/SUM($C$19:$N$19)))</f>
        <v/>
      </c>
      <c r="Q50" s="86">
        <f>IF(OR($A50="",$O$11=0),"",IF(OR($B50="Necessidade",$B50="Desejo"),O50/$O$11,""))</f>
        <v/>
      </c>
    </row>
    <row r="51">
      <c r="A51" s="75">
        <f>IF('Configurações'!A37="","",'Configurações'!A37)</f>
        <v/>
      </c>
      <c r="B51" s="75">
        <f>IF($A51="","",'Configurações'!B37)</f>
        <v/>
      </c>
      <c r="C51" s="109">
        <f>IF($A51="","",SUMIFS(L_VALOR,L_CAT,$A51,L_AM,C$6)+SUMPRODUCT((PARC_CAT=$A51)*(PARC_MESES=C$7)*PARC_MATRIZ))</f>
        <v/>
      </c>
      <c r="D51" s="109">
        <f>IF($A51="","",SUMIFS(L_VALOR,L_CAT,$A51,L_AM,D$6)+SUMPRODUCT((PARC_CAT=$A51)*(PARC_MESES=D$7)*PARC_MATRIZ))</f>
        <v/>
      </c>
      <c r="E51" s="109">
        <f>IF($A51="","",SUMIFS(L_VALOR,L_CAT,$A51,L_AM,E$6)+SUMPRODUCT((PARC_CAT=$A51)*(PARC_MESES=E$7)*PARC_MATRIZ))</f>
        <v/>
      </c>
      <c r="F51" s="109">
        <f>IF($A51="","",SUMIFS(L_VALOR,L_CAT,$A51,L_AM,F$6)+SUMPRODUCT((PARC_CAT=$A51)*(PARC_MESES=F$7)*PARC_MATRIZ))</f>
        <v/>
      </c>
      <c r="G51" s="109">
        <f>IF($A51="","",SUMIFS(L_VALOR,L_CAT,$A51,L_AM,G$6)+SUMPRODUCT((PARC_CAT=$A51)*(PARC_MESES=G$7)*PARC_MATRIZ))</f>
        <v/>
      </c>
      <c r="H51" s="109">
        <f>IF($A51="","",SUMIFS(L_VALOR,L_CAT,$A51,L_AM,H$6)+SUMPRODUCT((PARC_CAT=$A51)*(PARC_MESES=H$7)*PARC_MATRIZ))</f>
        <v/>
      </c>
      <c r="I51" s="109">
        <f>IF($A51="","",SUMIFS(L_VALOR,L_CAT,$A51,L_AM,I$6)+SUMPRODUCT((PARC_CAT=$A51)*(PARC_MESES=I$7)*PARC_MATRIZ))</f>
        <v/>
      </c>
      <c r="J51" s="109">
        <f>IF($A51="","",SUMIFS(L_VALOR,L_CAT,$A51,L_AM,J$6)+SUMPRODUCT((PARC_CAT=$A51)*(PARC_MESES=J$7)*PARC_MATRIZ))</f>
        <v/>
      </c>
      <c r="K51" s="109">
        <f>IF($A51="","",SUMIFS(L_VALOR,L_CAT,$A51,L_AM,K$6)+SUMPRODUCT((PARC_CAT=$A51)*(PARC_MESES=K$7)*PARC_MATRIZ))</f>
        <v/>
      </c>
      <c r="L51" s="109">
        <f>IF($A51="","",SUMIFS(L_VALOR,L_CAT,$A51,L_AM,L$6)+SUMPRODUCT((PARC_CAT=$A51)*(PARC_MESES=L$7)*PARC_MATRIZ))</f>
        <v/>
      </c>
      <c r="M51" s="109">
        <f>IF($A51="","",SUMIFS(L_VALOR,L_CAT,$A51,L_AM,M$6)+SUMPRODUCT((PARC_CAT=$A51)*(PARC_MESES=M$7)*PARC_MATRIZ))</f>
        <v/>
      </c>
      <c r="N51" s="109">
        <f>IF($A51="","",SUMIFS(L_VALOR,L_CAT,$A51,L_AM,N$6)+SUMPRODUCT((PARC_CAT=$A51)*(PARC_MESES=N$7)*PARC_MATRIZ))</f>
        <v/>
      </c>
      <c r="O51" s="85">
        <f>IF($A51="","",SUM(C51:N51))</f>
        <v/>
      </c>
      <c r="P51" s="84">
        <f>IF($A51="","",IF(SUM($C$19:$N$19)=0,0,O51/SUM($C$19:$N$19)))</f>
        <v/>
      </c>
      <c r="Q51" s="86">
        <f>IF(OR($A51="",$O$11=0),"",IF(OR($B51="Necessidade",$B51="Desejo"),O51/$O$11,""))</f>
        <v/>
      </c>
    </row>
    <row r="52">
      <c r="A52" s="75">
        <f>IF('Configurações'!A38="","",'Configurações'!A38)</f>
        <v/>
      </c>
      <c r="B52" s="75">
        <f>IF($A52="","",'Configurações'!B38)</f>
        <v/>
      </c>
      <c r="C52" s="109">
        <f>IF($A52="","",SUMIFS(L_VALOR,L_CAT,$A52,L_AM,C$6)+SUMPRODUCT((PARC_CAT=$A52)*(PARC_MESES=C$7)*PARC_MATRIZ))</f>
        <v/>
      </c>
      <c r="D52" s="109">
        <f>IF($A52="","",SUMIFS(L_VALOR,L_CAT,$A52,L_AM,D$6)+SUMPRODUCT((PARC_CAT=$A52)*(PARC_MESES=D$7)*PARC_MATRIZ))</f>
        <v/>
      </c>
      <c r="E52" s="109">
        <f>IF($A52="","",SUMIFS(L_VALOR,L_CAT,$A52,L_AM,E$6)+SUMPRODUCT((PARC_CAT=$A52)*(PARC_MESES=E$7)*PARC_MATRIZ))</f>
        <v/>
      </c>
      <c r="F52" s="109">
        <f>IF($A52="","",SUMIFS(L_VALOR,L_CAT,$A52,L_AM,F$6)+SUMPRODUCT((PARC_CAT=$A52)*(PARC_MESES=F$7)*PARC_MATRIZ))</f>
        <v/>
      </c>
      <c r="G52" s="109">
        <f>IF($A52="","",SUMIFS(L_VALOR,L_CAT,$A52,L_AM,G$6)+SUMPRODUCT((PARC_CAT=$A52)*(PARC_MESES=G$7)*PARC_MATRIZ))</f>
        <v/>
      </c>
      <c r="H52" s="109">
        <f>IF($A52="","",SUMIFS(L_VALOR,L_CAT,$A52,L_AM,H$6)+SUMPRODUCT((PARC_CAT=$A52)*(PARC_MESES=H$7)*PARC_MATRIZ))</f>
        <v/>
      </c>
      <c r="I52" s="109">
        <f>IF($A52="","",SUMIFS(L_VALOR,L_CAT,$A52,L_AM,I$6)+SUMPRODUCT((PARC_CAT=$A52)*(PARC_MESES=I$7)*PARC_MATRIZ))</f>
        <v/>
      </c>
      <c r="J52" s="109">
        <f>IF($A52="","",SUMIFS(L_VALOR,L_CAT,$A52,L_AM,J$6)+SUMPRODUCT((PARC_CAT=$A52)*(PARC_MESES=J$7)*PARC_MATRIZ))</f>
        <v/>
      </c>
      <c r="K52" s="109">
        <f>IF($A52="","",SUMIFS(L_VALOR,L_CAT,$A52,L_AM,K$6)+SUMPRODUCT((PARC_CAT=$A52)*(PARC_MESES=K$7)*PARC_MATRIZ))</f>
        <v/>
      </c>
      <c r="L52" s="109">
        <f>IF($A52="","",SUMIFS(L_VALOR,L_CAT,$A52,L_AM,L$6)+SUMPRODUCT((PARC_CAT=$A52)*(PARC_MESES=L$7)*PARC_MATRIZ))</f>
        <v/>
      </c>
      <c r="M52" s="109">
        <f>IF($A52="","",SUMIFS(L_VALOR,L_CAT,$A52,L_AM,M$6)+SUMPRODUCT((PARC_CAT=$A52)*(PARC_MESES=M$7)*PARC_MATRIZ))</f>
        <v/>
      </c>
      <c r="N52" s="109">
        <f>IF($A52="","",SUMIFS(L_VALOR,L_CAT,$A52,L_AM,N$6)+SUMPRODUCT((PARC_CAT=$A52)*(PARC_MESES=N$7)*PARC_MATRIZ))</f>
        <v/>
      </c>
      <c r="O52" s="85">
        <f>IF($A52="","",SUM(C52:N52))</f>
        <v/>
      </c>
      <c r="P52" s="84">
        <f>IF($A52="","",IF(SUM($C$19:$N$19)=0,0,O52/SUM($C$19:$N$19)))</f>
        <v/>
      </c>
      <c r="Q52" s="86">
        <f>IF(OR($A52="",$O$11=0),"",IF(OR($B52="Necessidade",$B52="Desejo"),O52/$O$11,""))</f>
        <v/>
      </c>
    </row>
    <row r="53">
      <c r="A53" s="75">
        <f>IF('Configurações'!A39="","",'Configurações'!A39)</f>
        <v/>
      </c>
      <c r="B53" s="75">
        <f>IF($A53="","",'Configurações'!B39)</f>
        <v/>
      </c>
      <c r="C53" s="109">
        <f>IF($A53="","",SUMIFS(L_VALOR,L_CAT,$A53,L_AM,C$6)+SUMPRODUCT((PARC_CAT=$A53)*(PARC_MESES=C$7)*PARC_MATRIZ))</f>
        <v/>
      </c>
      <c r="D53" s="109">
        <f>IF($A53="","",SUMIFS(L_VALOR,L_CAT,$A53,L_AM,D$6)+SUMPRODUCT((PARC_CAT=$A53)*(PARC_MESES=D$7)*PARC_MATRIZ))</f>
        <v/>
      </c>
      <c r="E53" s="109">
        <f>IF($A53="","",SUMIFS(L_VALOR,L_CAT,$A53,L_AM,E$6)+SUMPRODUCT((PARC_CAT=$A53)*(PARC_MESES=E$7)*PARC_MATRIZ))</f>
        <v/>
      </c>
      <c r="F53" s="109">
        <f>IF($A53="","",SUMIFS(L_VALOR,L_CAT,$A53,L_AM,F$6)+SUMPRODUCT((PARC_CAT=$A53)*(PARC_MESES=F$7)*PARC_MATRIZ))</f>
        <v/>
      </c>
      <c r="G53" s="109">
        <f>IF($A53="","",SUMIFS(L_VALOR,L_CAT,$A53,L_AM,G$6)+SUMPRODUCT((PARC_CAT=$A53)*(PARC_MESES=G$7)*PARC_MATRIZ))</f>
        <v/>
      </c>
      <c r="H53" s="109">
        <f>IF($A53="","",SUMIFS(L_VALOR,L_CAT,$A53,L_AM,H$6)+SUMPRODUCT((PARC_CAT=$A53)*(PARC_MESES=H$7)*PARC_MATRIZ))</f>
        <v/>
      </c>
      <c r="I53" s="109">
        <f>IF($A53="","",SUMIFS(L_VALOR,L_CAT,$A53,L_AM,I$6)+SUMPRODUCT((PARC_CAT=$A53)*(PARC_MESES=I$7)*PARC_MATRIZ))</f>
        <v/>
      </c>
      <c r="J53" s="109">
        <f>IF($A53="","",SUMIFS(L_VALOR,L_CAT,$A53,L_AM,J$6)+SUMPRODUCT((PARC_CAT=$A53)*(PARC_MESES=J$7)*PARC_MATRIZ))</f>
        <v/>
      </c>
      <c r="K53" s="109">
        <f>IF($A53="","",SUMIFS(L_VALOR,L_CAT,$A53,L_AM,K$6)+SUMPRODUCT((PARC_CAT=$A53)*(PARC_MESES=K$7)*PARC_MATRIZ))</f>
        <v/>
      </c>
      <c r="L53" s="109">
        <f>IF($A53="","",SUMIFS(L_VALOR,L_CAT,$A53,L_AM,L$6)+SUMPRODUCT((PARC_CAT=$A53)*(PARC_MESES=L$7)*PARC_MATRIZ))</f>
        <v/>
      </c>
      <c r="M53" s="109">
        <f>IF($A53="","",SUMIFS(L_VALOR,L_CAT,$A53,L_AM,M$6)+SUMPRODUCT((PARC_CAT=$A53)*(PARC_MESES=M$7)*PARC_MATRIZ))</f>
        <v/>
      </c>
      <c r="N53" s="109">
        <f>IF($A53="","",SUMIFS(L_VALOR,L_CAT,$A53,L_AM,N$6)+SUMPRODUCT((PARC_CAT=$A53)*(PARC_MESES=N$7)*PARC_MATRIZ))</f>
        <v/>
      </c>
      <c r="O53" s="85">
        <f>IF($A53="","",SUM(C53:N53))</f>
        <v/>
      </c>
      <c r="P53" s="84">
        <f>IF($A53="","",IF(SUM($C$19:$N$19)=0,0,O53/SUM($C$19:$N$19)))</f>
        <v/>
      </c>
      <c r="Q53" s="86">
        <f>IF(OR($A53="",$O$11=0),"",IF(OR($B53="Necessidade",$B53="Desejo"),O53/$O$11,""))</f>
        <v/>
      </c>
    </row>
    <row r="54">
      <c r="A54" s="75">
        <f>IF('Configurações'!A40="","",'Configurações'!A40)</f>
        <v/>
      </c>
      <c r="B54" s="75">
        <f>IF($A54="","",'Configurações'!B40)</f>
        <v/>
      </c>
      <c r="C54" s="109">
        <f>IF($A54="","",SUMIFS(L_VALOR,L_CAT,$A54,L_AM,C$6)+SUMPRODUCT((PARC_CAT=$A54)*(PARC_MESES=C$7)*PARC_MATRIZ))</f>
        <v/>
      </c>
      <c r="D54" s="109">
        <f>IF($A54="","",SUMIFS(L_VALOR,L_CAT,$A54,L_AM,D$6)+SUMPRODUCT((PARC_CAT=$A54)*(PARC_MESES=D$7)*PARC_MATRIZ))</f>
        <v/>
      </c>
      <c r="E54" s="109">
        <f>IF($A54="","",SUMIFS(L_VALOR,L_CAT,$A54,L_AM,E$6)+SUMPRODUCT((PARC_CAT=$A54)*(PARC_MESES=E$7)*PARC_MATRIZ))</f>
        <v/>
      </c>
      <c r="F54" s="109">
        <f>IF($A54="","",SUMIFS(L_VALOR,L_CAT,$A54,L_AM,F$6)+SUMPRODUCT((PARC_CAT=$A54)*(PARC_MESES=F$7)*PARC_MATRIZ))</f>
        <v/>
      </c>
      <c r="G54" s="109">
        <f>IF($A54="","",SUMIFS(L_VALOR,L_CAT,$A54,L_AM,G$6)+SUMPRODUCT((PARC_CAT=$A54)*(PARC_MESES=G$7)*PARC_MATRIZ))</f>
        <v/>
      </c>
      <c r="H54" s="109">
        <f>IF($A54="","",SUMIFS(L_VALOR,L_CAT,$A54,L_AM,H$6)+SUMPRODUCT((PARC_CAT=$A54)*(PARC_MESES=H$7)*PARC_MATRIZ))</f>
        <v/>
      </c>
      <c r="I54" s="109">
        <f>IF($A54="","",SUMIFS(L_VALOR,L_CAT,$A54,L_AM,I$6)+SUMPRODUCT((PARC_CAT=$A54)*(PARC_MESES=I$7)*PARC_MATRIZ))</f>
        <v/>
      </c>
      <c r="J54" s="109">
        <f>IF($A54="","",SUMIFS(L_VALOR,L_CAT,$A54,L_AM,J$6)+SUMPRODUCT((PARC_CAT=$A54)*(PARC_MESES=J$7)*PARC_MATRIZ))</f>
        <v/>
      </c>
      <c r="K54" s="109">
        <f>IF($A54="","",SUMIFS(L_VALOR,L_CAT,$A54,L_AM,K$6)+SUMPRODUCT((PARC_CAT=$A54)*(PARC_MESES=K$7)*PARC_MATRIZ))</f>
        <v/>
      </c>
      <c r="L54" s="109">
        <f>IF($A54="","",SUMIFS(L_VALOR,L_CAT,$A54,L_AM,L$6)+SUMPRODUCT((PARC_CAT=$A54)*(PARC_MESES=L$7)*PARC_MATRIZ))</f>
        <v/>
      </c>
      <c r="M54" s="109">
        <f>IF($A54="","",SUMIFS(L_VALOR,L_CAT,$A54,L_AM,M$6)+SUMPRODUCT((PARC_CAT=$A54)*(PARC_MESES=M$7)*PARC_MATRIZ))</f>
        <v/>
      </c>
      <c r="N54" s="109">
        <f>IF($A54="","",SUMIFS(L_VALOR,L_CAT,$A54,L_AM,N$6)+SUMPRODUCT((PARC_CAT=$A54)*(PARC_MESES=N$7)*PARC_MATRIZ))</f>
        <v/>
      </c>
      <c r="O54" s="85">
        <f>IF($A54="","",SUM(C54:N54))</f>
        <v/>
      </c>
      <c r="P54" s="84">
        <f>IF($A54="","",IF(SUM($C$19:$N$19)=0,0,O54/SUM($C$19:$N$19)))</f>
        <v/>
      </c>
      <c r="Q54" s="86">
        <f>IF(OR($A54="",$O$11=0),"",IF(OR($B54="Necessidade",$B54="Desejo"),O54/$O$11,""))</f>
        <v/>
      </c>
    </row>
    <row r="55">
      <c r="A55" s="75">
        <f>IF('Configurações'!A41="","",'Configurações'!A41)</f>
        <v/>
      </c>
      <c r="B55" s="75">
        <f>IF($A55="","",'Configurações'!B41)</f>
        <v/>
      </c>
      <c r="C55" s="109">
        <f>IF($A55="","",SUMIFS(L_VALOR,L_CAT,$A55,L_AM,C$6)+SUMPRODUCT((PARC_CAT=$A55)*(PARC_MESES=C$7)*PARC_MATRIZ))</f>
        <v/>
      </c>
      <c r="D55" s="109">
        <f>IF($A55="","",SUMIFS(L_VALOR,L_CAT,$A55,L_AM,D$6)+SUMPRODUCT((PARC_CAT=$A55)*(PARC_MESES=D$7)*PARC_MATRIZ))</f>
        <v/>
      </c>
      <c r="E55" s="109">
        <f>IF($A55="","",SUMIFS(L_VALOR,L_CAT,$A55,L_AM,E$6)+SUMPRODUCT((PARC_CAT=$A55)*(PARC_MESES=E$7)*PARC_MATRIZ))</f>
        <v/>
      </c>
      <c r="F55" s="109">
        <f>IF($A55="","",SUMIFS(L_VALOR,L_CAT,$A55,L_AM,F$6)+SUMPRODUCT((PARC_CAT=$A55)*(PARC_MESES=F$7)*PARC_MATRIZ))</f>
        <v/>
      </c>
      <c r="G55" s="109">
        <f>IF($A55="","",SUMIFS(L_VALOR,L_CAT,$A55,L_AM,G$6)+SUMPRODUCT((PARC_CAT=$A55)*(PARC_MESES=G$7)*PARC_MATRIZ))</f>
        <v/>
      </c>
      <c r="H55" s="109">
        <f>IF($A55="","",SUMIFS(L_VALOR,L_CAT,$A55,L_AM,H$6)+SUMPRODUCT((PARC_CAT=$A55)*(PARC_MESES=H$7)*PARC_MATRIZ))</f>
        <v/>
      </c>
      <c r="I55" s="109">
        <f>IF($A55="","",SUMIFS(L_VALOR,L_CAT,$A55,L_AM,I$6)+SUMPRODUCT((PARC_CAT=$A55)*(PARC_MESES=I$7)*PARC_MATRIZ))</f>
        <v/>
      </c>
      <c r="J55" s="109">
        <f>IF($A55="","",SUMIFS(L_VALOR,L_CAT,$A55,L_AM,J$6)+SUMPRODUCT((PARC_CAT=$A55)*(PARC_MESES=J$7)*PARC_MATRIZ))</f>
        <v/>
      </c>
      <c r="K55" s="109">
        <f>IF($A55="","",SUMIFS(L_VALOR,L_CAT,$A55,L_AM,K$6)+SUMPRODUCT((PARC_CAT=$A55)*(PARC_MESES=K$7)*PARC_MATRIZ))</f>
        <v/>
      </c>
      <c r="L55" s="109">
        <f>IF($A55="","",SUMIFS(L_VALOR,L_CAT,$A55,L_AM,L$6)+SUMPRODUCT((PARC_CAT=$A55)*(PARC_MESES=L$7)*PARC_MATRIZ))</f>
        <v/>
      </c>
      <c r="M55" s="109">
        <f>IF($A55="","",SUMIFS(L_VALOR,L_CAT,$A55,L_AM,M$6)+SUMPRODUCT((PARC_CAT=$A55)*(PARC_MESES=M$7)*PARC_MATRIZ))</f>
        <v/>
      </c>
      <c r="N55" s="109">
        <f>IF($A55="","",SUMIFS(L_VALOR,L_CAT,$A55,L_AM,N$6)+SUMPRODUCT((PARC_CAT=$A55)*(PARC_MESES=N$7)*PARC_MATRIZ))</f>
        <v/>
      </c>
      <c r="O55" s="85">
        <f>IF($A55="","",SUM(C55:N55))</f>
        <v/>
      </c>
      <c r="P55" s="84">
        <f>IF($A55="","",IF(SUM($C$19:$N$19)=0,0,O55/SUM($C$19:$N$19)))</f>
        <v/>
      </c>
      <c r="Q55" s="86">
        <f>IF(OR($A55="",$O$11=0),"",IF(OR($B55="Necessidade",$B55="Desejo"),O55/$O$11,""))</f>
        <v/>
      </c>
    </row>
    <row r="56">
      <c r="A56" s="75">
        <f>IF('Configurações'!A42="","",'Configurações'!A42)</f>
        <v/>
      </c>
      <c r="B56" s="75">
        <f>IF($A56="","",'Configurações'!B42)</f>
        <v/>
      </c>
      <c r="C56" s="109">
        <f>IF($A56="","",SUMIFS(L_VALOR,L_CAT,$A56,L_AM,C$6)+SUMPRODUCT((PARC_CAT=$A56)*(PARC_MESES=C$7)*PARC_MATRIZ))</f>
        <v/>
      </c>
      <c r="D56" s="109">
        <f>IF($A56="","",SUMIFS(L_VALOR,L_CAT,$A56,L_AM,D$6)+SUMPRODUCT((PARC_CAT=$A56)*(PARC_MESES=D$7)*PARC_MATRIZ))</f>
        <v/>
      </c>
      <c r="E56" s="109">
        <f>IF($A56="","",SUMIFS(L_VALOR,L_CAT,$A56,L_AM,E$6)+SUMPRODUCT((PARC_CAT=$A56)*(PARC_MESES=E$7)*PARC_MATRIZ))</f>
        <v/>
      </c>
      <c r="F56" s="109">
        <f>IF($A56="","",SUMIFS(L_VALOR,L_CAT,$A56,L_AM,F$6)+SUMPRODUCT((PARC_CAT=$A56)*(PARC_MESES=F$7)*PARC_MATRIZ))</f>
        <v/>
      </c>
      <c r="G56" s="109">
        <f>IF($A56="","",SUMIFS(L_VALOR,L_CAT,$A56,L_AM,G$6)+SUMPRODUCT((PARC_CAT=$A56)*(PARC_MESES=G$7)*PARC_MATRIZ))</f>
        <v/>
      </c>
      <c r="H56" s="109">
        <f>IF($A56="","",SUMIFS(L_VALOR,L_CAT,$A56,L_AM,H$6)+SUMPRODUCT((PARC_CAT=$A56)*(PARC_MESES=H$7)*PARC_MATRIZ))</f>
        <v/>
      </c>
      <c r="I56" s="109">
        <f>IF($A56="","",SUMIFS(L_VALOR,L_CAT,$A56,L_AM,I$6)+SUMPRODUCT((PARC_CAT=$A56)*(PARC_MESES=I$7)*PARC_MATRIZ))</f>
        <v/>
      </c>
      <c r="J56" s="109">
        <f>IF($A56="","",SUMIFS(L_VALOR,L_CAT,$A56,L_AM,J$6)+SUMPRODUCT((PARC_CAT=$A56)*(PARC_MESES=J$7)*PARC_MATRIZ))</f>
        <v/>
      </c>
      <c r="K56" s="109">
        <f>IF($A56="","",SUMIFS(L_VALOR,L_CAT,$A56,L_AM,K$6)+SUMPRODUCT((PARC_CAT=$A56)*(PARC_MESES=K$7)*PARC_MATRIZ))</f>
        <v/>
      </c>
      <c r="L56" s="109">
        <f>IF($A56="","",SUMIFS(L_VALOR,L_CAT,$A56,L_AM,L$6)+SUMPRODUCT((PARC_CAT=$A56)*(PARC_MESES=L$7)*PARC_MATRIZ))</f>
        <v/>
      </c>
      <c r="M56" s="109">
        <f>IF($A56="","",SUMIFS(L_VALOR,L_CAT,$A56,L_AM,M$6)+SUMPRODUCT((PARC_CAT=$A56)*(PARC_MESES=M$7)*PARC_MATRIZ))</f>
        <v/>
      </c>
      <c r="N56" s="109">
        <f>IF($A56="","",SUMIFS(L_VALOR,L_CAT,$A56,L_AM,N$6)+SUMPRODUCT((PARC_CAT=$A56)*(PARC_MESES=N$7)*PARC_MATRIZ))</f>
        <v/>
      </c>
      <c r="O56" s="85">
        <f>IF($A56="","",SUM(C56:N56))</f>
        <v/>
      </c>
      <c r="P56" s="84">
        <f>IF($A56="","",IF(SUM($C$19:$N$19)=0,0,O56/SUM($C$19:$N$19)))</f>
        <v/>
      </c>
      <c r="Q56" s="86">
        <f>IF(OR($A56="",$O$11=0),"",IF(OR($B56="Necessidade",$B56="Desejo"),O56/$O$11,""))</f>
        <v/>
      </c>
    </row>
    <row r="57">
      <c r="A57" s="75">
        <f>IF('Configurações'!A43="","",'Configurações'!A43)</f>
        <v/>
      </c>
      <c r="B57" s="75">
        <f>IF($A57="","",'Configurações'!B43)</f>
        <v/>
      </c>
      <c r="C57" s="109">
        <f>IF($A57="","",SUMIFS(L_VALOR,L_CAT,$A57,L_AM,C$6)+SUMPRODUCT((PARC_CAT=$A57)*(PARC_MESES=C$7)*PARC_MATRIZ))</f>
        <v/>
      </c>
      <c r="D57" s="109">
        <f>IF($A57="","",SUMIFS(L_VALOR,L_CAT,$A57,L_AM,D$6)+SUMPRODUCT((PARC_CAT=$A57)*(PARC_MESES=D$7)*PARC_MATRIZ))</f>
        <v/>
      </c>
      <c r="E57" s="109">
        <f>IF($A57="","",SUMIFS(L_VALOR,L_CAT,$A57,L_AM,E$6)+SUMPRODUCT((PARC_CAT=$A57)*(PARC_MESES=E$7)*PARC_MATRIZ))</f>
        <v/>
      </c>
      <c r="F57" s="109">
        <f>IF($A57="","",SUMIFS(L_VALOR,L_CAT,$A57,L_AM,F$6)+SUMPRODUCT((PARC_CAT=$A57)*(PARC_MESES=F$7)*PARC_MATRIZ))</f>
        <v/>
      </c>
      <c r="G57" s="109">
        <f>IF($A57="","",SUMIFS(L_VALOR,L_CAT,$A57,L_AM,G$6)+SUMPRODUCT((PARC_CAT=$A57)*(PARC_MESES=G$7)*PARC_MATRIZ))</f>
        <v/>
      </c>
      <c r="H57" s="109">
        <f>IF($A57="","",SUMIFS(L_VALOR,L_CAT,$A57,L_AM,H$6)+SUMPRODUCT((PARC_CAT=$A57)*(PARC_MESES=H$7)*PARC_MATRIZ))</f>
        <v/>
      </c>
      <c r="I57" s="109">
        <f>IF($A57="","",SUMIFS(L_VALOR,L_CAT,$A57,L_AM,I$6)+SUMPRODUCT((PARC_CAT=$A57)*(PARC_MESES=I$7)*PARC_MATRIZ))</f>
        <v/>
      </c>
      <c r="J57" s="109">
        <f>IF($A57="","",SUMIFS(L_VALOR,L_CAT,$A57,L_AM,J$6)+SUMPRODUCT((PARC_CAT=$A57)*(PARC_MESES=J$7)*PARC_MATRIZ))</f>
        <v/>
      </c>
      <c r="K57" s="109">
        <f>IF($A57="","",SUMIFS(L_VALOR,L_CAT,$A57,L_AM,K$6)+SUMPRODUCT((PARC_CAT=$A57)*(PARC_MESES=K$7)*PARC_MATRIZ))</f>
        <v/>
      </c>
      <c r="L57" s="109">
        <f>IF($A57="","",SUMIFS(L_VALOR,L_CAT,$A57,L_AM,L$6)+SUMPRODUCT((PARC_CAT=$A57)*(PARC_MESES=L$7)*PARC_MATRIZ))</f>
        <v/>
      </c>
      <c r="M57" s="109">
        <f>IF($A57="","",SUMIFS(L_VALOR,L_CAT,$A57,L_AM,M$6)+SUMPRODUCT((PARC_CAT=$A57)*(PARC_MESES=M$7)*PARC_MATRIZ))</f>
        <v/>
      </c>
      <c r="N57" s="109">
        <f>IF($A57="","",SUMIFS(L_VALOR,L_CAT,$A57,L_AM,N$6)+SUMPRODUCT((PARC_CAT=$A57)*(PARC_MESES=N$7)*PARC_MATRIZ))</f>
        <v/>
      </c>
      <c r="O57" s="85">
        <f>IF($A57="","",SUM(C57:N57))</f>
        <v/>
      </c>
      <c r="P57" s="84">
        <f>IF($A57="","",IF(SUM($C$19:$N$19)=0,0,O57/SUM($C$19:$N$19)))</f>
        <v/>
      </c>
      <c r="Q57" s="86">
        <f>IF(OR($A57="",$O$11=0),"",IF(OR($B57="Necessidade",$B57="Desejo"),O57/$O$11,""))</f>
        <v/>
      </c>
    </row>
    <row r="58">
      <c r="A58" s="75">
        <f>IF('Configurações'!A44="","",'Configurações'!A44)</f>
        <v/>
      </c>
      <c r="B58" s="75">
        <f>IF($A58="","",'Configurações'!B44)</f>
        <v/>
      </c>
      <c r="C58" s="109">
        <f>IF($A58="","",SUMIFS(L_VALOR,L_CAT,$A58,L_AM,C$6)+SUMPRODUCT((PARC_CAT=$A58)*(PARC_MESES=C$7)*PARC_MATRIZ))</f>
        <v/>
      </c>
      <c r="D58" s="109">
        <f>IF($A58="","",SUMIFS(L_VALOR,L_CAT,$A58,L_AM,D$6)+SUMPRODUCT((PARC_CAT=$A58)*(PARC_MESES=D$7)*PARC_MATRIZ))</f>
        <v/>
      </c>
      <c r="E58" s="109">
        <f>IF($A58="","",SUMIFS(L_VALOR,L_CAT,$A58,L_AM,E$6)+SUMPRODUCT((PARC_CAT=$A58)*(PARC_MESES=E$7)*PARC_MATRIZ))</f>
        <v/>
      </c>
      <c r="F58" s="109">
        <f>IF($A58="","",SUMIFS(L_VALOR,L_CAT,$A58,L_AM,F$6)+SUMPRODUCT((PARC_CAT=$A58)*(PARC_MESES=F$7)*PARC_MATRIZ))</f>
        <v/>
      </c>
      <c r="G58" s="109">
        <f>IF($A58="","",SUMIFS(L_VALOR,L_CAT,$A58,L_AM,G$6)+SUMPRODUCT((PARC_CAT=$A58)*(PARC_MESES=G$7)*PARC_MATRIZ))</f>
        <v/>
      </c>
      <c r="H58" s="109">
        <f>IF($A58="","",SUMIFS(L_VALOR,L_CAT,$A58,L_AM,H$6)+SUMPRODUCT((PARC_CAT=$A58)*(PARC_MESES=H$7)*PARC_MATRIZ))</f>
        <v/>
      </c>
      <c r="I58" s="109">
        <f>IF($A58="","",SUMIFS(L_VALOR,L_CAT,$A58,L_AM,I$6)+SUMPRODUCT((PARC_CAT=$A58)*(PARC_MESES=I$7)*PARC_MATRIZ))</f>
        <v/>
      </c>
      <c r="J58" s="109">
        <f>IF($A58="","",SUMIFS(L_VALOR,L_CAT,$A58,L_AM,J$6)+SUMPRODUCT((PARC_CAT=$A58)*(PARC_MESES=J$7)*PARC_MATRIZ))</f>
        <v/>
      </c>
      <c r="K58" s="109">
        <f>IF($A58="","",SUMIFS(L_VALOR,L_CAT,$A58,L_AM,K$6)+SUMPRODUCT((PARC_CAT=$A58)*(PARC_MESES=K$7)*PARC_MATRIZ))</f>
        <v/>
      </c>
      <c r="L58" s="109">
        <f>IF($A58="","",SUMIFS(L_VALOR,L_CAT,$A58,L_AM,L$6)+SUMPRODUCT((PARC_CAT=$A58)*(PARC_MESES=L$7)*PARC_MATRIZ))</f>
        <v/>
      </c>
      <c r="M58" s="109">
        <f>IF($A58="","",SUMIFS(L_VALOR,L_CAT,$A58,L_AM,M$6)+SUMPRODUCT((PARC_CAT=$A58)*(PARC_MESES=M$7)*PARC_MATRIZ))</f>
        <v/>
      </c>
      <c r="N58" s="109">
        <f>IF($A58="","",SUMIFS(L_VALOR,L_CAT,$A58,L_AM,N$6)+SUMPRODUCT((PARC_CAT=$A58)*(PARC_MESES=N$7)*PARC_MATRIZ))</f>
        <v/>
      </c>
      <c r="O58" s="85">
        <f>IF($A58="","",SUM(C58:N58))</f>
        <v/>
      </c>
      <c r="P58" s="84">
        <f>IF($A58="","",IF(SUM($C$19:$N$19)=0,0,O58/SUM($C$19:$N$19)))</f>
        <v/>
      </c>
      <c r="Q58" s="86">
        <f>IF(OR($A58="",$O$11=0),"",IF(OR($B58="Necessidade",$B58="Desejo"),O58/$O$11,""))</f>
        <v/>
      </c>
    </row>
    <row r="59">
      <c r="A59" s="75">
        <f>IF('Configurações'!A45="","",'Configurações'!A45)</f>
        <v/>
      </c>
      <c r="B59" s="75">
        <f>IF($A59="","",'Configurações'!B45)</f>
        <v/>
      </c>
      <c r="C59" s="109">
        <f>IF($A59="","",SUMIFS(L_VALOR,L_CAT,$A59,L_AM,C$6)+SUMPRODUCT((PARC_CAT=$A59)*(PARC_MESES=C$7)*PARC_MATRIZ))</f>
        <v/>
      </c>
      <c r="D59" s="109">
        <f>IF($A59="","",SUMIFS(L_VALOR,L_CAT,$A59,L_AM,D$6)+SUMPRODUCT((PARC_CAT=$A59)*(PARC_MESES=D$7)*PARC_MATRIZ))</f>
        <v/>
      </c>
      <c r="E59" s="109">
        <f>IF($A59="","",SUMIFS(L_VALOR,L_CAT,$A59,L_AM,E$6)+SUMPRODUCT((PARC_CAT=$A59)*(PARC_MESES=E$7)*PARC_MATRIZ))</f>
        <v/>
      </c>
      <c r="F59" s="109">
        <f>IF($A59="","",SUMIFS(L_VALOR,L_CAT,$A59,L_AM,F$6)+SUMPRODUCT((PARC_CAT=$A59)*(PARC_MESES=F$7)*PARC_MATRIZ))</f>
        <v/>
      </c>
      <c r="G59" s="109">
        <f>IF($A59="","",SUMIFS(L_VALOR,L_CAT,$A59,L_AM,G$6)+SUMPRODUCT((PARC_CAT=$A59)*(PARC_MESES=G$7)*PARC_MATRIZ))</f>
        <v/>
      </c>
      <c r="H59" s="109">
        <f>IF($A59="","",SUMIFS(L_VALOR,L_CAT,$A59,L_AM,H$6)+SUMPRODUCT((PARC_CAT=$A59)*(PARC_MESES=H$7)*PARC_MATRIZ))</f>
        <v/>
      </c>
      <c r="I59" s="109">
        <f>IF($A59="","",SUMIFS(L_VALOR,L_CAT,$A59,L_AM,I$6)+SUMPRODUCT((PARC_CAT=$A59)*(PARC_MESES=I$7)*PARC_MATRIZ))</f>
        <v/>
      </c>
      <c r="J59" s="109">
        <f>IF($A59="","",SUMIFS(L_VALOR,L_CAT,$A59,L_AM,J$6)+SUMPRODUCT((PARC_CAT=$A59)*(PARC_MESES=J$7)*PARC_MATRIZ))</f>
        <v/>
      </c>
      <c r="K59" s="109">
        <f>IF($A59="","",SUMIFS(L_VALOR,L_CAT,$A59,L_AM,K$6)+SUMPRODUCT((PARC_CAT=$A59)*(PARC_MESES=K$7)*PARC_MATRIZ))</f>
        <v/>
      </c>
      <c r="L59" s="109">
        <f>IF($A59="","",SUMIFS(L_VALOR,L_CAT,$A59,L_AM,L$6)+SUMPRODUCT((PARC_CAT=$A59)*(PARC_MESES=L$7)*PARC_MATRIZ))</f>
        <v/>
      </c>
      <c r="M59" s="109">
        <f>IF($A59="","",SUMIFS(L_VALOR,L_CAT,$A59,L_AM,M$6)+SUMPRODUCT((PARC_CAT=$A59)*(PARC_MESES=M$7)*PARC_MATRIZ))</f>
        <v/>
      </c>
      <c r="N59" s="109">
        <f>IF($A59="","",SUMIFS(L_VALOR,L_CAT,$A59,L_AM,N$6)+SUMPRODUCT((PARC_CAT=$A59)*(PARC_MESES=N$7)*PARC_MATRIZ))</f>
        <v/>
      </c>
      <c r="O59" s="85">
        <f>IF($A59="","",SUM(C59:N59))</f>
        <v/>
      </c>
      <c r="P59" s="84">
        <f>IF($A59="","",IF(SUM($C$19:$N$19)=0,0,O59/SUM($C$19:$N$19)))</f>
        <v/>
      </c>
      <c r="Q59" s="86">
        <f>IF(OR($A59="",$O$11=0),"",IF(OR($B59="Necessidade",$B59="Desejo"),O59/$O$11,""))</f>
        <v/>
      </c>
    </row>
    <row r="60">
      <c r="A60" s="75">
        <f>IF('Configurações'!A46="","",'Configurações'!A46)</f>
        <v/>
      </c>
      <c r="B60" s="75">
        <f>IF($A60="","",'Configurações'!B46)</f>
        <v/>
      </c>
      <c r="C60" s="109">
        <f>IF($A60="","",SUMIFS(L_VALOR,L_CAT,$A60,L_AM,C$6)+SUMPRODUCT((PARC_CAT=$A60)*(PARC_MESES=C$7)*PARC_MATRIZ))</f>
        <v/>
      </c>
      <c r="D60" s="109">
        <f>IF($A60="","",SUMIFS(L_VALOR,L_CAT,$A60,L_AM,D$6)+SUMPRODUCT((PARC_CAT=$A60)*(PARC_MESES=D$7)*PARC_MATRIZ))</f>
        <v/>
      </c>
      <c r="E60" s="109">
        <f>IF($A60="","",SUMIFS(L_VALOR,L_CAT,$A60,L_AM,E$6)+SUMPRODUCT((PARC_CAT=$A60)*(PARC_MESES=E$7)*PARC_MATRIZ))</f>
        <v/>
      </c>
      <c r="F60" s="109">
        <f>IF($A60="","",SUMIFS(L_VALOR,L_CAT,$A60,L_AM,F$6)+SUMPRODUCT((PARC_CAT=$A60)*(PARC_MESES=F$7)*PARC_MATRIZ))</f>
        <v/>
      </c>
      <c r="G60" s="109">
        <f>IF($A60="","",SUMIFS(L_VALOR,L_CAT,$A60,L_AM,G$6)+SUMPRODUCT((PARC_CAT=$A60)*(PARC_MESES=G$7)*PARC_MATRIZ))</f>
        <v/>
      </c>
      <c r="H60" s="109">
        <f>IF($A60="","",SUMIFS(L_VALOR,L_CAT,$A60,L_AM,H$6)+SUMPRODUCT((PARC_CAT=$A60)*(PARC_MESES=H$7)*PARC_MATRIZ))</f>
        <v/>
      </c>
      <c r="I60" s="109">
        <f>IF($A60="","",SUMIFS(L_VALOR,L_CAT,$A60,L_AM,I$6)+SUMPRODUCT((PARC_CAT=$A60)*(PARC_MESES=I$7)*PARC_MATRIZ))</f>
        <v/>
      </c>
      <c r="J60" s="109">
        <f>IF($A60="","",SUMIFS(L_VALOR,L_CAT,$A60,L_AM,J$6)+SUMPRODUCT((PARC_CAT=$A60)*(PARC_MESES=J$7)*PARC_MATRIZ))</f>
        <v/>
      </c>
      <c r="K60" s="109">
        <f>IF($A60="","",SUMIFS(L_VALOR,L_CAT,$A60,L_AM,K$6)+SUMPRODUCT((PARC_CAT=$A60)*(PARC_MESES=K$7)*PARC_MATRIZ))</f>
        <v/>
      </c>
      <c r="L60" s="109">
        <f>IF($A60="","",SUMIFS(L_VALOR,L_CAT,$A60,L_AM,L$6)+SUMPRODUCT((PARC_CAT=$A60)*(PARC_MESES=L$7)*PARC_MATRIZ))</f>
        <v/>
      </c>
      <c r="M60" s="109">
        <f>IF($A60="","",SUMIFS(L_VALOR,L_CAT,$A60,L_AM,M$6)+SUMPRODUCT((PARC_CAT=$A60)*(PARC_MESES=M$7)*PARC_MATRIZ))</f>
        <v/>
      </c>
      <c r="N60" s="109">
        <f>IF($A60="","",SUMIFS(L_VALOR,L_CAT,$A60,L_AM,N$6)+SUMPRODUCT((PARC_CAT=$A60)*(PARC_MESES=N$7)*PARC_MATRIZ))</f>
        <v/>
      </c>
      <c r="O60" s="85">
        <f>IF($A60="","",SUM(C60:N60))</f>
        <v/>
      </c>
      <c r="P60" s="84">
        <f>IF($A60="","",IF(SUM($C$19:$N$19)=0,0,O60/SUM($C$19:$N$19)))</f>
        <v/>
      </c>
      <c r="Q60" s="86">
        <f>IF(OR($A60="",$O$11=0),"",IF(OR($B60="Necessidade",$B60="Desejo"),O60/$O$11,""))</f>
        <v/>
      </c>
    </row>
    <row r="61">
      <c r="A61" s="75">
        <f>IF('Configurações'!A47="","",'Configurações'!A47)</f>
        <v/>
      </c>
      <c r="B61" s="75">
        <f>IF($A61="","",'Configurações'!B47)</f>
        <v/>
      </c>
      <c r="C61" s="109">
        <f>IF($A61="","",SUMIFS(L_VALOR,L_CAT,$A61,L_AM,C$6)+SUMPRODUCT((PARC_CAT=$A61)*(PARC_MESES=C$7)*PARC_MATRIZ))</f>
        <v/>
      </c>
      <c r="D61" s="109">
        <f>IF($A61="","",SUMIFS(L_VALOR,L_CAT,$A61,L_AM,D$6)+SUMPRODUCT((PARC_CAT=$A61)*(PARC_MESES=D$7)*PARC_MATRIZ))</f>
        <v/>
      </c>
      <c r="E61" s="109">
        <f>IF($A61="","",SUMIFS(L_VALOR,L_CAT,$A61,L_AM,E$6)+SUMPRODUCT((PARC_CAT=$A61)*(PARC_MESES=E$7)*PARC_MATRIZ))</f>
        <v/>
      </c>
      <c r="F61" s="109">
        <f>IF($A61="","",SUMIFS(L_VALOR,L_CAT,$A61,L_AM,F$6)+SUMPRODUCT((PARC_CAT=$A61)*(PARC_MESES=F$7)*PARC_MATRIZ))</f>
        <v/>
      </c>
      <c r="G61" s="109">
        <f>IF($A61="","",SUMIFS(L_VALOR,L_CAT,$A61,L_AM,G$6)+SUMPRODUCT((PARC_CAT=$A61)*(PARC_MESES=G$7)*PARC_MATRIZ))</f>
        <v/>
      </c>
      <c r="H61" s="109">
        <f>IF($A61="","",SUMIFS(L_VALOR,L_CAT,$A61,L_AM,H$6)+SUMPRODUCT((PARC_CAT=$A61)*(PARC_MESES=H$7)*PARC_MATRIZ))</f>
        <v/>
      </c>
      <c r="I61" s="109">
        <f>IF($A61="","",SUMIFS(L_VALOR,L_CAT,$A61,L_AM,I$6)+SUMPRODUCT((PARC_CAT=$A61)*(PARC_MESES=I$7)*PARC_MATRIZ))</f>
        <v/>
      </c>
      <c r="J61" s="109">
        <f>IF($A61="","",SUMIFS(L_VALOR,L_CAT,$A61,L_AM,J$6)+SUMPRODUCT((PARC_CAT=$A61)*(PARC_MESES=J$7)*PARC_MATRIZ))</f>
        <v/>
      </c>
      <c r="K61" s="109">
        <f>IF($A61="","",SUMIFS(L_VALOR,L_CAT,$A61,L_AM,K$6)+SUMPRODUCT((PARC_CAT=$A61)*(PARC_MESES=K$7)*PARC_MATRIZ))</f>
        <v/>
      </c>
      <c r="L61" s="109">
        <f>IF($A61="","",SUMIFS(L_VALOR,L_CAT,$A61,L_AM,L$6)+SUMPRODUCT((PARC_CAT=$A61)*(PARC_MESES=L$7)*PARC_MATRIZ))</f>
        <v/>
      </c>
      <c r="M61" s="109">
        <f>IF($A61="","",SUMIFS(L_VALOR,L_CAT,$A61,L_AM,M$6)+SUMPRODUCT((PARC_CAT=$A61)*(PARC_MESES=M$7)*PARC_MATRIZ))</f>
        <v/>
      </c>
      <c r="N61" s="109">
        <f>IF($A61="","",SUMIFS(L_VALOR,L_CAT,$A61,L_AM,N$6)+SUMPRODUCT((PARC_CAT=$A61)*(PARC_MESES=N$7)*PARC_MATRIZ))</f>
        <v/>
      </c>
      <c r="O61" s="85">
        <f>IF($A61="","",SUM(C61:N61))</f>
        <v/>
      </c>
      <c r="P61" s="84">
        <f>IF($A61="","",IF(SUM($C$19:$N$19)=0,0,O61/SUM($C$19:$N$19)))</f>
        <v/>
      </c>
      <c r="Q61" s="86">
        <f>IF(OR($A61="",$O$11=0),"",IF(OR($B61="Necessidade",$B61="Desejo"),O61/$O$11,""))</f>
        <v/>
      </c>
    </row>
    <row r="62">
      <c r="A62" s="75">
        <f>IF('Configurações'!A48="","",'Configurações'!A48)</f>
        <v/>
      </c>
      <c r="B62" s="75">
        <f>IF($A62="","",'Configurações'!B48)</f>
        <v/>
      </c>
      <c r="C62" s="109">
        <f>IF($A62="","",SUMIFS(L_VALOR,L_CAT,$A62,L_AM,C$6)+SUMPRODUCT((PARC_CAT=$A62)*(PARC_MESES=C$7)*PARC_MATRIZ))</f>
        <v/>
      </c>
      <c r="D62" s="109">
        <f>IF($A62="","",SUMIFS(L_VALOR,L_CAT,$A62,L_AM,D$6)+SUMPRODUCT((PARC_CAT=$A62)*(PARC_MESES=D$7)*PARC_MATRIZ))</f>
        <v/>
      </c>
      <c r="E62" s="109">
        <f>IF($A62="","",SUMIFS(L_VALOR,L_CAT,$A62,L_AM,E$6)+SUMPRODUCT((PARC_CAT=$A62)*(PARC_MESES=E$7)*PARC_MATRIZ))</f>
        <v/>
      </c>
      <c r="F62" s="109">
        <f>IF($A62="","",SUMIFS(L_VALOR,L_CAT,$A62,L_AM,F$6)+SUMPRODUCT((PARC_CAT=$A62)*(PARC_MESES=F$7)*PARC_MATRIZ))</f>
        <v/>
      </c>
      <c r="G62" s="109">
        <f>IF($A62="","",SUMIFS(L_VALOR,L_CAT,$A62,L_AM,G$6)+SUMPRODUCT((PARC_CAT=$A62)*(PARC_MESES=G$7)*PARC_MATRIZ))</f>
        <v/>
      </c>
      <c r="H62" s="109">
        <f>IF($A62="","",SUMIFS(L_VALOR,L_CAT,$A62,L_AM,H$6)+SUMPRODUCT((PARC_CAT=$A62)*(PARC_MESES=H$7)*PARC_MATRIZ))</f>
        <v/>
      </c>
      <c r="I62" s="109">
        <f>IF($A62="","",SUMIFS(L_VALOR,L_CAT,$A62,L_AM,I$6)+SUMPRODUCT((PARC_CAT=$A62)*(PARC_MESES=I$7)*PARC_MATRIZ))</f>
        <v/>
      </c>
      <c r="J62" s="109">
        <f>IF($A62="","",SUMIFS(L_VALOR,L_CAT,$A62,L_AM,J$6)+SUMPRODUCT((PARC_CAT=$A62)*(PARC_MESES=J$7)*PARC_MATRIZ))</f>
        <v/>
      </c>
      <c r="K62" s="109">
        <f>IF($A62="","",SUMIFS(L_VALOR,L_CAT,$A62,L_AM,K$6)+SUMPRODUCT((PARC_CAT=$A62)*(PARC_MESES=K$7)*PARC_MATRIZ))</f>
        <v/>
      </c>
      <c r="L62" s="109">
        <f>IF($A62="","",SUMIFS(L_VALOR,L_CAT,$A62,L_AM,L$6)+SUMPRODUCT((PARC_CAT=$A62)*(PARC_MESES=L$7)*PARC_MATRIZ))</f>
        <v/>
      </c>
      <c r="M62" s="109">
        <f>IF($A62="","",SUMIFS(L_VALOR,L_CAT,$A62,L_AM,M$6)+SUMPRODUCT((PARC_CAT=$A62)*(PARC_MESES=M$7)*PARC_MATRIZ))</f>
        <v/>
      </c>
      <c r="N62" s="109">
        <f>IF($A62="","",SUMIFS(L_VALOR,L_CAT,$A62,L_AM,N$6)+SUMPRODUCT((PARC_CAT=$A62)*(PARC_MESES=N$7)*PARC_MATRIZ))</f>
        <v/>
      </c>
      <c r="O62" s="85">
        <f>IF($A62="","",SUM(C62:N62))</f>
        <v/>
      </c>
      <c r="P62" s="84">
        <f>IF($A62="","",IF(SUM($C$19:$N$19)=0,0,O62/SUM($C$19:$N$19)))</f>
        <v/>
      </c>
      <c r="Q62" s="86">
        <f>IF(OR($A62="",$O$11=0),"",IF(OR($B62="Necessidade",$B62="Desejo"),O62/$O$11,""))</f>
        <v/>
      </c>
    </row>
    <row r="63">
      <c r="A63" s="75">
        <f>IF('Configurações'!A49="","",'Configurações'!A49)</f>
        <v/>
      </c>
      <c r="B63" s="75">
        <f>IF($A63="","",'Configurações'!B49)</f>
        <v/>
      </c>
      <c r="C63" s="109">
        <f>IF($A63="","",SUMIFS(L_VALOR,L_CAT,$A63,L_AM,C$6)+SUMPRODUCT((PARC_CAT=$A63)*(PARC_MESES=C$7)*PARC_MATRIZ))</f>
        <v/>
      </c>
      <c r="D63" s="109">
        <f>IF($A63="","",SUMIFS(L_VALOR,L_CAT,$A63,L_AM,D$6)+SUMPRODUCT((PARC_CAT=$A63)*(PARC_MESES=D$7)*PARC_MATRIZ))</f>
        <v/>
      </c>
      <c r="E63" s="109">
        <f>IF($A63="","",SUMIFS(L_VALOR,L_CAT,$A63,L_AM,E$6)+SUMPRODUCT((PARC_CAT=$A63)*(PARC_MESES=E$7)*PARC_MATRIZ))</f>
        <v/>
      </c>
      <c r="F63" s="109">
        <f>IF($A63="","",SUMIFS(L_VALOR,L_CAT,$A63,L_AM,F$6)+SUMPRODUCT((PARC_CAT=$A63)*(PARC_MESES=F$7)*PARC_MATRIZ))</f>
        <v/>
      </c>
      <c r="G63" s="109">
        <f>IF($A63="","",SUMIFS(L_VALOR,L_CAT,$A63,L_AM,G$6)+SUMPRODUCT((PARC_CAT=$A63)*(PARC_MESES=G$7)*PARC_MATRIZ))</f>
        <v/>
      </c>
      <c r="H63" s="109">
        <f>IF($A63="","",SUMIFS(L_VALOR,L_CAT,$A63,L_AM,H$6)+SUMPRODUCT((PARC_CAT=$A63)*(PARC_MESES=H$7)*PARC_MATRIZ))</f>
        <v/>
      </c>
      <c r="I63" s="109">
        <f>IF($A63="","",SUMIFS(L_VALOR,L_CAT,$A63,L_AM,I$6)+SUMPRODUCT((PARC_CAT=$A63)*(PARC_MESES=I$7)*PARC_MATRIZ))</f>
        <v/>
      </c>
      <c r="J63" s="109">
        <f>IF($A63="","",SUMIFS(L_VALOR,L_CAT,$A63,L_AM,J$6)+SUMPRODUCT((PARC_CAT=$A63)*(PARC_MESES=J$7)*PARC_MATRIZ))</f>
        <v/>
      </c>
      <c r="K63" s="109">
        <f>IF($A63="","",SUMIFS(L_VALOR,L_CAT,$A63,L_AM,K$6)+SUMPRODUCT((PARC_CAT=$A63)*(PARC_MESES=K$7)*PARC_MATRIZ))</f>
        <v/>
      </c>
      <c r="L63" s="109">
        <f>IF($A63="","",SUMIFS(L_VALOR,L_CAT,$A63,L_AM,L$6)+SUMPRODUCT((PARC_CAT=$A63)*(PARC_MESES=L$7)*PARC_MATRIZ))</f>
        <v/>
      </c>
      <c r="M63" s="109">
        <f>IF($A63="","",SUMIFS(L_VALOR,L_CAT,$A63,L_AM,M$6)+SUMPRODUCT((PARC_CAT=$A63)*(PARC_MESES=M$7)*PARC_MATRIZ))</f>
        <v/>
      </c>
      <c r="N63" s="109">
        <f>IF($A63="","",SUMIFS(L_VALOR,L_CAT,$A63,L_AM,N$6)+SUMPRODUCT((PARC_CAT=$A63)*(PARC_MESES=N$7)*PARC_MATRIZ))</f>
        <v/>
      </c>
      <c r="O63" s="85">
        <f>IF($A63="","",SUM(C63:N63))</f>
        <v/>
      </c>
      <c r="P63" s="84">
        <f>IF($A63="","",IF(SUM($C$19:$N$19)=0,0,O63/SUM($C$19:$N$19)))</f>
        <v/>
      </c>
      <c r="Q63" s="86">
        <f>IF(OR($A63="",$O$11=0),"",IF(OR($B63="Necessidade",$B63="Desejo"),O63/$O$11,""))</f>
        <v/>
      </c>
    </row>
    <row r="64">
      <c r="A64" s="75">
        <f>IF('Configurações'!A50="","",'Configurações'!A50)</f>
        <v/>
      </c>
      <c r="B64" s="75">
        <f>IF($A64="","",'Configurações'!B50)</f>
        <v/>
      </c>
      <c r="C64" s="109">
        <f>IF($A64="","",SUMIFS(L_VALOR,L_CAT,$A64,L_AM,C$6)+SUMPRODUCT((PARC_CAT=$A64)*(PARC_MESES=C$7)*PARC_MATRIZ))</f>
        <v/>
      </c>
      <c r="D64" s="109">
        <f>IF($A64="","",SUMIFS(L_VALOR,L_CAT,$A64,L_AM,D$6)+SUMPRODUCT((PARC_CAT=$A64)*(PARC_MESES=D$7)*PARC_MATRIZ))</f>
        <v/>
      </c>
      <c r="E64" s="109">
        <f>IF($A64="","",SUMIFS(L_VALOR,L_CAT,$A64,L_AM,E$6)+SUMPRODUCT((PARC_CAT=$A64)*(PARC_MESES=E$7)*PARC_MATRIZ))</f>
        <v/>
      </c>
      <c r="F64" s="109">
        <f>IF($A64="","",SUMIFS(L_VALOR,L_CAT,$A64,L_AM,F$6)+SUMPRODUCT((PARC_CAT=$A64)*(PARC_MESES=F$7)*PARC_MATRIZ))</f>
        <v/>
      </c>
      <c r="G64" s="109">
        <f>IF($A64="","",SUMIFS(L_VALOR,L_CAT,$A64,L_AM,G$6)+SUMPRODUCT((PARC_CAT=$A64)*(PARC_MESES=G$7)*PARC_MATRIZ))</f>
        <v/>
      </c>
      <c r="H64" s="109">
        <f>IF($A64="","",SUMIFS(L_VALOR,L_CAT,$A64,L_AM,H$6)+SUMPRODUCT((PARC_CAT=$A64)*(PARC_MESES=H$7)*PARC_MATRIZ))</f>
        <v/>
      </c>
      <c r="I64" s="109">
        <f>IF($A64="","",SUMIFS(L_VALOR,L_CAT,$A64,L_AM,I$6)+SUMPRODUCT((PARC_CAT=$A64)*(PARC_MESES=I$7)*PARC_MATRIZ))</f>
        <v/>
      </c>
      <c r="J64" s="109">
        <f>IF($A64="","",SUMIFS(L_VALOR,L_CAT,$A64,L_AM,J$6)+SUMPRODUCT((PARC_CAT=$A64)*(PARC_MESES=J$7)*PARC_MATRIZ))</f>
        <v/>
      </c>
      <c r="K64" s="109">
        <f>IF($A64="","",SUMIFS(L_VALOR,L_CAT,$A64,L_AM,K$6)+SUMPRODUCT((PARC_CAT=$A64)*(PARC_MESES=K$7)*PARC_MATRIZ))</f>
        <v/>
      </c>
      <c r="L64" s="109">
        <f>IF($A64="","",SUMIFS(L_VALOR,L_CAT,$A64,L_AM,L$6)+SUMPRODUCT((PARC_CAT=$A64)*(PARC_MESES=L$7)*PARC_MATRIZ))</f>
        <v/>
      </c>
      <c r="M64" s="109">
        <f>IF($A64="","",SUMIFS(L_VALOR,L_CAT,$A64,L_AM,M$6)+SUMPRODUCT((PARC_CAT=$A64)*(PARC_MESES=M$7)*PARC_MATRIZ))</f>
        <v/>
      </c>
      <c r="N64" s="109">
        <f>IF($A64="","",SUMIFS(L_VALOR,L_CAT,$A64,L_AM,N$6)+SUMPRODUCT((PARC_CAT=$A64)*(PARC_MESES=N$7)*PARC_MATRIZ))</f>
        <v/>
      </c>
      <c r="O64" s="85">
        <f>IF($A64="","",SUM(C64:N64))</f>
        <v/>
      </c>
      <c r="P64" s="84">
        <f>IF($A64="","",IF(SUM($C$19:$N$19)=0,0,O64/SUM($C$19:$N$19)))</f>
        <v/>
      </c>
      <c r="Q64" s="86">
        <f>IF(OR($A64="",$O$11=0),"",IF(OR($B64="Necessidade",$B64="Desejo"),O64/$O$11,""))</f>
        <v/>
      </c>
    </row>
    <row r="65">
      <c r="A65" s="75">
        <f>IF('Configurações'!A51="","",'Configurações'!A51)</f>
        <v/>
      </c>
      <c r="B65" s="75">
        <f>IF($A65="","",'Configurações'!B51)</f>
        <v/>
      </c>
      <c r="C65" s="109">
        <f>IF($A65="","",SUMIFS(L_VALOR,L_CAT,$A65,L_AM,C$6)+SUMPRODUCT((PARC_CAT=$A65)*(PARC_MESES=C$7)*PARC_MATRIZ))</f>
        <v/>
      </c>
      <c r="D65" s="109">
        <f>IF($A65="","",SUMIFS(L_VALOR,L_CAT,$A65,L_AM,D$6)+SUMPRODUCT((PARC_CAT=$A65)*(PARC_MESES=D$7)*PARC_MATRIZ))</f>
        <v/>
      </c>
      <c r="E65" s="109">
        <f>IF($A65="","",SUMIFS(L_VALOR,L_CAT,$A65,L_AM,E$6)+SUMPRODUCT((PARC_CAT=$A65)*(PARC_MESES=E$7)*PARC_MATRIZ))</f>
        <v/>
      </c>
      <c r="F65" s="109">
        <f>IF($A65="","",SUMIFS(L_VALOR,L_CAT,$A65,L_AM,F$6)+SUMPRODUCT((PARC_CAT=$A65)*(PARC_MESES=F$7)*PARC_MATRIZ))</f>
        <v/>
      </c>
      <c r="G65" s="109">
        <f>IF($A65="","",SUMIFS(L_VALOR,L_CAT,$A65,L_AM,G$6)+SUMPRODUCT((PARC_CAT=$A65)*(PARC_MESES=G$7)*PARC_MATRIZ))</f>
        <v/>
      </c>
      <c r="H65" s="109">
        <f>IF($A65="","",SUMIFS(L_VALOR,L_CAT,$A65,L_AM,H$6)+SUMPRODUCT((PARC_CAT=$A65)*(PARC_MESES=H$7)*PARC_MATRIZ))</f>
        <v/>
      </c>
      <c r="I65" s="109">
        <f>IF($A65="","",SUMIFS(L_VALOR,L_CAT,$A65,L_AM,I$6)+SUMPRODUCT((PARC_CAT=$A65)*(PARC_MESES=I$7)*PARC_MATRIZ))</f>
        <v/>
      </c>
      <c r="J65" s="109">
        <f>IF($A65="","",SUMIFS(L_VALOR,L_CAT,$A65,L_AM,J$6)+SUMPRODUCT((PARC_CAT=$A65)*(PARC_MESES=J$7)*PARC_MATRIZ))</f>
        <v/>
      </c>
      <c r="K65" s="109">
        <f>IF($A65="","",SUMIFS(L_VALOR,L_CAT,$A65,L_AM,K$6)+SUMPRODUCT((PARC_CAT=$A65)*(PARC_MESES=K$7)*PARC_MATRIZ))</f>
        <v/>
      </c>
      <c r="L65" s="109">
        <f>IF($A65="","",SUMIFS(L_VALOR,L_CAT,$A65,L_AM,L$6)+SUMPRODUCT((PARC_CAT=$A65)*(PARC_MESES=L$7)*PARC_MATRIZ))</f>
        <v/>
      </c>
      <c r="M65" s="109">
        <f>IF($A65="","",SUMIFS(L_VALOR,L_CAT,$A65,L_AM,M$6)+SUMPRODUCT((PARC_CAT=$A65)*(PARC_MESES=M$7)*PARC_MATRIZ))</f>
        <v/>
      </c>
      <c r="N65" s="109">
        <f>IF($A65="","",SUMIFS(L_VALOR,L_CAT,$A65,L_AM,N$6)+SUMPRODUCT((PARC_CAT=$A65)*(PARC_MESES=N$7)*PARC_MATRIZ))</f>
        <v/>
      </c>
      <c r="O65" s="85">
        <f>IF($A65="","",SUM(C65:N65))</f>
        <v/>
      </c>
      <c r="P65" s="84">
        <f>IF($A65="","",IF(SUM($C$19:$N$19)=0,0,O65/SUM($C$19:$N$19)))</f>
        <v/>
      </c>
      <c r="Q65" s="86">
        <f>IF(OR($A65="",$O$11=0),"",IF(OR($B65="Necessidade",$B65="Desejo"),O65/$O$11,""))</f>
        <v/>
      </c>
    </row>
    <row r="66">
      <c r="A66" s="75">
        <f>IF('Configurações'!A52="","",'Configurações'!A52)</f>
        <v/>
      </c>
      <c r="B66" s="75">
        <f>IF($A66="","",'Configurações'!B52)</f>
        <v/>
      </c>
      <c r="C66" s="109">
        <f>IF($A66="","",SUMIFS(L_VALOR,L_CAT,$A66,L_AM,C$6)+SUMPRODUCT((PARC_CAT=$A66)*(PARC_MESES=C$7)*PARC_MATRIZ))</f>
        <v/>
      </c>
      <c r="D66" s="109">
        <f>IF($A66="","",SUMIFS(L_VALOR,L_CAT,$A66,L_AM,D$6)+SUMPRODUCT((PARC_CAT=$A66)*(PARC_MESES=D$7)*PARC_MATRIZ))</f>
        <v/>
      </c>
      <c r="E66" s="109">
        <f>IF($A66="","",SUMIFS(L_VALOR,L_CAT,$A66,L_AM,E$6)+SUMPRODUCT((PARC_CAT=$A66)*(PARC_MESES=E$7)*PARC_MATRIZ))</f>
        <v/>
      </c>
      <c r="F66" s="109">
        <f>IF($A66="","",SUMIFS(L_VALOR,L_CAT,$A66,L_AM,F$6)+SUMPRODUCT((PARC_CAT=$A66)*(PARC_MESES=F$7)*PARC_MATRIZ))</f>
        <v/>
      </c>
      <c r="G66" s="109">
        <f>IF($A66="","",SUMIFS(L_VALOR,L_CAT,$A66,L_AM,G$6)+SUMPRODUCT((PARC_CAT=$A66)*(PARC_MESES=G$7)*PARC_MATRIZ))</f>
        <v/>
      </c>
      <c r="H66" s="109">
        <f>IF($A66="","",SUMIFS(L_VALOR,L_CAT,$A66,L_AM,H$6)+SUMPRODUCT((PARC_CAT=$A66)*(PARC_MESES=H$7)*PARC_MATRIZ))</f>
        <v/>
      </c>
      <c r="I66" s="109">
        <f>IF($A66="","",SUMIFS(L_VALOR,L_CAT,$A66,L_AM,I$6)+SUMPRODUCT((PARC_CAT=$A66)*(PARC_MESES=I$7)*PARC_MATRIZ))</f>
        <v/>
      </c>
      <c r="J66" s="109">
        <f>IF($A66="","",SUMIFS(L_VALOR,L_CAT,$A66,L_AM,J$6)+SUMPRODUCT((PARC_CAT=$A66)*(PARC_MESES=J$7)*PARC_MATRIZ))</f>
        <v/>
      </c>
      <c r="K66" s="109">
        <f>IF($A66="","",SUMIFS(L_VALOR,L_CAT,$A66,L_AM,K$6)+SUMPRODUCT((PARC_CAT=$A66)*(PARC_MESES=K$7)*PARC_MATRIZ))</f>
        <v/>
      </c>
      <c r="L66" s="109">
        <f>IF($A66="","",SUMIFS(L_VALOR,L_CAT,$A66,L_AM,L$6)+SUMPRODUCT((PARC_CAT=$A66)*(PARC_MESES=L$7)*PARC_MATRIZ))</f>
        <v/>
      </c>
      <c r="M66" s="109">
        <f>IF($A66="","",SUMIFS(L_VALOR,L_CAT,$A66,L_AM,M$6)+SUMPRODUCT((PARC_CAT=$A66)*(PARC_MESES=M$7)*PARC_MATRIZ))</f>
        <v/>
      </c>
      <c r="N66" s="109">
        <f>IF($A66="","",SUMIFS(L_VALOR,L_CAT,$A66,L_AM,N$6)+SUMPRODUCT((PARC_CAT=$A66)*(PARC_MESES=N$7)*PARC_MATRIZ))</f>
        <v/>
      </c>
      <c r="O66" s="85">
        <f>IF($A66="","",SUM(C66:N66))</f>
        <v/>
      </c>
      <c r="P66" s="84">
        <f>IF($A66="","",IF(SUM($C$19:$N$19)=0,0,O66/SUM($C$19:$N$19)))</f>
        <v/>
      </c>
      <c r="Q66" s="86">
        <f>IF(OR($A66="",$O$11=0),"",IF(OR($B66="Necessidade",$B66="Desejo"),O66/$O$11,""))</f>
        <v/>
      </c>
    </row>
    <row r="67">
      <c r="A67" s="75">
        <f>IF('Configurações'!A53="","",'Configurações'!A53)</f>
        <v/>
      </c>
      <c r="B67" s="75">
        <f>IF($A67="","",'Configurações'!B53)</f>
        <v/>
      </c>
      <c r="C67" s="109">
        <f>IF($A67="","",SUMIFS(L_VALOR,L_CAT,$A67,L_AM,C$6)+SUMPRODUCT((PARC_CAT=$A67)*(PARC_MESES=C$7)*PARC_MATRIZ))</f>
        <v/>
      </c>
      <c r="D67" s="109">
        <f>IF($A67="","",SUMIFS(L_VALOR,L_CAT,$A67,L_AM,D$6)+SUMPRODUCT((PARC_CAT=$A67)*(PARC_MESES=D$7)*PARC_MATRIZ))</f>
        <v/>
      </c>
      <c r="E67" s="109">
        <f>IF($A67="","",SUMIFS(L_VALOR,L_CAT,$A67,L_AM,E$6)+SUMPRODUCT((PARC_CAT=$A67)*(PARC_MESES=E$7)*PARC_MATRIZ))</f>
        <v/>
      </c>
      <c r="F67" s="109">
        <f>IF($A67="","",SUMIFS(L_VALOR,L_CAT,$A67,L_AM,F$6)+SUMPRODUCT((PARC_CAT=$A67)*(PARC_MESES=F$7)*PARC_MATRIZ))</f>
        <v/>
      </c>
      <c r="G67" s="109">
        <f>IF($A67="","",SUMIFS(L_VALOR,L_CAT,$A67,L_AM,G$6)+SUMPRODUCT((PARC_CAT=$A67)*(PARC_MESES=G$7)*PARC_MATRIZ))</f>
        <v/>
      </c>
      <c r="H67" s="109">
        <f>IF($A67="","",SUMIFS(L_VALOR,L_CAT,$A67,L_AM,H$6)+SUMPRODUCT((PARC_CAT=$A67)*(PARC_MESES=H$7)*PARC_MATRIZ))</f>
        <v/>
      </c>
      <c r="I67" s="109">
        <f>IF($A67="","",SUMIFS(L_VALOR,L_CAT,$A67,L_AM,I$6)+SUMPRODUCT((PARC_CAT=$A67)*(PARC_MESES=I$7)*PARC_MATRIZ))</f>
        <v/>
      </c>
      <c r="J67" s="109">
        <f>IF($A67="","",SUMIFS(L_VALOR,L_CAT,$A67,L_AM,J$6)+SUMPRODUCT((PARC_CAT=$A67)*(PARC_MESES=J$7)*PARC_MATRIZ))</f>
        <v/>
      </c>
      <c r="K67" s="109">
        <f>IF($A67="","",SUMIFS(L_VALOR,L_CAT,$A67,L_AM,K$6)+SUMPRODUCT((PARC_CAT=$A67)*(PARC_MESES=K$7)*PARC_MATRIZ))</f>
        <v/>
      </c>
      <c r="L67" s="109">
        <f>IF($A67="","",SUMIFS(L_VALOR,L_CAT,$A67,L_AM,L$6)+SUMPRODUCT((PARC_CAT=$A67)*(PARC_MESES=L$7)*PARC_MATRIZ))</f>
        <v/>
      </c>
      <c r="M67" s="109">
        <f>IF($A67="","",SUMIFS(L_VALOR,L_CAT,$A67,L_AM,M$6)+SUMPRODUCT((PARC_CAT=$A67)*(PARC_MESES=M$7)*PARC_MATRIZ))</f>
        <v/>
      </c>
      <c r="N67" s="109">
        <f>IF($A67="","",SUMIFS(L_VALOR,L_CAT,$A67,L_AM,N$6)+SUMPRODUCT((PARC_CAT=$A67)*(PARC_MESES=N$7)*PARC_MATRIZ))</f>
        <v/>
      </c>
      <c r="O67" s="85">
        <f>IF($A67="","",SUM(C67:N67))</f>
        <v/>
      </c>
      <c r="P67" s="84">
        <f>IF($A67="","",IF(SUM($C$19:$N$19)=0,0,O67/SUM($C$19:$N$19)))</f>
        <v/>
      </c>
      <c r="Q67" s="86">
        <f>IF(OR($A67="",$O$11=0),"",IF(OR($B67="Necessidade",$B67="Desejo"),O67/$O$11,""))</f>
        <v/>
      </c>
    </row>
    <row r="68">
      <c r="A68" s="75">
        <f>IF('Configurações'!A54="","",'Configurações'!A54)</f>
        <v/>
      </c>
      <c r="B68" s="75">
        <f>IF($A68="","",'Configurações'!B54)</f>
        <v/>
      </c>
      <c r="C68" s="109">
        <f>IF($A68="","",SUMIFS(L_VALOR,L_CAT,$A68,L_AM,C$6)+SUMPRODUCT((PARC_CAT=$A68)*(PARC_MESES=C$7)*PARC_MATRIZ))</f>
        <v/>
      </c>
      <c r="D68" s="109">
        <f>IF($A68="","",SUMIFS(L_VALOR,L_CAT,$A68,L_AM,D$6)+SUMPRODUCT((PARC_CAT=$A68)*(PARC_MESES=D$7)*PARC_MATRIZ))</f>
        <v/>
      </c>
      <c r="E68" s="109">
        <f>IF($A68="","",SUMIFS(L_VALOR,L_CAT,$A68,L_AM,E$6)+SUMPRODUCT((PARC_CAT=$A68)*(PARC_MESES=E$7)*PARC_MATRIZ))</f>
        <v/>
      </c>
      <c r="F68" s="109">
        <f>IF($A68="","",SUMIFS(L_VALOR,L_CAT,$A68,L_AM,F$6)+SUMPRODUCT((PARC_CAT=$A68)*(PARC_MESES=F$7)*PARC_MATRIZ))</f>
        <v/>
      </c>
      <c r="G68" s="109">
        <f>IF($A68="","",SUMIFS(L_VALOR,L_CAT,$A68,L_AM,G$6)+SUMPRODUCT((PARC_CAT=$A68)*(PARC_MESES=G$7)*PARC_MATRIZ))</f>
        <v/>
      </c>
      <c r="H68" s="109">
        <f>IF($A68="","",SUMIFS(L_VALOR,L_CAT,$A68,L_AM,H$6)+SUMPRODUCT((PARC_CAT=$A68)*(PARC_MESES=H$7)*PARC_MATRIZ))</f>
        <v/>
      </c>
      <c r="I68" s="109">
        <f>IF($A68="","",SUMIFS(L_VALOR,L_CAT,$A68,L_AM,I$6)+SUMPRODUCT((PARC_CAT=$A68)*(PARC_MESES=I$7)*PARC_MATRIZ))</f>
        <v/>
      </c>
      <c r="J68" s="109">
        <f>IF($A68="","",SUMIFS(L_VALOR,L_CAT,$A68,L_AM,J$6)+SUMPRODUCT((PARC_CAT=$A68)*(PARC_MESES=J$7)*PARC_MATRIZ))</f>
        <v/>
      </c>
      <c r="K68" s="109">
        <f>IF($A68="","",SUMIFS(L_VALOR,L_CAT,$A68,L_AM,K$6)+SUMPRODUCT((PARC_CAT=$A68)*(PARC_MESES=K$7)*PARC_MATRIZ))</f>
        <v/>
      </c>
      <c r="L68" s="109">
        <f>IF($A68="","",SUMIFS(L_VALOR,L_CAT,$A68,L_AM,L$6)+SUMPRODUCT((PARC_CAT=$A68)*(PARC_MESES=L$7)*PARC_MATRIZ))</f>
        <v/>
      </c>
      <c r="M68" s="109">
        <f>IF($A68="","",SUMIFS(L_VALOR,L_CAT,$A68,L_AM,M$6)+SUMPRODUCT((PARC_CAT=$A68)*(PARC_MESES=M$7)*PARC_MATRIZ))</f>
        <v/>
      </c>
      <c r="N68" s="109">
        <f>IF($A68="","",SUMIFS(L_VALOR,L_CAT,$A68,L_AM,N$6)+SUMPRODUCT((PARC_CAT=$A68)*(PARC_MESES=N$7)*PARC_MATRIZ))</f>
        <v/>
      </c>
      <c r="O68" s="85">
        <f>IF($A68="","",SUM(C68:N68))</f>
        <v/>
      </c>
      <c r="P68" s="84">
        <f>IF($A68="","",IF(SUM($C$19:$N$19)=0,0,O68/SUM($C$19:$N$19)))</f>
        <v/>
      </c>
      <c r="Q68" s="86">
        <f>IF(OR($A68="",$O$11=0),"",IF(OR($B68="Necessidade",$B68="Desejo"),O68/$O$11,""))</f>
        <v/>
      </c>
    </row>
    <row r="69">
      <c r="A69" s="75">
        <f>IF('Configurações'!A55="","",'Configurações'!A55)</f>
        <v/>
      </c>
      <c r="B69" s="75">
        <f>IF($A69="","",'Configurações'!B55)</f>
        <v/>
      </c>
      <c r="C69" s="109">
        <f>IF($A69="","",SUMIFS(L_VALOR,L_CAT,$A69,L_AM,C$6)+SUMPRODUCT((PARC_CAT=$A69)*(PARC_MESES=C$7)*PARC_MATRIZ))</f>
        <v/>
      </c>
      <c r="D69" s="109">
        <f>IF($A69="","",SUMIFS(L_VALOR,L_CAT,$A69,L_AM,D$6)+SUMPRODUCT((PARC_CAT=$A69)*(PARC_MESES=D$7)*PARC_MATRIZ))</f>
        <v/>
      </c>
      <c r="E69" s="109">
        <f>IF($A69="","",SUMIFS(L_VALOR,L_CAT,$A69,L_AM,E$6)+SUMPRODUCT((PARC_CAT=$A69)*(PARC_MESES=E$7)*PARC_MATRIZ))</f>
        <v/>
      </c>
      <c r="F69" s="109">
        <f>IF($A69="","",SUMIFS(L_VALOR,L_CAT,$A69,L_AM,F$6)+SUMPRODUCT((PARC_CAT=$A69)*(PARC_MESES=F$7)*PARC_MATRIZ))</f>
        <v/>
      </c>
      <c r="G69" s="109">
        <f>IF($A69="","",SUMIFS(L_VALOR,L_CAT,$A69,L_AM,G$6)+SUMPRODUCT((PARC_CAT=$A69)*(PARC_MESES=G$7)*PARC_MATRIZ))</f>
        <v/>
      </c>
      <c r="H69" s="109">
        <f>IF($A69="","",SUMIFS(L_VALOR,L_CAT,$A69,L_AM,H$6)+SUMPRODUCT((PARC_CAT=$A69)*(PARC_MESES=H$7)*PARC_MATRIZ))</f>
        <v/>
      </c>
      <c r="I69" s="109">
        <f>IF($A69="","",SUMIFS(L_VALOR,L_CAT,$A69,L_AM,I$6)+SUMPRODUCT((PARC_CAT=$A69)*(PARC_MESES=I$7)*PARC_MATRIZ))</f>
        <v/>
      </c>
      <c r="J69" s="109">
        <f>IF($A69="","",SUMIFS(L_VALOR,L_CAT,$A69,L_AM,J$6)+SUMPRODUCT((PARC_CAT=$A69)*(PARC_MESES=J$7)*PARC_MATRIZ))</f>
        <v/>
      </c>
      <c r="K69" s="109">
        <f>IF($A69="","",SUMIFS(L_VALOR,L_CAT,$A69,L_AM,K$6)+SUMPRODUCT((PARC_CAT=$A69)*(PARC_MESES=K$7)*PARC_MATRIZ))</f>
        <v/>
      </c>
      <c r="L69" s="109">
        <f>IF($A69="","",SUMIFS(L_VALOR,L_CAT,$A69,L_AM,L$6)+SUMPRODUCT((PARC_CAT=$A69)*(PARC_MESES=L$7)*PARC_MATRIZ))</f>
        <v/>
      </c>
      <c r="M69" s="109">
        <f>IF($A69="","",SUMIFS(L_VALOR,L_CAT,$A69,L_AM,M$6)+SUMPRODUCT((PARC_CAT=$A69)*(PARC_MESES=M$7)*PARC_MATRIZ))</f>
        <v/>
      </c>
      <c r="N69" s="109">
        <f>IF($A69="","",SUMIFS(L_VALOR,L_CAT,$A69,L_AM,N$6)+SUMPRODUCT((PARC_CAT=$A69)*(PARC_MESES=N$7)*PARC_MATRIZ))</f>
        <v/>
      </c>
      <c r="O69" s="85">
        <f>IF($A69="","",SUM(C69:N69))</f>
        <v/>
      </c>
      <c r="P69" s="84">
        <f>IF($A69="","",IF(SUM($C$19:$N$19)=0,0,O69/SUM($C$19:$N$19)))</f>
        <v/>
      </c>
      <c r="Q69" s="86">
        <f>IF(OR($A69="",$O$11=0),"",IF(OR($B69="Necessidade",$B69="Desejo"),O69/$O$11,""))</f>
        <v/>
      </c>
    </row>
    <row r="70">
      <c r="A70" s="75">
        <f>IF('Configurações'!A56="","",'Configurações'!A56)</f>
        <v/>
      </c>
      <c r="B70" s="75">
        <f>IF($A70="","",'Configurações'!B56)</f>
        <v/>
      </c>
      <c r="C70" s="109">
        <f>IF($A70="","",SUMIFS(L_VALOR,L_CAT,$A70,L_AM,C$6)+SUMPRODUCT((PARC_CAT=$A70)*(PARC_MESES=C$7)*PARC_MATRIZ))</f>
        <v/>
      </c>
      <c r="D70" s="109">
        <f>IF($A70="","",SUMIFS(L_VALOR,L_CAT,$A70,L_AM,D$6)+SUMPRODUCT((PARC_CAT=$A70)*(PARC_MESES=D$7)*PARC_MATRIZ))</f>
        <v/>
      </c>
      <c r="E70" s="109">
        <f>IF($A70="","",SUMIFS(L_VALOR,L_CAT,$A70,L_AM,E$6)+SUMPRODUCT((PARC_CAT=$A70)*(PARC_MESES=E$7)*PARC_MATRIZ))</f>
        <v/>
      </c>
      <c r="F70" s="109">
        <f>IF($A70="","",SUMIFS(L_VALOR,L_CAT,$A70,L_AM,F$6)+SUMPRODUCT((PARC_CAT=$A70)*(PARC_MESES=F$7)*PARC_MATRIZ))</f>
        <v/>
      </c>
      <c r="G70" s="109">
        <f>IF($A70="","",SUMIFS(L_VALOR,L_CAT,$A70,L_AM,G$6)+SUMPRODUCT((PARC_CAT=$A70)*(PARC_MESES=G$7)*PARC_MATRIZ))</f>
        <v/>
      </c>
      <c r="H70" s="109">
        <f>IF($A70="","",SUMIFS(L_VALOR,L_CAT,$A70,L_AM,H$6)+SUMPRODUCT((PARC_CAT=$A70)*(PARC_MESES=H$7)*PARC_MATRIZ))</f>
        <v/>
      </c>
      <c r="I70" s="109">
        <f>IF($A70="","",SUMIFS(L_VALOR,L_CAT,$A70,L_AM,I$6)+SUMPRODUCT((PARC_CAT=$A70)*(PARC_MESES=I$7)*PARC_MATRIZ))</f>
        <v/>
      </c>
      <c r="J70" s="109">
        <f>IF($A70="","",SUMIFS(L_VALOR,L_CAT,$A70,L_AM,J$6)+SUMPRODUCT((PARC_CAT=$A70)*(PARC_MESES=J$7)*PARC_MATRIZ))</f>
        <v/>
      </c>
      <c r="K70" s="109">
        <f>IF($A70="","",SUMIFS(L_VALOR,L_CAT,$A70,L_AM,K$6)+SUMPRODUCT((PARC_CAT=$A70)*(PARC_MESES=K$7)*PARC_MATRIZ))</f>
        <v/>
      </c>
      <c r="L70" s="109">
        <f>IF($A70="","",SUMIFS(L_VALOR,L_CAT,$A70,L_AM,L$6)+SUMPRODUCT((PARC_CAT=$A70)*(PARC_MESES=L$7)*PARC_MATRIZ))</f>
        <v/>
      </c>
      <c r="M70" s="109">
        <f>IF($A70="","",SUMIFS(L_VALOR,L_CAT,$A70,L_AM,M$6)+SUMPRODUCT((PARC_CAT=$A70)*(PARC_MESES=M$7)*PARC_MATRIZ))</f>
        <v/>
      </c>
      <c r="N70" s="109">
        <f>IF($A70="","",SUMIFS(L_VALOR,L_CAT,$A70,L_AM,N$6)+SUMPRODUCT((PARC_CAT=$A70)*(PARC_MESES=N$7)*PARC_MATRIZ))</f>
        <v/>
      </c>
      <c r="O70" s="85">
        <f>IF($A70="","",SUM(C70:N70))</f>
        <v/>
      </c>
      <c r="P70" s="84">
        <f>IF($A70="","",IF(SUM($C$19:$N$19)=0,0,O70/SUM($C$19:$N$19)))</f>
        <v/>
      </c>
      <c r="Q70" s="86">
        <f>IF(OR($A70="",$O$11=0),"",IF(OR($B70="Necessidade",$B70="Desejo"),O70/$O$11,""))</f>
        <v/>
      </c>
    </row>
    <row r="71">
      <c r="A71" s="75">
        <f>IF('Configurações'!A57="","",'Configurações'!A57)</f>
        <v/>
      </c>
      <c r="B71" s="75">
        <f>IF($A71="","",'Configurações'!B57)</f>
        <v/>
      </c>
      <c r="C71" s="109">
        <f>IF($A71="","",SUMIFS(L_VALOR,L_CAT,$A71,L_AM,C$6)+SUMPRODUCT((PARC_CAT=$A71)*(PARC_MESES=C$7)*PARC_MATRIZ))</f>
        <v/>
      </c>
      <c r="D71" s="109">
        <f>IF($A71="","",SUMIFS(L_VALOR,L_CAT,$A71,L_AM,D$6)+SUMPRODUCT((PARC_CAT=$A71)*(PARC_MESES=D$7)*PARC_MATRIZ))</f>
        <v/>
      </c>
      <c r="E71" s="109">
        <f>IF($A71="","",SUMIFS(L_VALOR,L_CAT,$A71,L_AM,E$6)+SUMPRODUCT((PARC_CAT=$A71)*(PARC_MESES=E$7)*PARC_MATRIZ))</f>
        <v/>
      </c>
      <c r="F71" s="109">
        <f>IF($A71="","",SUMIFS(L_VALOR,L_CAT,$A71,L_AM,F$6)+SUMPRODUCT((PARC_CAT=$A71)*(PARC_MESES=F$7)*PARC_MATRIZ))</f>
        <v/>
      </c>
      <c r="G71" s="109">
        <f>IF($A71="","",SUMIFS(L_VALOR,L_CAT,$A71,L_AM,G$6)+SUMPRODUCT((PARC_CAT=$A71)*(PARC_MESES=G$7)*PARC_MATRIZ))</f>
        <v/>
      </c>
      <c r="H71" s="109">
        <f>IF($A71="","",SUMIFS(L_VALOR,L_CAT,$A71,L_AM,H$6)+SUMPRODUCT((PARC_CAT=$A71)*(PARC_MESES=H$7)*PARC_MATRIZ))</f>
        <v/>
      </c>
      <c r="I71" s="109">
        <f>IF($A71="","",SUMIFS(L_VALOR,L_CAT,$A71,L_AM,I$6)+SUMPRODUCT((PARC_CAT=$A71)*(PARC_MESES=I$7)*PARC_MATRIZ))</f>
        <v/>
      </c>
      <c r="J71" s="109">
        <f>IF($A71="","",SUMIFS(L_VALOR,L_CAT,$A71,L_AM,J$6)+SUMPRODUCT((PARC_CAT=$A71)*(PARC_MESES=J$7)*PARC_MATRIZ))</f>
        <v/>
      </c>
      <c r="K71" s="109">
        <f>IF($A71="","",SUMIFS(L_VALOR,L_CAT,$A71,L_AM,K$6)+SUMPRODUCT((PARC_CAT=$A71)*(PARC_MESES=K$7)*PARC_MATRIZ))</f>
        <v/>
      </c>
      <c r="L71" s="109">
        <f>IF($A71="","",SUMIFS(L_VALOR,L_CAT,$A71,L_AM,L$6)+SUMPRODUCT((PARC_CAT=$A71)*(PARC_MESES=L$7)*PARC_MATRIZ))</f>
        <v/>
      </c>
      <c r="M71" s="109">
        <f>IF($A71="","",SUMIFS(L_VALOR,L_CAT,$A71,L_AM,M$6)+SUMPRODUCT((PARC_CAT=$A71)*(PARC_MESES=M$7)*PARC_MATRIZ))</f>
        <v/>
      </c>
      <c r="N71" s="109">
        <f>IF($A71="","",SUMIFS(L_VALOR,L_CAT,$A71,L_AM,N$6)+SUMPRODUCT((PARC_CAT=$A71)*(PARC_MESES=N$7)*PARC_MATRIZ))</f>
        <v/>
      </c>
      <c r="O71" s="85">
        <f>IF($A71="","",SUM(C71:N71))</f>
        <v/>
      </c>
      <c r="P71" s="84">
        <f>IF($A71="","",IF(SUM($C$19:$N$19)=0,0,O71/SUM($C$19:$N$19)))</f>
        <v/>
      </c>
      <c r="Q71" s="86">
        <f>IF(OR($A71="",$O$11=0),"",IF(OR($B71="Necessidade",$B71="Desejo"),O71/$O$11,""))</f>
        <v/>
      </c>
    </row>
    <row r="72">
      <c r="A72" s="75">
        <f>IF('Configurações'!A58="","",'Configurações'!A58)</f>
        <v/>
      </c>
      <c r="B72" s="75">
        <f>IF($A72="","",'Configurações'!B58)</f>
        <v/>
      </c>
      <c r="C72" s="109">
        <f>IF($A72="","",SUMIFS(L_VALOR,L_CAT,$A72,L_AM,C$6)+SUMPRODUCT((PARC_CAT=$A72)*(PARC_MESES=C$7)*PARC_MATRIZ))</f>
        <v/>
      </c>
      <c r="D72" s="109">
        <f>IF($A72="","",SUMIFS(L_VALOR,L_CAT,$A72,L_AM,D$6)+SUMPRODUCT((PARC_CAT=$A72)*(PARC_MESES=D$7)*PARC_MATRIZ))</f>
        <v/>
      </c>
      <c r="E72" s="109">
        <f>IF($A72="","",SUMIFS(L_VALOR,L_CAT,$A72,L_AM,E$6)+SUMPRODUCT((PARC_CAT=$A72)*(PARC_MESES=E$7)*PARC_MATRIZ))</f>
        <v/>
      </c>
      <c r="F72" s="109">
        <f>IF($A72="","",SUMIFS(L_VALOR,L_CAT,$A72,L_AM,F$6)+SUMPRODUCT((PARC_CAT=$A72)*(PARC_MESES=F$7)*PARC_MATRIZ))</f>
        <v/>
      </c>
      <c r="G72" s="109">
        <f>IF($A72="","",SUMIFS(L_VALOR,L_CAT,$A72,L_AM,G$6)+SUMPRODUCT((PARC_CAT=$A72)*(PARC_MESES=G$7)*PARC_MATRIZ))</f>
        <v/>
      </c>
      <c r="H72" s="109">
        <f>IF($A72="","",SUMIFS(L_VALOR,L_CAT,$A72,L_AM,H$6)+SUMPRODUCT((PARC_CAT=$A72)*(PARC_MESES=H$7)*PARC_MATRIZ))</f>
        <v/>
      </c>
      <c r="I72" s="109">
        <f>IF($A72="","",SUMIFS(L_VALOR,L_CAT,$A72,L_AM,I$6)+SUMPRODUCT((PARC_CAT=$A72)*(PARC_MESES=I$7)*PARC_MATRIZ))</f>
        <v/>
      </c>
      <c r="J72" s="109">
        <f>IF($A72="","",SUMIFS(L_VALOR,L_CAT,$A72,L_AM,J$6)+SUMPRODUCT((PARC_CAT=$A72)*(PARC_MESES=J$7)*PARC_MATRIZ))</f>
        <v/>
      </c>
      <c r="K72" s="109">
        <f>IF($A72="","",SUMIFS(L_VALOR,L_CAT,$A72,L_AM,K$6)+SUMPRODUCT((PARC_CAT=$A72)*(PARC_MESES=K$7)*PARC_MATRIZ))</f>
        <v/>
      </c>
      <c r="L72" s="109">
        <f>IF($A72="","",SUMIFS(L_VALOR,L_CAT,$A72,L_AM,L$6)+SUMPRODUCT((PARC_CAT=$A72)*(PARC_MESES=L$7)*PARC_MATRIZ))</f>
        <v/>
      </c>
      <c r="M72" s="109">
        <f>IF($A72="","",SUMIFS(L_VALOR,L_CAT,$A72,L_AM,M$6)+SUMPRODUCT((PARC_CAT=$A72)*(PARC_MESES=M$7)*PARC_MATRIZ))</f>
        <v/>
      </c>
      <c r="N72" s="109">
        <f>IF($A72="","",SUMIFS(L_VALOR,L_CAT,$A72,L_AM,N$6)+SUMPRODUCT((PARC_CAT=$A72)*(PARC_MESES=N$7)*PARC_MATRIZ))</f>
        <v/>
      </c>
      <c r="O72" s="85">
        <f>IF($A72="","",SUM(C72:N72))</f>
        <v/>
      </c>
      <c r="P72" s="84">
        <f>IF($A72="","",IF(SUM($C$19:$N$19)=0,0,O72/SUM($C$19:$N$19)))</f>
        <v/>
      </c>
      <c r="Q72" s="86">
        <f>IF(OR($A72="",$O$11=0),"",IF(OR($B72="Necessidade",$B72="Desejo"),O72/$O$11,""))</f>
        <v/>
      </c>
    </row>
    <row r="73">
      <c r="A73" s="75">
        <f>IF('Configurações'!A59="","",'Configurações'!A59)</f>
        <v/>
      </c>
      <c r="B73" s="75">
        <f>IF($A73="","",'Configurações'!B59)</f>
        <v/>
      </c>
      <c r="C73" s="109">
        <f>IF($A73="","",SUMIFS(L_VALOR,L_CAT,$A73,L_AM,C$6)+SUMPRODUCT((PARC_CAT=$A73)*(PARC_MESES=C$7)*PARC_MATRIZ))</f>
        <v/>
      </c>
      <c r="D73" s="109">
        <f>IF($A73="","",SUMIFS(L_VALOR,L_CAT,$A73,L_AM,D$6)+SUMPRODUCT((PARC_CAT=$A73)*(PARC_MESES=D$7)*PARC_MATRIZ))</f>
        <v/>
      </c>
      <c r="E73" s="109">
        <f>IF($A73="","",SUMIFS(L_VALOR,L_CAT,$A73,L_AM,E$6)+SUMPRODUCT((PARC_CAT=$A73)*(PARC_MESES=E$7)*PARC_MATRIZ))</f>
        <v/>
      </c>
      <c r="F73" s="109">
        <f>IF($A73="","",SUMIFS(L_VALOR,L_CAT,$A73,L_AM,F$6)+SUMPRODUCT((PARC_CAT=$A73)*(PARC_MESES=F$7)*PARC_MATRIZ))</f>
        <v/>
      </c>
      <c r="G73" s="109">
        <f>IF($A73="","",SUMIFS(L_VALOR,L_CAT,$A73,L_AM,G$6)+SUMPRODUCT((PARC_CAT=$A73)*(PARC_MESES=G$7)*PARC_MATRIZ))</f>
        <v/>
      </c>
      <c r="H73" s="109">
        <f>IF($A73="","",SUMIFS(L_VALOR,L_CAT,$A73,L_AM,H$6)+SUMPRODUCT((PARC_CAT=$A73)*(PARC_MESES=H$7)*PARC_MATRIZ))</f>
        <v/>
      </c>
      <c r="I73" s="109">
        <f>IF($A73="","",SUMIFS(L_VALOR,L_CAT,$A73,L_AM,I$6)+SUMPRODUCT((PARC_CAT=$A73)*(PARC_MESES=I$7)*PARC_MATRIZ))</f>
        <v/>
      </c>
      <c r="J73" s="109">
        <f>IF($A73="","",SUMIFS(L_VALOR,L_CAT,$A73,L_AM,J$6)+SUMPRODUCT((PARC_CAT=$A73)*(PARC_MESES=J$7)*PARC_MATRIZ))</f>
        <v/>
      </c>
      <c r="K73" s="109">
        <f>IF($A73="","",SUMIFS(L_VALOR,L_CAT,$A73,L_AM,K$6)+SUMPRODUCT((PARC_CAT=$A73)*(PARC_MESES=K$7)*PARC_MATRIZ))</f>
        <v/>
      </c>
      <c r="L73" s="109">
        <f>IF($A73="","",SUMIFS(L_VALOR,L_CAT,$A73,L_AM,L$6)+SUMPRODUCT((PARC_CAT=$A73)*(PARC_MESES=L$7)*PARC_MATRIZ))</f>
        <v/>
      </c>
      <c r="M73" s="109">
        <f>IF($A73="","",SUMIFS(L_VALOR,L_CAT,$A73,L_AM,M$6)+SUMPRODUCT((PARC_CAT=$A73)*(PARC_MESES=M$7)*PARC_MATRIZ))</f>
        <v/>
      </c>
      <c r="N73" s="109">
        <f>IF($A73="","",SUMIFS(L_VALOR,L_CAT,$A73,L_AM,N$6)+SUMPRODUCT((PARC_CAT=$A73)*(PARC_MESES=N$7)*PARC_MATRIZ))</f>
        <v/>
      </c>
      <c r="O73" s="85">
        <f>IF($A73="","",SUM(C73:N73))</f>
        <v/>
      </c>
      <c r="P73" s="84">
        <f>IF($A73="","",IF(SUM($C$19:$N$19)=0,0,O73/SUM($C$19:$N$19)))</f>
        <v/>
      </c>
      <c r="Q73" s="86">
        <f>IF(OR($A73="",$O$11=0),"",IF(OR($B73="Necessidade",$B73="Desejo"),O73/$O$11,""))</f>
        <v/>
      </c>
    </row>
    <row r="74">
      <c r="A74" s="75">
        <f>IF('Configurações'!A60="","",'Configurações'!A60)</f>
        <v/>
      </c>
      <c r="B74" s="75">
        <f>IF($A74="","",'Configurações'!B60)</f>
        <v/>
      </c>
      <c r="C74" s="109">
        <f>IF($A74="","",SUMIFS(L_VALOR,L_CAT,$A74,L_AM,C$6)+SUMPRODUCT((PARC_CAT=$A74)*(PARC_MESES=C$7)*PARC_MATRIZ))</f>
        <v/>
      </c>
      <c r="D74" s="109">
        <f>IF($A74="","",SUMIFS(L_VALOR,L_CAT,$A74,L_AM,D$6)+SUMPRODUCT((PARC_CAT=$A74)*(PARC_MESES=D$7)*PARC_MATRIZ))</f>
        <v/>
      </c>
      <c r="E74" s="109">
        <f>IF($A74="","",SUMIFS(L_VALOR,L_CAT,$A74,L_AM,E$6)+SUMPRODUCT((PARC_CAT=$A74)*(PARC_MESES=E$7)*PARC_MATRIZ))</f>
        <v/>
      </c>
      <c r="F74" s="109">
        <f>IF($A74="","",SUMIFS(L_VALOR,L_CAT,$A74,L_AM,F$6)+SUMPRODUCT((PARC_CAT=$A74)*(PARC_MESES=F$7)*PARC_MATRIZ))</f>
        <v/>
      </c>
      <c r="G74" s="109">
        <f>IF($A74="","",SUMIFS(L_VALOR,L_CAT,$A74,L_AM,G$6)+SUMPRODUCT((PARC_CAT=$A74)*(PARC_MESES=G$7)*PARC_MATRIZ))</f>
        <v/>
      </c>
      <c r="H74" s="109">
        <f>IF($A74="","",SUMIFS(L_VALOR,L_CAT,$A74,L_AM,H$6)+SUMPRODUCT((PARC_CAT=$A74)*(PARC_MESES=H$7)*PARC_MATRIZ))</f>
        <v/>
      </c>
      <c r="I74" s="109">
        <f>IF($A74="","",SUMIFS(L_VALOR,L_CAT,$A74,L_AM,I$6)+SUMPRODUCT((PARC_CAT=$A74)*(PARC_MESES=I$7)*PARC_MATRIZ))</f>
        <v/>
      </c>
      <c r="J74" s="109">
        <f>IF($A74="","",SUMIFS(L_VALOR,L_CAT,$A74,L_AM,J$6)+SUMPRODUCT((PARC_CAT=$A74)*(PARC_MESES=J$7)*PARC_MATRIZ))</f>
        <v/>
      </c>
      <c r="K74" s="109">
        <f>IF($A74="","",SUMIFS(L_VALOR,L_CAT,$A74,L_AM,K$6)+SUMPRODUCT((PARC_CAT=$A74)*(PARC_MESES=K$7)*PARC_MATRIZ))</f>
        <v/>
      </c>
      <c r="L74" s="109">
        <f>IF($A74="","",SUMIFS(L_VALOR,L_CAT,$A74,L_AM,L$6)+SUMPRODUCT((PARC_CAT=$A74)*(PARC_MESES=L$7)*PARC_MATRIZ))</f>
        <v/>
      </c>
      <c r="M74" s="109">
        <f>IF($A74="","",SUMIFS(L_VALOR,L_CAT,$A74,L_AM,M$6)+SUMPRODUCT((PARC_CAT=$A74)*(PARC_MESES=M$7)*PARC_MATRIZ))</f>
        <v/>
      </c>
      <c r="N74" s="109">
        <f>IF($A74="","",SUMIFS(L_VALOR,L_CAT,$A74,L_AM,N$6)+SUMPRODUCT((PARC_CAT=$A74)*(PARC_MESES=N$7)*PARC_MATRIZ))</f>
        <v/>
      </c>
      <c r="O74" s="85">
        <f>IF($A74="","",SUM(C74:N74))</f>
        <v/>
      </c>
      <c r="P74" s="84">
        <f>IF($A74="","",IF(SUM($C$19:$N$19)=0,0,O74/SUM($C$19:$N$19)))</f>
        <v/>
      </c>
      <c r="Q74" s="86">
        <f>IF(OR($A74="",$O$11=0),"",IF(OR($B74="Necessidade",$B74="Desejo"),O74/$O$11,""))</f>
        <v/>
      </c>
    </row>
    <row r="75">
      <c r="A75" s="75">
        <f>IF('Configurações'!A61="","",'Configurações'!A61)</f>
        <v/>
      </c>
      <c r="B75" s="75">
        <f>IF($A75="","",'Configurações'!B61)</f>
        <v/>
      </c>
      <c r="C75" s="109">
        <f>IF($A75="","",SUMIFS(L_VALOR,L_CAT,$A75,L_AM,C$6)+SUMPRODUCT((PARC_CAT=$A75)*(PARC_MESES=C$7)*PARC_MATRIZ))</f>
        <v/>
      </c>
      <c r="D75" s="109">
        <f>IF($A75="","",SUMIFS(L_VALOR,L_CAT,$A75,L_AM,D$6)+SUMPRODUCT((PARC_CAT=$A75)*(PARC_MESES=D$7)*PARC_MATRIZ))</f>
        <v/>
      </c>
      <c r="E75" s="109">
        <f>IF($A75="","",SUMIFS(L_VALOR,L_CAT,$A75,L_AM,E$6)+SUMPRODUCT((PARC_CAT=$A75)*(PARC_MESES=E$7)*PARC_MATRIZ))</f>
        <v/>
      </c>
      <c r="F75" s="109">
        <f>IF($A75="","",SUMIFS(L_VALOR,L_CAT,$A75,L_AM,F$6)+SUMPRODUCT((PARC_CAT=$A75)*(PARC_MESES=F$7)*PARC_MATRIZ))</f>
        <v/>
      </c>
      <c r="G75" s="109">
        <f>IF($A75="","",SUMIFS(L_VALOR,L_CAT,$A75,L_AM,G$6)+SUMPRODUCT((PARC_CAT=$A75)*(PARC_MESES=G$7)*PARC_MATRIZ))</f>
        <v/>
      </c>
      <c r="H75" s="109">
        <f>IF($A75="","",SUMIFS(L_VALOR,L_CAT,$A75,L_AM,H$6)+SUMPRODUCT((PARC_CAT=$A75)*(PARC_MESES=H$7)*PARC_MATRIZ))</f>
        <v/>
      </c>
      <c r="I75" s="109">
        <f>IF($A75="","",SUMIFS(L_VALOR,L_CAT,$A75,L_AM,I$6)+SUMPRODUCT((PARC_CAT=$A75)*(PARC_MESES=I$7)*PARC_MATRIZ))</f>
        <v/>
      </c>
      <c r="J75" s="109">
        <f>IF($A75="","",SUMIFS(L_VALOR,L_CAT,$A75,L_AM,J$6)+SUMPRODUCT((PARC_CAT=$A75)*(PARC_MESES=J$7)*PARC_MATRIZ))</f>
        <v/>
      </c>
      <c r="K75" s="109">
        <f>IF($A75="","",SUMIFS(L_VALOR,L_CAT,$A75,L_AM,K$6)+SUMPRODUCT((PARC_CAT=$A75)*(PARC_MESES=K$7)*PARC_MATRIZ))</f>
        <v/>
      </c>
      <c r="L75" s="109">
        <f>IF($A75="","",SUMIFS(L_VALOR,L_CAT,$A75,L_AM,L$6)+SUMPRODUCT((PARC_CAT=$A75)*(PARC_MESES=L$7)*PARC_MATRIZ))</f>
        <v/>
      </c>
      <c r="M75" s="109">
        <f>IF($A75="","",SUMIFS(L_VALOR,L_CAT,$A75,L_AM,M$6)+SUMPRODUCT((PARC_CAT=$A75)*(PARC_MESES=M$7)*PARC_MATRIZ))</f>
        <v/>
      </c>
      <c r="N75" s="109">
        <f>IF($A75="","",SUMIFS(L_VALOR,L_CAT,$A75,L_AM,N$6)+SUMPRODUCT((PARC_CAT=$A75)*(PARC_MESES=N$7)*PARC_MATRIZ))</f>
        <v/>
      </c>
      <c r="O75" s="85">
        <f>IF($A75="","",SUM(C75:N75))</f>
        <v/>
      </c>
      <c r="P75" s="84">
        <f>IF($A75="","",IF(SUM($C$19:$N$19)=0,0,O75/SUM($C$19:$N$19)))</f>
        <v/>
      </c>
      <c r="Q75" s="86">
        <f>IF(OR($A75="",$O$11=0),"",IF(OR($B75="Necessidade",$B75="Desejo"),O75/$O$11,""))</f>
        <v/>
      </c>
    </row>
    <row r="76">
      <c r="A76" s="87" t="inlineStr">
        <is>
          <t>Total de despesas por categoria (necessidades + desejos)</t>
        </is>
      </c>
      <c r="B76" s="88" t="n"/>
      <c r="C76" s="88">
        <f>SUMIFS(C28:C75,$B28:$B75,"Necessidade")+SUMIFS(C28:C75,$B28:$B75,"Desejo")</f>
        <v/>
      </c>
      <c r="D76" s="88">
        <f>SUMIFS(D28:D75,$B28:$B75,"Necessidade")+SUMIFS(D28:D75,$B28:$B75,"Desejo")</f>
        <v/>
      </c>
      <c r="E76" s="88">
        <f>SUMIFS(E28:E75,$B28:$B75,"Necessidade")+SUMIFS(E28:E75,$B28:$B75,"Desejo")</f>
        <v/>
      </c>
      <c r="F76" s="88">
        <f>SUMIFS(F28:F75,$B28:$B75,"Necessidade")+SUMIFS(F28:F75,$B28:$B75,"Desejo")</f>
        <v/>
      </c>
      <c r="G76" s="88">
        <f>SUMIFS(G28:G75,$B28:$B75,"Necessidade")+SUMIFS(G28:G75,$B28:$B75,"Desejo")</f>
        <v/>
      </c>
      <c r="H76" s="88">
        <f>SUMIFS(H28:H75,$B28:$B75,"Necessidade")+SUMIFS(H28:H75,$B28:$B75,"Desejo")</f>
        <v/>
      </c>
      <c r="I76" s="88">
        <f>SUMIFS(I28:I75,$B28:$B75,"Necessidade")+SUMIFS(I28:I75,$B28:$B75,"Desejo")</f>
        <v/>
      </c>
      <c r="J76" s="88">
        <f>SUMIFS(J28:J75,$B28:$B75,"Necessidade")+SUMIFS(J28:J75,$B28:$B75,"Desejo")</f>
        <v/>
      </c>
      <c r="K76" s="88">
        <f>SUMIFS(K28:K75,$B28:$B75,"Necessidade")+SUMIFS(K28:K75,$B28:$B75,"Desejo")</f>
        <v/>
      </c>
      <c r="L76" s="88">
        <f>SUMIFS(L28:L75,$B28:$B75,"Necessidade")+SUMIFS(L28:L75,$B28:$B75,"Desejo")</f>
        <v/>
      </c>
      <c r="M76" s="88">
        <f>SUMIFS(M28:M75,$B28:$B75,"Necessidade")+SUMIFS(M28:M75,$B28:$B75,"Desejo")</f>
        <v/>
      </c>
      <c r="N76" s="88">
        <f>SUMIFS(N28:N75,$B28:$B75,"Necessidade")+SUMIFS(N28:N75,$B28:$B75,"Desejo")</f>
        <v/>
      </c>
      <c r="O76" s="88">
        <f>SUMIFS(O28:O75,$B28:$B75,"Necessidade")+SUMIFS(O28:O75,$B28:$B75,"Desejo")</f>
        <v/>
      </c>
      <c r="P76" s="88" t="n"/>
      <c r="Q76" s="88" t="n"/>
    </row>
    <row r="78">
      <c r="A78" s="59" t="inlineStr">
        <is>
          <t>Despesas, Necessidades e Desejos incluem as parcelas da aba Parcelados no mês da fatura. Lançamentos Pendentes também entram (visão por competência).</t>
        </is>
      </c>
    </row>
  </sheetData>
  <mergeCells count="8">
    <mergeCell ref="E23:F23"/>
    <mergeCell ref="E22:F22"/>
    <mergeCell ref="C22:D22"/>
    <mergeCell ref="G23:H23"/>
    <mergeCell ref="G22:H22"/>
    <mergeCell ref="I22:J22"/>
    <mergeCell ref="I23:J23"/>
    <mergeCell ref="C23:D23"/>
  </mergeCells>
  <conditionalFormatting sqref="C28:N28">
    <cfRule type="colorScale" priority="1">
      <colorScale>
        <cfvo type="min"/>
        <cfvo type="max"/>
        <color rgb="00FFFFFF"/>
        <color rgb="00FF9F6B"/>
      </colorScale>
    </cfRule>
  </conditionalFormatting>
  <conditionalFormatting sqref="C29:N29">
    <cfRule type="colorScale" priority="2">
      <colorScale>
        <cfvo type="min"/>
        <cfvo type="max"/>
        <color rgb="00FFFFFF"/>
        <color rgb="00FF9F6B"/>
      </colorScale>
    </cfRule>
  </conditionalFormatting>
  <conditionalFormatting sqref="C30:N30">
    <cfRule type="colorScale" priority="3">
      <colorScale>
        <cfvo type="min"/>
        <cfvo type="max"/>
        <color rgb="00FFFFFF"/>
        <color rgb="00FF9F6B"/>
      </colorScale>
    </cfRule>
  </conditionalFormatting>
  <conditionalFormatting sqref="C31:N31">
    <cfRule type="colorScale" priority="4">
      <colorScale>
        <cfvo type="min"/>
        <cfvo type="max"/>
        <color rgb="00FFFFFF"/>
        <color rgb="00FF9F6B"/>
      </colorScale>
    </cfRule>
  </conditionalFormatting>
  <conditionalFormatting sqref="C32:N32">
    <cfRule type="colorScale" priority="5">
      <colorScale>
        <cfvo type="min"/>
        <cfvo type="max"/>
        <color rgb="00FFFFFF"/>
        <color rgb="00FF9F6B"/>
      </colorScale>
    </cfRule>
  </conditionalFormatting>
  <conditionalFormatting sqref="C33:N33">
    <cfRule type="colorScale" priority="6">
      <colorScale>
        <cfvo type="min"/>
        <cfvo type="max"/>
        <color rgb="00FFFFFF"/>
        <color rgb="00FF9F6B"/>
      </colorScale>
    </cfRule>
  </conditionalFormatting>
  <conditionalFormatting sqref="C34:N34">
    <cfRule type="colorScale" priority="7">
      <colorScale>
        <cfvo type="min"/>
        <cfvo type="max"/>
        <color rgb="00FFFFFF"/>
        <color rgb="00FF9F6B"/>
      </colorScale>
    </cfRule>
  </conditionalFormatting>
  <conditionalFormatting sqref="C35:N35">
    <cfRule type="colorScale" priority="8">
      <colorScale>
        <cfvo type="min"/>
        <cfvo type="max"/>
        <color rgb="00FFFFFF"/>
        <color rgb="00FF9F6B"/>
      </colorScale>
    </cfRule>
  </conditionalFormatting>
  <conditionalFormatting sqref="C36:N36">
    <cfRule type="colorScale" priority="9">
      <colorScale>
        <cfvo type="min"/>
        <cfvo type="max"/>
        <color rgb="00FFFFFF"/>
        <color rgb="00FF9F6B"/>
      </colorScale>
    </cfRule>
  </conditionalFormatting>
  <conditionalFormatting sqref="C37:N37">
    <cfRule type="colorScale" priority="10">
      <colorScale>
        <cfvo type="min"/>
        <cfvo type="max"/>
        <color rgb="00FFFFFF"/>
        <color rgb="00FF9F6B"/>
      </colorScale>
    </cfRule>
  </conditionalFormatting>
  <conditionalFormatting sqref="C38:N38">
    <cfRule type="colorScale" priority="11">
      <colorScale>
        <cfvo type="min"/>
        <cfvo type="max"/>
        <color rgb="00FFFFFF"/>
        <color rgb="00FF9F6B"/>
      </colorScale>
    </cfRule>
  </conditionalFormatting>
  <conditionalFormatting sqref="C39:N39">
    <cfRule type="colorScale" priority="12">
      <colorScale>
        <cfvo type="min"/>
        <cfvo type="max"/>
        <color rgb="00FFFFFF"/>
        <color rgb="00FF9F6B"/>
      </colorScale>
    </cfRule>
  </conditionalFormatting>
  <conditionalFormatting sqref="C40:N40">
    <cfRule type="colorScale" priority="13">
      <colorScale>
        <cfvo type="min"/>
        <cfvo type="max"/>
        <color rgb="00FFFFFF"/>
        <color rgb="00FF9F6B"/>
      </colorScale>
    </cfRule>
  </conditionalFormatting>
  <conditionalFormatting sqref="C41:N41">
    <cfRule type="colorScale" priority="14">
      <colorScale>
        <cfvo type="min"/>
        <cfvo type="max"/>
        <color rgb="00FFFFFF"/>
        <color rgb="00FF9F6B"/>
      </colorScale>
    </cfRule>
  </conditionalFormatting>
  <conditionalFormatting sqref="C42:N42">
    <cfRule type="colorScale" priority="15">
      <colorScale>
        <cfvo type="min"/>
        <cfvo type="max"/>
        <color rgb="00FFFFFF"/>
        <color rgb="00FF9F6B"/>
      </colorScale>
    </cfRule>
  </conditionalFormatting>
  <conditionalFormatting sqref="C43:N43">
    <cfRule type="colorScale" priority="16">
      <colorScale>
        <cfvo type="min"/>
        <cfvo type="max"/>
        <color rgb="00FFFFFF"/>
        <color rgb="00FF9F6B"/>
      </colorScale>
    </cfRule>
  </conditionalFormatting>
  <conditionalFormatting sqref="C44:N44">
    <cfRule type="colorScale" priority="17">
      <colorScale>
        <cfvo type="min"/>
        <cfvo type="max"/>
        <color rgb="00FFFFFF"/>
        <color rgb="00FF9F6B"/>
      </colorScale>
    </cfRule>
  </conditionalFormatting>
  <conditionalFormatting sqref="C45:N45">
    <cfRule type="colorScale" priority="18">
      <colorScale>
        <cfvo type="min"/>
        <cfvo type="max"/>
        <color rgb="00FFFFFF"/>
        <color rgb="00FF9F6B"/>
      </colorScale>
    </cfRule>
  </conditionalFormatting>
  <conditionalFormatting sqref="C46:N46">
    <cfRule type="colorScale" priority="19">
      <colorScale>
        <cfvo type="min"/>
        <cfvo type="max"/>
        <color rgb="00FFFFFF"/>
        <color rgb="00FF9F6B"/>
      </colorScale>
    </cfRule>
  </conditionalFormatting>
  <conditionalFormatting sqref="C47:N47">
    <cfRule type="colorScale" priority="20">
      <colorScale>
        <cfvo type="min"/>
        <cfvo type="max"/>
        <color rgb="00FFFFFF"/>
        <color rgb="00FF9F6B"/>
      </colorScale>
    </cfRule>
  </conditionalFormatting>
  <conditionalFormatting sqref="C48:N48">
    <cfRule type="colorScale" priority="21">
      <colorScale>
        <cfvo type="min"/>
        <cfvo type="max"/>
        <color rgb="00FFFFFF"/>
        <color rgb="00FF9F6B"/>
      </colorScale>
    </cfRule>
  </conditionalFormatting>
  <conditionalFormatting sqref="C49:N49">
    <cfRule type="colorScale" priority="22">
      <colorScale>
        <cfvo type="min"/>
        <cfvo type="max"/>
        <color rgb="00FFFFFF"/>
        <color rgb="00FF9F6B"/>
      </colorScale>
    </cfRule>
  </conditionalFormatting>
  <conditionalFormatting sqref="C50:N50">
    <cfRule type="colorScale" priority="23">
      <colorScale>
        <cfvo type="min"/>
        <cfvo type="max"/>
        <color rgb="00FFFFFF"/>
        <color rgb="00FF9F6B"/>
      </colorScale>
    </cfRule>
  </conditionalFormatting>
  <conditionalFormatting sqref="C51:N51">
    <cfRule type="colorScale" priority="24">
      <colorScale>
        <cfvo type="min"/>
        <cfvo type="max"/>
        <color rgb="00FFFFFF"/>
        <color rgb="00FF9F6B"/>
      </colorScale>
    </cfRule>
  </conditionalFormatting>
  <conditionalFormatting sqref="C52:N52">
    <cfRule type="colorScale" priority="25">
      <colorScale>
        <cfvo type="min"/>
        <cfvo type="max"/>
        <color rgb="00FFFFFF"/>
        <color rgb="00FF9F6B"/>
      </colorScale>
    </cfRule>
  </conditionalFormatting>
  <conditionalFormatting sqref="C53:N53">
    <cfRule type="colorScale" priority="26">
      <colorScale>
        <cfvo type="min"/>
        <cfvo type="max"/>
        <color rgb="00FFFFFF"/>
        <color rgb="00FF9F6B"/>
      </colorScale>
    </cfRule>
  </conditionalFormatting>
  <conditionalFormatting sqref="C54:N54">
    <cfRule type="colorScale" priority="27">
      <colorScale>
        <cfvo type="min"/>
        <cfvo type="max"/>
        <color rgb="00FFFFFF"/>
        <color rgb="00FF9F6B"/>
      </colorScale>
    </cfRule>
  </conditionalFormatting>
  <conditionalFormatting sqref="C55:N55">
    <cfRule type="colorScale" priority="28">
      <colorScale>
        <cfvo type="min"/>
        <cfvo type="max"/>
        <color rgb="00FFFFFF"/>
        <color rgb="00FF9F6B"/>
      </colorScale>
    </cfRule>
  </conditionalFormatting>
  <conditionalFormatting sqref="C56:N56">
    <cfRule type="colorScale" priority="29">
      <colorScale>
        <cfvo type="min"/>
        <cfvo type="max"/>
        <color rgb="00FFFFFF"/>
        <color rgb="00FF9F6B"/>
      </colorScale>
    </cfRule>
  </conditionalFormatting>
  <conditionalFormatting sqref="C57:N57">
    <cfRule type="colorScale" priority="30">
      <colorScale>
        <cfvo type="min"/>
        <cfvo type="max"/>
        <color rgb="00FFFFFF"/>
        <color rgb="00FF9F6B"/>
      </colorScale>
    </cfRule>
  </conditionalFormatting>
  <conditionalFormatting sqref="C58:N58">
    <cfRule type="colorScale" priority="31">
      <colorScale>
        <cfvo type="min"/>
        <cfvo type="max"/>
        <color rgb="00FFFFFF"/>
        <color rgb="00FF9F6B"/>
      </colorScale>
    </cfRule>
  </conditionalFormatting>
  <conditionalFormatting sqref="C59:N59">
    <cfRule type="colorScale" priority="32">
      <colorScale>
        <cfvo type="min"/>
        <cfvo type="max"/>
        <color rgb="00FFFFFF"/>
        <color rgb="00FF9F6B"/>
      </colorScale>
    </cfRule>
  </conditionalFormatting>
  <conditionalFormatting sqref="C60:N60">
    <cfRule type="colorScale" priority="33">
      <colorScale>
        <cfvo type="min"/>
        <cfvo type="max"/>
        <color rgb="00FFFFFF"/>
        <color rgb="00FF9F6B"/>
      </colorScale>
    </cfRule>
  </conditionalFormatting>
  <conditionalFormatting sqref="C61:N61">
    <cfRule type="colorScale" priority="34">
      <colorScale>
        <cfvo type="min"/>
        <cfvo type="max"/>
        <color rgb="00FFFFFF"/>
        <color rgb="00FF9F6B"/>
      </colorScale>
    </cfRule>
  </conditionalFormatting>
  <conditionalFormatting sqref="C62:N62">
    <cfRule type="colorScale" priority="35">
      <colorScale>
        <cfvo type="min"/>
        <cfvo type="max"/>
        <color rgb="00FFFFFF"/>
        <color rgb="00FF9F6B"/>
      </colorScale>
    </cfRule>
  </conditionalFormatting>
  <conditionalFormatting sqref="C63:N63">
    <cfRule type="colorScale" priority="36">
      <colorScale>
        <cfvo type="min"/>
        <cfvo type="max"/>
        <color rgb="00FFFFFF"/>
        <color rgb="00FF9F6B"/>
      </colorScale>
    </cfRule>
  </conditionalFormatting>
  <conditionalFormatting sqref="C64:N64">
    <cfRule type="colorScale" priority="37">
      <colorScale>
        <cfvo type="min"/>
        <cfvo type="max"/>
        <color rgb="00FFFFFF"/>
        <color rgb="00FF9F6B"/>
      </colorScale>
    </cfRule>
  </conditionalFormatting>
  <conditionalFormatting sqref="C65:N65">
    <cfRule type="colorScale" priority="38">
      <colorScale>
        <cfvo type="min"/>
        <cfvo type="max"/>
        <color rgb="00FFFFFF"/>
        <color rgb="00FF9F6B"/>
      </colorScale>
    </cfRule>
  </conditionalFormatting>
  <conditionalFormatting sqref="C66:N66">
    <cfRule type="colorScale" priority="39">
      <colorScale>
        <cfvo type="min"/>
        <cfvo type="max"/>
        <color rgb="00FFFFFF"/>
        <color rgb="00FF9F6B"/>
      </colorScale>
    </cfRule>
  </conditionalFormatting>
  <conditionalFormatting sqref="C67:N67">
    <cfRule type="colorScale" priority="40">
      <colorScale>
        <cfvo type="min"/>
        <cfvo type="max"/>
        <color rgb="00FFFFFF"/>
        <color rgb="00FF9F6B"/>
      </colorScale>
    </cfRule>
  </conditionalFormatting>
  <conditionalFormatting sqref="C68:N68">
    <cfRule type="colorScale" priority="41">
      <colorScale>
        <cfvo type="min"/>
        <cfvo type="max"/>
        <color rgb="00FFFFFF"/>
        <color rgb="00FF9F6B"/>
      </colorScale>
    </cfRule>
  </conditionalFormatting>
  <conditionalFormatting sqref="C69:N69">
    <cfRule type="colorScale" priority="42">
      <colorScale>
        <cfvo type="min"/>
        <cfvo type="max"/>
        <color rgb="00FFFFFF"/>
        <color rgb="00FF9F6B"/>
      </colorScale>
    </cfRule>
  </conditionalFormatting>
  <conditionalFormatting sqref="C70:N70">
    <cfRule type="colorScale" priority="43">
      <colorScale>
        <cfvo type="min"/>
        <cfvo type="max"/>
        <color rgb="00FFFFFF"/>
        <color rgb="00FF9F6B"/>
      </colorScale>
    </cfRule>
  </conditionalFormatting>
  <conditionalFormatting sqref="C71:N71">
    <cfRule type="colorScale" priority="44">
      <colorScale>
        <cfvo type="min"/>
        <cfvo type="max"/>
        <color rgb="00FFFFFF"/>
        <color rgb="00FF9F6B"/>
      </colorScale>
    </cfRule>
  </conditionalFormatting>
  <conditionalFormatting sqref="C72:N72">
    <cfRule type="colorScale" priority="45">
      <colorScale>
        <cfvo type="min"/>
        <cfvo type="max"/>
        <color rgb="00FFFFFF"/>
        <color rgb="00FF9F6B"/>
      </colorScale>
    </cfRule>
  </conditionalFormatting>
  <conditionalFormatting sqref="C73:N73">
    <cfRule type="colorScale" priority="46">
      <colorScale>
        <cfvo type="min"/>
        <cfvo type="max"/>
        <color rgb="00FFFFFF"/>
        <color rgb="00FF9F6B"/>
      </colorScale>
    </cfRule>
  </conditionalFormatting>
  <conditionalFormatting sqref="C74:N74">
    <cfRule type="colorScale" priority="47">
      <colorScale>
        <cfvo type="min"/>
        <cfvo type="max"/>
        <color rgb="00FFFFFF"/>
        <color rgb="00FF9F6B"/>
      </colorScale>
    </cfRule>
  </conditionalFormatting>
  <conditionalFormatting sqref="C75:N75">
    <cfRule type="colorScale" priority="48">
      <colorScale>
        <cfvo type="min"/>
        <cfvo type="max"/>
        <color rgb="00FFFFFF"/>
        <color rgb="00FF9F6B"/>
      </colorScale>
    </cfRule>
  </conditionalFormatting>
  <conditionalFormatting sqref="C12:N12">
    <cfRule type="colorScale" priority="49">
      <colorScale>
        <cfvo type="min"/>
        <cfvo type="num" val="0"/>
        <cfvo type="max"/>
        <color rgb="00F8B4B4"/>
        <color rgb="00FFFFFF"/>
        <color rgb="00A7DDB8"/>
      </colorScale>
    </cfRule>
  </conditionalFormatting>
  <conditionalFormatting sqref="C14:N14">
    <cfRule type="colorScale" priority="50">
      <colorScale>
        <cfvo type="min"/>
        <cfvo type="num" val="0"/>
        <cfvo type="max"/>
        <color rgb="00F8B4B4"/>
        <color rgb="00FFFFFF"/>
        <color rgb="00A7DDB8"/>
      </colorScale>
    </cfRule>
  </conditionalFormatting>
  <conditionalFormatting sqref="C18:O18">
    <cfRule type="expression" priority="51" dxfId="12">
      <formula>C18&gt;0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1D6F8C"/>
    <outlinePr summaryBelow="1" summaryRight="1"/>
    <pageSetUpPr fitToPage="1"/>
  </sheetPr>
  <dimension ref="A1:O43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15" customWidth="1" min="4" max="4"/>
    <col width="15" customWidth="1" min="5" max="5"/>
    <col width="15" customWidth="1" min="6" max="6"/>
    <col width="17" customWidth="1" min="7" max="7"/>
    <col width="3" customWidth="1" min="8" max="8"/>
    <col width="6" customWidth="1" min="9" max="9"/>
    <col width="13" customWidth="1" min="10" max="10"/>
    <col width="36" customWidth="1" min="11" max="11"/>
    <col width="30" customWidth="1" min="12" max="12"/>
    <col width="15" customWidth="1" min="13" max="13"/>
    <col width="13" customWidth="1" min="14" max="14"/>
    <col width="11" customWidth="1" min="15" max="15"/>
  </cols>
  <sheetData>
    <row r="1" ht="30" customHeight="1">
      <c r="A1" s="64" t="inlineStr">
        <is>
          <t>Dia a dia do mês</t>
        </is>
      </c>
    </row>
    <row r="2">
      <c r="A2" s="65" t="inlineStr">
        <is>
          <t>O mês analisado dia por dia, quanto você ainda pode gastar por dia e os 10 maiores gastos. Nada para preencher aqui.</t>
        </is>
      </c>
    </row>
    <row r="3">
      <c r="A3" s="12">
        <f>"Mês analisado: "&amp;PERIODO&amp;"   (para mudar, use o seletor do Painel)"</f>
        <v/>
      </c>
    </row>
    <row r="5" ht="18" customHeight="1">
      <c r="A5" s="80" t="inlineStr">
        <is>
          <t>SOBRA DO MÊS (receitas - despesas)</t>
        </is>
      </c>
      <c r="B5" s="119" t="n"/>
      <c r="C5" s="81" t="n"/>
      <c r="D5" s="80" t="inlineStr">
        <is>
          <t>DIAS ATÉ O FIM DO MÊS</t>
        </is>
      </c>
      <c r="E5" s="81" t="n"/>
      <c r="F5" s="80" t="inlineStr">
        <is>
          <t>PODE GASTAR POR DIA</t>
        </is>
      </c>
      <c r="G5" s="81" t="n"/>
      <c r="I5" s="80" t="inlineStr">
        <is>
          <t>MAIOR GASTO DO MÊS</t>
        </is>
      </c>
      <c r="J5" s="81" t="n"/>
    </row>
    <row r="6" ht="30" customHeight="1">
      <c r="A6" s="120">
        <f>INDEX(FLUXO_SALDO,MES_SEL)</f>
        <v/>
      </c>
      <c r="B6" s="121" t="n"/>
      <c r="C6" s="83" t="n"/>
      <c r="D6" s="122">
        <f>IF(HOJE&lt;INI_MES,DIAS_MES,IF(HOJE&gt;=FIM_MES,0,FIM_MES-HOJE))</f>
        <v/>
      </c>
      <c r="E6" s="83" t="n"/>
      <c r="F6" s="120">
        <f>IF(D6=0,"Mês encerrado",MAX(0,A6)/D6)</f>
        <v/>
      </c>
      <c r="G6" s="83" t="n"/>
      <c r="I6" s="120">
        <f>IF(M11="",0,M11)</f>
        <v/>
      </c>
      <c r="J6" s="83" t="n"/>
    </row>
    <row r="8">
      <c r="A8" s="59" t="inlineStr">
        <is>
          <t>Pode gastar por dia = sobra do mês dividida pelos dias que faltam (usa a data "Hoje" das Configurações). Se a sobra for negativa, mostra zero.</t>
        </is>
      </c>
    </row>
    <row r="9">
      <c r="I9" s="5" t="inlineStr">
        <is>
          <t>Os 10 maiores gastos do mês</t>
        </is>
      </c>
    </row>
    <row r="10" ht="30" customHeight="1">
      <c r="A10" s="44" t="inlineStr">
        <is>
          <t>Dia</t>
        </is>
      </c>
      <c r="B10" s="44" t="inlineStr">
        <is>
          <t>Data</t>
        </is>
      </c>
      <c r="C10" s="44" t="inlineStr">
        <is>
          <t>Dia da semana</t>
        </is>
      </c>
      <c r="D10" s="44" t="inlineStr">
        <is>
          <t>Receitas</t>
        </is>
      </c>
      <c r="E10" s="44" t="inlineStr">
        <is>
          <t>Despesas</t>
        </is>
      </c>
      <c r="F10" s="44" t="inlineStr">
        <is>
          <t>Saldo do dia</t>
        </is>
      </c>
      <c r="G10" s="44" t="inlineStr">
        <is>
          <t>Saldo acumulado</t>
        </is>
      </c>
      <c r="I10" s="44" t="inlineStr">
        <is>
          <t>Nº</t>
        </is>
      </c>
      <c r="J10" s="44" t="inlineStr">
        <is>
          <t>Data</t>
        </is>
      </c>
      <c r="K10" s="44" t="inlineStr">
        <is>
          <t>Descrição</t>
        </is>
      </c>
      <c r="L10" s="44" t="inlineStr">
        <is>
          <t>Categoria</t>
        </is>
      </c>
      <c r="M10" s="44" t="inlineStr">
        <is>
          <t>Valor (R$)</t>
        </is>
      </c>
      <c r="N10" s="44" t="inlineStr">
        <is>
          <t>% das despesas</t>
        </is>
      </c>
      <c r="O10" s="72" t="inlineStr">
        <is>
          <t>chave</t>
        </is>
      </c>
    </row>
    <row r="11">
      <c r="A11" s="97" t="n">
        <v>1</v>
      </c>
      <c r="B11" s="91">
        <f>IF(A11&lt;=DIAS_MES,DATE(ANO_SEL,MES_SEL,A11),"")</f>
        <v/>
      </c>
      <c r="C11" s="102">
        <f>IF(B11="","",CHOOSE(WEEKDAY(B11,2),"seg","ter","qua","qui","sex","sáb","dom"))</f>
        <v/>
      </c>
      <c r="D11" s="84">
        <f>IF(B11="","",SUMIFS(L_VALOR,L_TIPO,"Receita",L_DATA,B11))</f>
        <v/>
      </c>
      <c r="E11" s="84">
        <f>IF(B11="","",SUMIFS(L_VALOR,L_TIPO,"Despesa",L_DATA,B11))</f>
        <v/>
      </c>
      <c r="F11" s="84">
        <f>IF(B11="","",D11-E11)</f>
        <v/>
      </c>
      <c r="G11" s="85">
        <f>IF(B11="","",N(G10)+F11)</f>
        <v/>
      </c>
      <c r="I11" s="97" t="n">
        <v>1</v>
      </c>
      <c r="J11" s="91">
        <f>IF($O11&lt;=0,"",IFERROR(INDEX(L_DATA,(ROUND((O11-ROUND(O11,2))*10000000,0)-5)),""))</f>
        <v/>
      </c>
      <c r="K11" s="75">
        <f>IF($O11&lt;=0,"",IFERROR(INDEX(L_DESC,(ROUND((O11-ROUND(O11,2))*10000000,0)-5)),""))</f>
        <v/>
      </c>
      <c r="L11" s="75">
        <f>IF($O11&lt;=0,"",IFERROR(INDEX(L_CAT,(ROUND((O11-ROUND(O11,2))*10000000,0)-5)),""))</f>
        <v/>
      </c>
      <c r="M11" s="85">
        <f>IF($O11&lt;=0,"",ROUND($O11,2))</f>
        <v/>
      </c>
      <c r="N11" s="86">
        <f>IF(OR($O11&lt;=0,INDEX(FLUXO_DESPESAS,MES_SEL)=0),"",M11/INDEX(FLUXO_DESPESAS,MES_SEL))</f>
        <v/>
      </c>
      <c r="O11" s="105">
        <f>SUMPRODUCT(LARGE((L_TIPO="Despesa")*(L_DATA&gt;=INI_MES)*(L_DATA&lt;=FIM_MES)*(ROUND(L_VALOR,2)+ROW(L_VALOR)/10000000),1))</f>
        <v/>
      </c>
    </row>
    <row r="12">
      <c r="A12" s="97" t="n">
        <v>2</v>
      </c>
      <c r="B12" s="91">
        <f>IF(A12&lt;=DIAS_MES,DATE(ANO_SEL,MES_SEL,A12),"")</f>
        <v/>
      </c>
      <c r="C12" s="102">
        <f>IF(B12="","",CHOOSE(WEEKDAY(B12,2),"seg","ter","qua","qui","sex","sáb","dom"))</f>
        <v/>
      </c>
      <c r="D12" s="84">
        <f>IF(B12="","",SUMIFS(L_VALOR,L_TIPO,"Receita",L_DATA,B12))</f>
        <v/>
      </c>
      <c r="E12" s="84">
        <f>IF(B12="","",SUMIFS(L_VALOR,L_TIPO,"Despesa",L_DATA,B12))</f>
        <v/>
      </c>
      <c r="F12" s="84">
        <f>IF(B12="","",D12-E12)</f>
        <v/>
      </c>
      <c r="G12" s="85">
        <f>IF(B12="","",N(G11)+F12)</f>
        <v/>
      </c>
      <c r="I12" s="97" t="n">
        <v>2</v>
      </c>
      <c r="J12" s="91">
        <f>IF($O12&lt;=0,"",IFERROR(INDEX(L_DATA,(ROUND((O12-ROUND(O12,2))*10000000,0)-5)),""))</f>
        <v/>
      </c>
      <c r="K12" s="75">
        <f>IF($O12&lt;=0,"",IFERROR(INDEX(L_DESC,(ROUND((O12-ROUND(O12,2))*10000000,0)-5)),""))</f>
        <v/>
      </c>
      <c r="L12" s="75">
        <f>IF($O12&lt;=0,"",IFERROR(INDEX(L_CAT,(ROUND((O12-ROUND(O12,2))*10000000,0)-5)),""))</f>
        <v/>
      </c>
      <c r="M12" s="85">
        <f>IF($O12&lt;=0,"",ROUND($O12,2))</f>
        <v/>
      </c>
      <c r="N12" s="86">
        <f>IF(OR($O12&lt;=0,INDEX(FLUXO_DESPESAS,MES_SEL)=0),"",M12/INDEX(FLUXO_DESPESAS,MES_SEL))</f>
        <v/>
      </c>
      <c r="O12" s="105">
        <f>SUMPRODUCT(LARGE((L_TIPO="Despesa")*(L_DATA&gt;=INI_MES)*(L_DATA&lt;=FIM_MES)*(ROUND(L_VALOR,2)+ROW(L_VALOR)/10000000),2))</f>
        <v/>
      </c>
    </row>
    <row r="13">
      <c r="A13" s="97" t="n">
        <v>3</v>
      </c>
      <c r="B13" s="91">
        <f>IF(A13&lt;=DIAS_MES,DATE(ANO_SEL,MES_SEL,A13),"")</f>
        <v/>
      </c>
      <c r="C13" s="102">
        <f>IF(B13="","",CHOOSE(WEEKDAY(B13,2),"seg","ter","qua","qui","sex","sáb","dom"))</f>
        <v/>
      </c>
      <c r="D13" s="84">
        <f>IF(B13="","",SUMIFS(L_VALOR,L_TIPO,"Receita",L_DATA,B13))</f>
        <v/>
      </c>
      <c r="E13" s="84">
        <f>IF(B13="","",SUMIFS(L_VALOR,L_TIPO,"Despesa",L_DATA,B13))</f>
        <v/>
      </c>
      <c r="F13" s="84">
        <f>IF(B13="","",D13-E13)</f>
        <v/>
      </c>
      <c r="G13" s="85">
        <f>IF(B13="","",N(G12)+F13)</f>
        <v/>
      </c>
      <c r="I13" s="97" t="n">
        <v>3</v>
      </c>
      <c r="J13" s="91">
        <f>IF($O13&lt;=0,"",IFERROR(INDEX(L_DATA,(ROUND((O13-ROUND(O13,2))*10000000,0)-5)),""))</f>
        <v/>
      </c>
      <c r="K13" s="75">
        <f>IF($O13&lt;=0,"",IFERROR(INDEX(L_DESC,(ROUND((O13-ROUND(O13,2))*10000000,0)-5)),""))</f>
        <v/>
      </c>
      <c r="L13" s="75">
        <f>IF($O13&lt;=0,"",IFERROR(INDEX(L_CAT,(ROUND((O13-ROUND(O13,2))*10000000,0)-5)),""))</f>
        <v/>
      </c>
      <c r="M13" s="85">
        <f>IF($O13&lt;=0,"",ROUND($O13,2))</f>
        <v/>
      </c>
      <c r="N13" s="86">
        <f>IF(OR($O13&lt;=0,INDEX(FLUXO_DESPESAS,MES_SEL)=0),"",M13/INDEX(FLUXO_DESPESAS,MES_SEL))</f>
        <v/>
      </c>
      <c r="O13" s="105">
        <f>SUMPRODUCT(LARGE((L_TIPO="Despesa")*(L_DATA&gt;=INI_MES)*(L_DATA&lt;=FIM_MES)*(ROUND(L_VALOR,2)+ROW(L_VALOR)/10000000),3))</f>
        <v/>
      </c>
    </row>
    <row r="14">
      <c r="A14" s="97" t="n">
        <v>4</v>
      </c>
      <c r="B14" s="91">
        <f>IF(A14&lt;=DIAS_MES,DATE(ANO_SEL,MES_SEL,A14),"")</f>
        <v/>
      </c>
      <c r="C14" s="102">
        <f>IF(B14="","",CHOOSE(WEEKDAY(B14,2),"seg","ter","qua","qui","sex","sáb","dom"))</f>
        <v/>
      </c>
      <c r="D14" s="84">
        <f>IF(B14="","",SUMIFS(L_VALOR,L_TIPO,"Receita",L_DATA,B14))</f>
        <v/>
      </c>
      <c r="E14" s="84">
        <f>IF(B14="","",SUMIFS(L_VALOR,L_TIPO,"Despesa",L_DATA,B14))</f>
        <v/>
      </c>
      <c r="F14" s="84">
        <f>IF(B14="","",D14-E14)</f>
        <v/>
      </c>
      <c r="G14" s="85">
        <f>IF(B14="","",N(G13)+F14)</f>
        <v/>
      </c>
      <c r="I14" s="97" t="n">
        <v>4</v>
      </c>
      <c r="J14" s="91">
        <f>IF($O14&lt;=0,"",IFERROR(INDEX(L_DATA,(ROUND((O14-ROUND(O14,2))*10000000,0)-5)),""))</f>
        <v/>
      </c>
      <c r="K14" s="75">
        <f>IF($O14&lt;=0,"",IFERROR(INDEX(L_DESC,(ROUND((O14-ROUND(O14,2))*10000000,0)-5)),""))</f>
        <v/>
      </c>
      <c r="L14" s="75">
        <f>IF($O14&lt;=0,"",IFERROR(INDEX(L_CAT,(ROUND((O14-ROUND(O14,2))*10000000,0)-5)),""))</f>
        <v/>
      </c>
      <c r="M14" s="85">
        <f>IF($O14&lt;=0,"",ROUND($O14,2))</f>
        <v/>
      </c>
      <c r="N14" s="86">
        <f>IF(OR($O14&lt;=0,INDEX(FLUXO_DESPESAS,MES_SEL)=0),"",M14/INDEX(FLUXO_DESPESAS,MES_SEL))</f>
        <v/>
      </c>
      <c r="O14" s="105">
        <f>SUMPRODUCT(LARGE((L_TIPO="Despesa")*(L_DATA&gt;=INI_MES)*(L_DATA&lt;=FIM_MES)*(ROUND(L_VALOR,2)+ROW(L_VALOR)/10000000),4))</f>
        <v/>
      </c>
    </row>
    <row r="15">
      <c r="A15" s="97" t="n">
        <v>5</v>
      </c>
      <c r="B15" s="91">
        <f>IF(A15&lt;=DIAS_MES,DATE(ANO_SEL,MES_SEL,A15),"")</f>
        <v/>
      </c>
      <c r="C15" s="102">
        <f>IF(B15="","",CHOOSE(WEEKDAY(B15,2),"seg","ter","qua","qui","sex","sáb","dom"))</f>
        <v/>
      </c>
      <c r="D15" s="84">
        <f>IF(B15="","",SUMIFS(L_VALOR,L_TIPO,"Receita",L_DATA,B15))</f>
        <v/>
      </c>
      <c r="E15" s="84">
        <f>IF(B15="","",SUMIFS(L_VALOR,L_TIPO,"Despesa",L_DATA,B15))</f>
        <v/>
      </c>
      <c r="F15" s="84">
        <f>IF(B15="","",D15-E15)</f>
        <v/>
      </c>
      <c r="G15" s="85">
        <f>IF(B15="","",N(G14)+F15)</f>
        <v/>
      </c>
      <c r="I15" s="97" t="n">
        <v>5</v>
      </c>
      <c r="J15" s="91">
        <f>IF($O15&lt;=0,"",IFERROR(INDEX(L_DATA,(ROUND((O15-ROUND(O15,2))*10000000,0)-5)),""))</f>
        <v/>
      </c>
      <c r="K15" s="75">
        <f>IF($O15&lt;=0,"",IFERROR(INDEX(L_DESC,(ROUND((O15-ROUND(O15,2))*10000000,0)-5)),""))</f>
        <v/>
      </c>
      <c r="L15" s="75">
        <f>IF($O15&lt;=0,"",IFERROR(INDEX(L_CAT,(ROUND((O15-ROUND(O15,2))*10000000,0)-5)),""))</f>
        <v/>
      </c>
      <c r="M15" s="85">
        <f>IF($O15&lt;=0,"",ROUND($O15,2))</f>
        <v/>
      </c>
      <c r="N15" s="86">
        <f>IF(OR($O15&lt;=0,INDEX(FLUXO_DESPESAS,MES_SEL)=0),"",M15/INDEX(FLUXO_DESPESAS,MES_SEL))</f>
        <v/>
      </c>
      <c r="O15" s="105">
        <f>SUMPRODUCT(LARGE((L_TIPO="Despesa")*(L_DATA&gt;=INI_MES)*(L_DATA&lt;=FIM_MES)*(ROUND(L_VALOR,2)+ROW(L_VALOR)/10000000),5))</f>
        <v/>
      </c>
    </row>
    <row r="16">
      <c r="A16" s="97" t="n">
        <v>6</v>
      </c>
      <c r="B16" s="91">
        <f>IF(A16&lt;=DIAS_MES,DATE(ANO_SEL,MES_SEL,A16),"")</f>
        <v/>
      </c>
      <c r="C16" s="102">
        <f>IF(B16="","",CHOOSE(WEEKDAY(B16,2),"seg","ter","qua","qui","sex","sáb","dom"))</f>
        <v/>
      </c>
      <c r="D16" s="84">
        <f>IF(B16="","",SUMIFS(L_VALOR,L_TIPO,"Receita",L_DATA,B16))</f>
        <v/>
      </c>
      <c r="E16" s="84">
        <f>IF(B16="","",SUMIFS(L_VALOR,L_TIPO,"Despesa",L_DATA,B16))</f>
        <v/>
      </c>
      <c r="F16" s="84">
        <f>IF(B16="","",D16-E16)</f>
        <v/>
      </c>
      <c r="G16" s="85">
        <f>IF(B16="","",N(G15)+F16)</f>
        <v/>
      </c>
      <c r="I16" s="97" t="n">
        <v>6</v>
      </c>
      <c r="J16" s="91">
        <f>IF($O16&lt;=0,"",IFERROR(INDEX(L_DATA,(ROUND((O16-ROUND(O16,2))*10000000,0)-5)),""))</f>
        <v/>
      </c>
      <c r="K16" s="75">
        <f>IF($O16&lt;=0,"",IFERROR(INDEX(L_DESC,(ROUND((O16-ROUND(O16,2))*10000000,0)-5)),""))</f>
        <v/>
      </c>
      <c r="L16" s="75">
        <f>IF($O16&lt;=0,"",IFERROR(INDEX(L_CAT,(ROUND((O16-ROUND(O16,2))*10000000,0)-5)),""))</f>
        <v/>
      </c>
      <c r="M16" s="85">
        <f>IF($O16&lt;=0,"",ROUND($O16,2))</f>
        <v/>
      </c>
      <c r="N16" s="86">
        <f>IF(OR($O16&lt;=0,INDEX(FLUXO_DESPESAS,MES_SEL)=0),"",M16/INDEX(FLUXO_DESPESAS,MES_SEL))</f>
        <v/>
      </c>
      <c r="O16" s="105">
        <f>SUMPRODUCT(LARGE((L_TIPO="Despesa")*(L_DATA&gt;=INI_MES)*(L_DATA&lt;=FIM_MES)*(ROUND(L_VALOR,2)+ROW(L_VALOR)/10000000),6))</f>
        <v/>
      </c>
    </row>
    <row r="17">
      <c r="A17" s="97" t="n">
        <v>7</v>
      </c>
      <c r="B17" s="91">
        <f>IF(A17&lt;=DIAS_MES,DATE(ANO_SEL,MES_SEL,A17),"")</f>
        <v/>
      </c>
      <c r="C17" s="102">
        <f>IF(B17="","",CHOOSE(WEEKDAY(B17,2),"seg","ter","qua","qui","sex","sáb","dom"))</f>
        <v/>
      </c>
      <c r="D17" s="84">
        <f>IF(B17="","",SUMIFS(L_VALOR,L_TIPO,"Receita",L_DATA,B17))</f>
        <v/>
      </c>
      <c r="E17" s="84">
        <f>IF(B17="","",SUMIFS(L_VALOR,L_TIPO,"Despesa",L_DATA,B17))</f>
        <v/>
      </c>
      <c r="F17" s="84">
        <f>IF(B17="","",D17-E17)</f>
        <v/>
      </c>
      <c r="G17" s="85">
        <f>IF(B17="","",N(G16)+F17)</f>
        <v/>
      </c>
      <c r="I17" s="97" t="n">
        <v>7</v>
      </c>
      <c r="J17" s="91">
        <f>IF($O17&lt;=0,"",IFERROR(INDEX(L_DATA,(ROUND((O17-ROUND(O17,2))*10000000,0)-5)),""))</f>
        <v/>
      </c>
      <c r="K17" s="75">
        <f>IF($O17&lt;=0,"",IFERROR(INDEX(L_DESC,(ROUND((O17-ROUND(O17,2))*10000000,0)-5)),""))</f>
        <v/>
      </c>
      <c r="L17" s="75">
        <f>IF($O17&lt;=0,"",IFERROR(INDEX(L_CAT,(ROUND((O17-ROUND(O17,2))*10000000,0)-5)),""))</f>
        <v/>
      </c>
      <c r="M17" s="85">
        <f>IF($O17&lt;=0,"",ROUND($O17,2))</f>
        <v/>
      </c>
      <c r="N17" s="86">
        <f>IF(OR($O17&lt;=0,INDEX(FLUXO_DESPESAS,MES_SEL)=0),"",M17/INDEX(FLUXO_DESPESAS,MES_SEL))</f>
        <v/>
      </c>
      <c r="O17" s="105">
        <f>SUMPRODUCT(LARGE((L_TIPO="Despesa")*(L_DATA&gt;=INI_MES)*(L_DATA&lt;=FIM_MES)*(ROUND(L_VALOR,2)+ROW(L_VALOR)/10000000),7))</f>
        <v/>
      </c>
    </row>
    <row r="18">
      <c r="A18" s="97" t="n">
        <v>8</v>
      </c>
      <c r="B18" s="91">
        <f>IF(A18&lt;=DIAS_MES,DATE(ANO_SEL,MES_SEL,A18),"")</f>
        <v/>
      </c>
      <c r="C18" s="102">
        <f>IF(B18="","",CHOOSE(WEEKDAY(B18,2),"seg","ter","qua","qui","sex","sáb","dom"))</f>
        <v/>
      </c>
      <c r="D18" s="84">
        <f>IF(B18="","",SUMIFS(L_VALOR,L_TIPO,"Receita",L_DATA,B18))</f>
        <v/>
      </c>
      <c r="E18" s="84">
        <f>IF(B18="","",SUMIFS(L_VALOR,L_TIPO,"Despesa",L_DATA,B18))</f>
        <v/>
      </c>
      <c r="F18" s="84">
        <f>IF(B18="","",D18-E18)</f>
        <v/>
      </c>
      <c r="G18" s="85">
        <f>IF(B18="","",N(G17)+F18)</f>
        <v/>
      </c>
      <c r="I18" s="97" t="n">
        <v>8</v>
      </c>
      <c r="J18" s="91">
        <f>IF($O18&lt;=0,"",IFERROR(INDEX(L_DATA,(ROUND((O18-ROUND(O18,2))*10000000,0)-5)),""))</f>
        <v/>
      </c>
      <c r="K18" s="75">
        <f>IF($O18&lt;=0,"",IFERROR(INDEX(L_DESC,(ROUND((O18-ROUND(O18,2))*10000000,0)-5)),""))</f>
        <v/>
      </c>
      <c r="L18" s="75">
        <f>IF($O18&lt;=0,"",IFERROR(INDEX(L_CAT,(ROUND((O18-ROUND(O18,2))*10000000,0)-5)),""))</f>
        <v/>
      </c>
      <c r="M18" s="85">
        <f>IF($O18&lt;=0,"",ROUND($O18,2))</f>
        <v/>
      </c>
      <c r="N18" s="86">
        <f>IF(OR($O18&lt;=0,INDEX(FLUXO_DESPESAS,MES_SEL)=0),"",M18/INDEX(FLUXO_DESPESAS,MES_SEL))</f>
        <v/>
      </c>
      <c r="O18" s="105">
        <f>SUMPRODUCT(LARGE((L_TIPO="Despesa")*(L_DATA&gt;=INI_MES)*(L_DATA&lt;=FIM_MES)*(ROUND(L_VALOR,2)+ROW(L_VALOR)/10000000),8))</f>
        <v/>
      </c>
    </row>
    <row r="19">
      <c r="A19" s="97" t="n">
        <v>9</v>
      </c>
      <c r="B19" s="91">
        <f>IF(A19&lt;=DIAS_MES,DATE(ANO_SEL,MES_SEL,A19),"")</f>
        <v/>
      </c>
      <c r="C19" s="102">
        <f>IF(B19="","",CHOOSE(WEEKDAY(B19,2),"seg","ter","qua","qui","sex","sáb","dom"))</f>
        <v/>
      </c>
      <c r="D19" s="84">
        <f>IF(B19="","",SUMIFS(L_VALOR,L_TIPO,"Receita",L_DATA,B19))</f>
        <v/>
      </c>
      <c r="E19" s="84">
        <f>IF(B19="","",SUMIFS(L_VALOR,L_TIPO,"Despesa",L_DATA,B19))</f>
        <v/>
      </c>
      <c r="F19" s="84">
        <f>IF(B19="","",D19-E19)</f>
        <v/>
      </c>
      <c r="G19" s="85">
        <f>IF(B19="","",N(G18)+F19)</f>
        <v/>
      </c>
      <c r="I19" s="97" t="n">
        <v>9</v>
      </c>
      <c r="J19" s="91">
        <f>IF($O19&lt;=0,"",IFERROR(INDEX(L_DATA,(ROUND((O19-ROUND(O19,2))*10000000,0)-5)),""))</f>
        <v/>
      </c>
      <c r="K19" s="75">
        <f>IF($O19&lt;=0,"",IFERROR(INDEX(L_DESC,(ROUND((O19-ROUND(O19,2))*10000000,0)-5)),""))</f>
        <v/>
      </c>
      <c r="L19" s="75">
        <f>IF($O19&lt;=0,"",IFERROR(INDEX(L_CAT,(ROUND((O19-ROUND(O19,2))*10000000,0)-5)),""))</f>
        <v/>
      </c>
      <c r="M19" s="85">
        <f>IF($O19&lt;=0,"",ROUND($O19,2))</f>
        <v/>
      </c>
      <c r="N19" s="86">
        <f>IF(OR($O19&lt;=0,INDEX(FLUXO_DESPESAS,MES_SEL)=0),"",M19/INDEX(FLUXO_DESPESAS,MES_SEL))</f>
        <v/>
      </c>
      <c r="O19" s="105">
        <f>SUMPRODUCT(LARGE((L_TIPO="Despesa")*(L_DATA&gt;=INI_MES)*(L_DATA&lt;=FIM_MES)*(ROUND(L_VALOR,2)+ROW(L_VALOR)/10000000),9))</f>
        <v/>
      </c>
    </row>
    <row r="20">
      <c r="A20" s="97" t="n">
        <v>10</v>
      </c>
      <c r="B20" s="91">
        <f>IF(A20&lt;=DIAS_MES,DATE(ANO_SEL,MES_SEL,A20),"")</f>
        <v/>
      </c>
      <c r="C20" s="102">
        <f>IF(B20="","",CHOOSE(WEEKDAY(B20,2),"seg","ter","qua","qui","sex","sáb","dom"))</f>
        <v/>
      </c>
      <c r="D20" s="84">
        <f>IF(B20="","",SUMIFS(L_VALOR,L_TIPO,"Receita",L_DATA,B20))</f>
        <v/>
      </c>
      <c r="E20" s="84">
        <f>IF(B20="","",SUMIFS(L_VALOR,L_TIPO,"Despesa",L_DATA,B20))</f>
        <v/>
      </c>
      <c r="F20" s="84">
        <f>IF(B20="","",D20-E20)</f>
        <v/>
      </c>
      <c r="G20" s="85">
        <f>IF(B20="","",N(G19)+F20)</f>
        <v/>
      </c>
      <c r="I20" s="97" t="n">
        <v>10</v>
      </c>
      <c r="J20" s="91">
        <f>IF($O20&lt;=0,"",IFERROR(INDEX(L_DATA,(ROUND((O20-ROUND(O20,2))*10000000,0)-5)),""))</f>
        <v/>
      </c>
      <c r="K20" s="75">
        <f>IF($O20&lt;=0,"",IFERROR(INDEX(L_DESC,(ROUND((O20-ROUND(O20,2))*10000000,0)-5)),""))</f>
        <v/>
      </c>
      <c r="L20" s="75">
        <f>IF($O20&lt;=0,"",IFERROR(INDEX(L_CAT,(ROUND((O20-ROUND(O20,2))*10000000,0)-5)),""))</f>
        <v/>
      </c>
      <c r="M20" s="85">
        <f>IF($O20&lt;=0,"",ROUND($O20,2))</f>
        <v/>
      </c>
      <c r="N20" s="86">
        <f>IF(OR($O20&lt;=0,INDEX(FLUXO_DESPESAS,MES_SEL)=0),"",M20/INDEX(FLUXO_DESPESAS,MES_SEL))</f>
        <v/>
      </c>
      <c r="O20" s="105">
        <f>SUMPRODUCT(LARGE((L_TIPO="Despesa")*(L_DATA&gt;=INI_MES)*(L_DATA&lt;=FIM_MES)*(ROUND(L_VALOR,2)+ROW(L_VALOR)/10000000),10))</f>
        <v/>
      </c>
    </row>
    <row r="21">
      <c r="A21" s="97" t="n">
        <v>11</v>
      </c>
      <c r="B21" s="91">
        <f>IF(A21&lt;=DIAS_MES,DATE(ANO_SEL,MES_SEL,A21),"")</f>
        <v/>
      </c>
      <c r="C21" s="102">
        <f>IF(B21="","",CHOOSE(WEEKDAY(B21,2),"seg","ter","qua","qui","sex","sáb","dom"))</f>
        <v/>
      </c>
      <c r="D21" s="84">
        <f>IF(B21="","",SUMIFS(L_VALOR,L_TIPO,"Receita",L_DATA,B21))</f>
        <v/>
      </c>
      <c r="E21" s="84">
        <f>IF(B21="","",SUMIFS(L_VALOR,L_TIPO,"Despesa",L_DATA,B21))</f>
        <v/>
      </c>
      <c r="F21" s="84">
        <f>IF(B21="","",D21-E21)</f>
        <v/>
      </c>
      <c r="G21" s="85">
        <f>IF(B21="","",N(G20)+F21)</f>
        <v/>
      </c>
    </row>
    <row r="22">
      <c r="A22" s="97" t="n">
        <v>12</v>
      </c>
      <c r="B22" s="91">
        <f>IF(A22&lt;=DIAS_MES,DATE(ANO_SEL,MES_SEL,A22),"")</f>
        <v/>
      </c>
      <c r="C22" s="102">
        <f>IF(B22="","",CHOOSE(WEEKDAY(B22,2),"seg","ter","qua","qui","sex","sáb","dom"))</f>
        <v/>
      </c>
      <c r="D22" s="84">
        <f>IF(B22="","",SUMIFS(L_VALOR,L_TIPO,"Receita",L_DATA,B22))</f>
        <v/>
      </c>
      <c r="E22" s="84">
        <f>IF(B22="","",SUMIFS(L_VALOR,L_TIPO,"Despesa",L_DATA,B22))</f>
        <v/>
      </c>
      <c r="F22" s="84">
        <f>IF(B22="","",D22-E22)</f>
        <v/>
      </c>
      <c r="G22" s="85">
        <f>IF(B22="","",N(G21)+F22)</f>
        <v/>
      </c>
    </row>
    <row r="23">
      <c r="A23" s="97" t="n">
        <v>13</v>
      </c>
      <c r="B23" s="91">
        <f>IF(A23&lt;=DIAS_MES,DATE(ANO_SEL,MES_SEL,A23),"")</f>
        <v/>
      </c>
      <c r="C23" s="102">
        <f>IF(B23="","",CHOOSE(WEEKDAY(B23,2),"seg","ter","qua","qui","sex","sáb","dom"))</f>
        <v/>
      </c>
      <c r="D23" s="84">
        <f>IF(B23="","",SUMIFS(L_VALOR,L_TIPO,"Receita",L_DATA,B23))</f>
        <v/>
      </c>
      <c r="E23" s="84">
        <f>IF(B23="","",SUMIFS(L_VALOR,L_TIPO,"Despesa",L_DATA,B23))</f>
        <v/>
      </c>
      <c r="F23" s="84">
        <f>IF(B23="","",D23-E23)</f>
        <v/>
      </c>
      <c r="G23" s="85">
        <f>IF(B23="","",N(G22)+F23)</f>
        <v/>
      </c>
    </row>
    <row r="24">
      <c r="A24" s="97" t="n">
        <v>14</v>
      </c>
      <c r="B24" s="91">
        <f>IF(A24&lt;=DIAS_MES,DATE(ANO_SEL,MES_SEL,A24),"")</f>
        <v/>
      </c>
      <c r="C24" s="102">
        <f>IF(B24="","",CHOOSE(WEEKDAY(B24,2),"seg","ter","qua","qui","sex","sáb","dom"))</f>
        <v/>
      </c>
      <c r="D24" s="84">
        <f>IF(B24="","",SUMIFS(L_VALOR,L_TIPO,"Receita",L_DATA,B24))</f>
        <v/>
      </c>
      <c r="E24" s="84">
        <f>IF(B24="","",SUMIFS(L_VALOR,L_TIPO,"Despesa",L_DATA,B24))</f>
        <v/>
      </c>
      <c r="F24" s="84">
        <f>IF(B24="","",D24-E24)</f>
        <v/>
      </c>
      <c r="G24" s="85">
        <f>IF(B24="","",N(G23)+F24)</f>
        <v/>
      </c>
    </row>
    <row r="25">
      <c r="A25" s="97" t="n">
        <v>15</v>
      </c>
      <c r="B25" s="91">
        <f>IF(A25&lt;=DIAS_MES,DATE(ANO_SEL,MES_SEL,A25),"")</f>
        <v/>
      </c>
      <c r="C25" s="102">
        <f>IF(B25="","",CHOOSE(WEEKDAY(B25,2),"seg","ter","qua","qui","sex","sáb","dom"))</f>
        <v/>
      </c>
      <c r="D25" s="84">
        <f>IF(B25="","",SUMIFS(L_VALOR,L_TIPO,"Receita",L_DATA,B25))</f>
        <v/>
      </c>
      <c r="E25" s="84">
        <f>IF(B25="","",SUMIFS(L_VALOR,L_TIPO,"Despesa",L_DATA,B25))</f>
        <v/>
      </c>
      <c r="F25" s="84">
        <f>IF(B25="","",D25-E25)</f>
        <v/>
      </c>
      <c r="G25" s="85">
        <f>IF(B25="","",N(G24)+F25)</f>
        <v/>
      </c>
    </row>
    <row r="26">
      <c r="A26" s="97" t="n">
        <v>16</v>
      </c>
      <c r="B26" s="91">
        <f>IF(A26&lt;=DIAS_MES,DATE(ANO_SEL,MES_SEL,A26),"")</f>
        <v/>
      </c>
      <c r="C26" s="102">
        <f>IF(B26="","",CHOOSE(WEEKDAY(B26,2),"seg","ter","qua","qui","sex","sáb","dom"))</f>
        <v/>
      </c>
      <c r="D26" s="84">
        <f>IF(B26="","",SUMIFS(L_VALOR,L_TIPO,"Receita",L_DATA,B26))</f>
        <v/>
      </c>
      <c r="E26" s="84">
        <f>IF(B26="","",SUMIFS(L_VALOR,L_TIPO,"Despesa",L_DATA,B26))</f>
        <v/>
      </c>
      <c r="F26" s="84">
        <f>IF(B26="","",D26-E26)</f>
        <v/>
      </c>
      <c r="G26" s="85">
        <f>IF(B26="","",N(G25)+F26)</f>
        <v/>
      </c>
    </row>
    <row r="27">
      <c r="A27" s="97" t="n">
        <v>17</v>
      </c>
      <c r="B27" s="91">
        <f>IF(A27&lt;=DIAS_MES,DATE(ANO_SEL,MES_SEL,A27),"")</f>
        <v/>
      </c>
      <c r="C27" s="102">
        <f>IF(B27="","",CHOOSE(WEEKDAY(B27,2),"seg","ter","qua","qui","sex","sáb","dom"))</f>
        <v/>
      </c>
      <c r="D27" s="84">
        <f>IF(B27="","",SUMIFS(L_VALOR,L_TIPO,"Receita",L_DATA,B27))</f>
        <v/>
      </c>
      <c r="E27" s="84">
        <f>IF(B27="","",SUMIFS(L_VALOR,L_TIPO,"Despesa",L_DATA,B27))</f>
        <v/>
      </c>
      <c r="F27" s="84">
        <f>IF(B27="","",D27-E27)</f>
        <v/>
      </c>
      <c r="G27" s="85">
        <f>IF(B27="","",N(G26)+F27)</f>
        <v/>
      </c>
    </row>
    <row r="28">
      <c r="A28" s="97" t="n">
        <v>18</v>
      </c>
      <c r="B28" s="91">
        <f>IF(A28&lt;=DIAS_MES,DATE(ANO_SEL,MES_SEL,A28),"")</f>
        <v/>
      </c>
      <c r="C28" s="102">
        <f>IF(B28="","",CHOOSE(WEEKDAY(B28,2),"seg","ter","qua","qui","sex","sáb","dom"))</f>
        <v/>
      </c>
      <c r="D28" s="84">
        <f>IF(B28="","",SUMIFS(L_VALOR,L_TIPO,"Receita",L_DATA,B28))</f>
        <v/>
      </c>
      <c r="E28" s="84">
        <f>IF(B28="","",SUMIFS(L_VALOR,L_TIPO,"Despesa",L_DATA,B28))</f>
        <v/>
      </c>
      <c r="F28" s="84">
        <f>IF(B28="","",D28-E28)</f>
        <v/>
      </c>
      <c r="G28" s="85">
        <f>IF(B28="","",N(G27)+F28)</f>
        <v/>
      </c>
    </row>
    <row r="29">
      <c r="A29" s="97" t="n">
        <v>19</v>
      </c>
      <c r="B29" s="91">
        <f>IF(A29&lt;=DIAS_MES,DATE(ANO_SEL,MES_SEL,A29),"")</f>
        <v/>
      </c>
      <c r="C29" s="102">
        <f>IF(B29="","",CHOOSE(WEEKDAY(B29,2),"seg","ter","qua","qui","sex","sáb","dom"))</f>
        <v/>
      </c>
      <c r="D29" s="84">
        <f>IF(B29="","",SUMIFS(L_VALOR,L_TIPO,"Receita",L_DATA,B29))</f>
        <v/>
      </c>
      <c r="E29" s="84">
        <f>IF(B29="","",SUMIFS(L_VALOR,L_TIPO,"Despesa",L_DATA,B29))</f>
        <v/>
      </c>
      <c r="F29" s="84">
        <f>IF(B29="","",D29-E29)</f>
        <v/>
      </c>
      <c r="G29" s="85">
        <f>IF(B29="","",N(G28)+F29)</f>
        <v/>
      </c>
    </row>
    <row r="30">
      <c r="A30" s="97" t="n">
        <v>20</v>
      </c>
      <c r="B30" s="91">
        <f>IF(A30&lt;=DIAS_MES,DATE(ANO_SEL,MES_SEL,A30),"")</f>
        <v/>
      </c>
      <c r="C30" s="102">
        <f>IF(B30="","",CHOOSE(WEEKDAY(B30,2),"seg","ter","qua","qui","sex","sáb","dom"))</f>
        <v/>
      </c>
      <c r="D30" s="84">
        <f>IF(B30="","",SUMIFS(L_VALOR,L_TIPO,"Receita",L_DATA,B30))</f>
        <v/>
      </c>
      <c r="E30" s="84">
        <f>IF(B30="","",SUMIFS(L_VALOR,L_TIPO,"Despesa",L_DATA,B30))</f>
        <v/>
      </c>
      <c r="F30" s="84">
        <f>IF(B30="","",D30-E30)</f>
        <v/>
      </c>
      <c r="G30" s="85">
        <f>IF(B30="","",N(G29)+F30)</f>
        <v/>
      </c>
    </row>
    <row r="31">
      <c r="A31" s="97" t="n">
        <v>21</v>
      </c>
      <c r="B31" s="91">
        <f>IF(A31&lt;=DIAS_MES,DATE(ANO_SEL,MES_SEL,A31),"")</f>
        <v/>
      </c>
      <c r="C31" s="102">
        <f>IF(B31="","",CHOOSE(WEEKDAY(B31,2),"seg","ter","qua","qui","sex","sáb","dom"))</f>
        <v/>
      </c>
      <c r="D31" s="84">
        <f>IF(B31="","",SUMIFS(L_VALOR,L_TIPO,"Receita",L_DATA,B31))</f>
        <v/>
      </c>
      <c r="E31" s="84">
        <f>IF(B31="","",SUMIFS(L_VALOR,L_TIPO,"Despesa",L_DATA,B31))</f>
        <v/>
      </c>
      <c r="F31" s="84">
        <f>IF(B31="","",D31-E31)</f>
        <v/>
      </c>
      <c r="G31" s="85">
        <f>IF(B31="","",N(G30)+F31)</f>
        <v/>
      </c>
    </row>
    <row r="32">
      <c r="A32" s="97" t="n">
        <v>22</v>
      </c>
      <c r="B32" s="91">
        <f>IF(A32&lt;=DIAS_MES,DATE(ANO_SEL,MES_SEL,A32),"")</f>
        <v/>
      </c>
      <c r="C32" s="102">
        <f>IF(B32="","",CHOOSE(WEEKDAY(B32,2),"seg","ter","qua","qui","sex","sáb","dom"))</f>
        <v/>
      </c>
      <c r="D32" s="84">
        <f>IF(B32="","",SUMIFS(L_VALOR,L_TIPO,"Receita",L_DATA,B32))</f>
        <v/>
      </c>
      <c r="E32" s="84">
        <f>IF(B32="","",SUMIFS(L_VALOR,L_TIPO,"Despesa",L_DATA,B32))</f>
        <v/>
      </c>
      <c r="F32" s="84">
        <f>IF(B32="","",D32-E32)</f>
        <v/>
      </c>
      <c r="G32" s="85">
        <f>IF(B32="","",N(G31)+F32)</f>
        <v/>
      </c>
    </row>
    <row r="33">
      <c r="A33" s="97" t="n">
        <v>23</v>
      </c>
      <c r="B33" s="91">
        <f>IF(A33&lt;=DIAS_MES,DATE(ANO_SEL,MES_SEL,A33),"")</f>
        <v/>
      </c>
      <c r="C33" s="102">
        <f>IF(B33="","",CHOOSE(WEEKDAY(B33,2),"seg","ter","qua","qui","sex","sáb","dom"))</f>
        <v/>
      </c>
      <c r="D33" s="84">
        <f>IF(B33="","",SUMIFS(L_VALOR,L_TIPO,"Receita",L_DATA,B33))</f>
        <v/>
      </c>
      <c r="E33" s="84">
        <f>IF(B33="","",SUMIFS(L_VALOR,L_TIPO,"Despesa",L_DATA,B33))</f>
        <v/>
      </c>
      <c r="F33" s="84">
        <f>IF(B33="","",D33-E33)</f>
        <v/>
      </c>
      <c r="G33" s="85">
        <f>IF(B33="","",N(G32)+F33)</f>
        <v/>
      </c>
    </row>
    <row r="34">
      <c r="A34" s="97" t="n">
        <v>24</v>
      </c>
      <c r="B34" s="91">
        <f>IF(A34&lt;=DIAS_MES,DATE(ANO_SEL,MES_SEL,A34),"")</f>
        <v/>
      </c>
      <c r="C34" s="102">
        <f>IF(B34="","",CHOOSE(WEEKDAY(B34,2),"seg","ter","qua","qui","sex","sáb","dom"))</f>
        <v/>
      </c>
      <c r="D34" s="84">
        <f>IF(B34="","",SUMIFS(L_VALOR,L_TIPO,"Receita",L_DATA,B34))</f>
        <v/>
      </c>
      <c r="E34" s="84">
        <f>IF(B34="","",SUMIFS(L_VALOR,L_TIPO,"Despesa",L_DATA,B34))</f>
        <v/>
      </c>
      <c r="F34" s="84">
        <f>IF(B34="","",D34-E34)</f>
        <v/>
      </c>
      <c r="G34" s="85">
        <f>IF(B34="","",N(G33)+F34)</f>
        <v/>
      </c>
    </row>
    <row r="35">
      <c r="A35" s="97" t="n">
        <v>25</v>
      </c>
      <c r="B35" s="91">
        <f>IF(A35&lt;=DIAS_MES,DATE(ANO_SEL,MES_SEL,A35),"")</f>
        <v/>
      </c>
      <c r="C35" s="102">
        <f>IF(B35="","",CHOOSE(WEEKDAY(B35,2),"seg","ter","qua","qui","sex","sáb","dom"))</f>
        <v/>
      </c>
      <c r="D35" s="84">
        <f>IF(B35="","",SUMIFS(L_VALOR,L_TIPO,"Receita",L_DATA,B35))</f>
        <v/>
      </c>
      <c r="E35" s="84">
        <f>IF(B35="","",SUMIFS(L_VALOR,L_TIPO,"Despesa",L_DATA,B35))</f>
        <v/>
      </c>
      <c r="F35" s="84">
        <f>IF(B35="","",D35-E35)</f>
        <v/>
      </c>
      <c r="G35" s="85">
        <f>IF(B35="","",N(G34)+F35)</f>
        <v/>
      </c>
    </row>
    <row r="36">
      <c r="A36" s="97" t="n">
        <v>26</v>
      </c>
      <c r="B36" s="91">
        <f>IF(A36&lt;=DIAS_MES,DATE(ANO_SEL,MES_SEL,A36),"")</f>
        <v/>
      </c>
      <c r="C36" s="102">
        <f>IF(B36="","",CHOOSE(WEEKDAY(B36,2),"seg","ter","qua","qui","sex","sáb","dom"))</f>
        <v/>
      </c>
      <c r="D36" s="84">
        <f>IF(B36="","",SUMIFS(L_VALOR,L_TIPO,"Receita",L_DATA,B36))</f>
        <v/>
      </c>
      <c r="E36" s="84">
        <f>IF(B36="","",SUMIFS(L_VALOR,L_TIPO,"Despesa",L_DATA,B36))</f>
        <v/>
      </c>
      <c r="F36" s="84">
        <f>IF(B36="","",D36-E36)</f>
        <v/>
      </c>
      <c r="G36" s="85">
        <f>IF(B36="","",N(G35)+F36)</f>
        <v/>
      </c>
    </row>
    <row r="37">
      <c r="A37" s="97" t="n">
        <v>27</v>
      </c>
      <c r="B37" s="91">
        <f>IF(A37&lt;=DIAS_MES,DATE(ANO_SEL,MES_SEL,A37),"")</f>
        <v/>
      </c>
      <c r="C37" s="102">
        <f>IF(B37="","",CHOOSE(WEEKDAY(B37,2),"seg","ter","qua","qui","sex","sáb","dom"))</f>
        <v/>
      </c>
      <c r="D37" s="84">
        <f>IF(B37="","",SUMIFS(L_VALOR,L_TIPO,"Receita",L_DATA,B37))</f>
        <v/>
      </c>
      <c r="E37" s="84">
        <f>IF(B37="","",SUMIFS(L_VALOR,L_TIPO,"Despesa",L_DATA,B37))</f>
        <v/>
      </c>
      <c r="F37" s="84">
        <f>IF(B37="","",D37-E37)</f>
        <v/>
      </c>
      <c r="G37" s="85">
        <f>IF(B37="","",N(G36)+F37)</f>
        <v/>
      </c>
    </row>
    <row r="38">
      <c r="A38" s="97" t="n">
        <v>28</v>
      </c>
      <c r="B38" s="91">
        <f>IF(A38&lt;=DIAS_MES,DATE(ANO_SEL,MES_SEL,A38),"")</f>
        <v/>
      </c>
      <c r="C38" s="102">
        <f>IF(B38="","",CHOOSE(WEEKDAY(B38,2),"seg","ter","qua","qui","sex","sáb","dom"))</f>
        <v/>
      </c>
      <c r="D38" s="84">
        <f>IF(B38="","",SUMIFS(L_VALOR,L_TIPO,"Receita",L_DATA,B38))</f>
        <v/>
      </c>
      <c r="E38" s="84">
        <f>IF(B38="","",SUMIFS(L_VALOR,L_TIPO,"Despesa",L_DATA,B38))</f>
        <v/>
      </c>
      <c r="F38" s="84">
        <f>IF(B38="","",D38-E38)</f>
        <v/>
      </c>
      <c r="G38" s="85">
        <f>IF(B38="","",N(G37)+F38)</f>
        <v/>
      </c>
    </row>
    <row r="39">
      <c r="A39" s="97" t="n">
        <v>29</v>
      </c>
      <c r="B39" s="91">
        <f>IF(A39&lt;=DIAS_MES,DATE(ANO_SEL,MES_SEL,A39),"")</f>
        <v/>
      </c>
      <c r="C39" s="102">
        <f>IF(B39="","",CHOOSE(WEEKDAY(B39,2),"seg","ter","qua","qui","sex","sáb","dom"))</f>
        <v/>
      </c>
      <c r="D39" s="84">
        <f>IF(B39="","",SUMIFS(L_VALOR,L_TIPO,"Receita",L_DATA,B39))</f>
        <v/>
      </c>
      <c r="E39" s="84">
        <f>IF(B39="","",SUMIFS(L_VALOR,L_TIPO,"Despesa",L_DATA,B39))</f>
        <v/>
      </c>
      <c r="F39" s="84">
        <f>IF(B39="","",D39-E39)</f>
        <v/>
      </c>
      <c r="G39" s="85">
        <f>IF(B39="","",N(G38)+F39)</f>
        <v/>
      </c>
    </row>
    <row r="40">
      <c r="A40" s="97" t="n">
        <v>30</v>
      </c>
      <c r="B40" s="91">
        <f>IF(A40&lt;=DIAS_MES,DATE(ANO_SEL,MES_SEL,A40),"")</f>
        <v/>
      </c>
      <c r="C40" s="102">
        <f>IF(B40="","",CHOOSE(WEEKDAY(B40,2),"seg","ter","qua","qui","sex","sáb","dom"))</f>
        <v/>
      </c>
      <c r="D40" s="84">
        <f>IF(B40="","",SUMIFS(L_VALOR,L_TIPO,"Receita",L_DATA,B40))</f>
        <v/>
      </c>
      <c r="E40" s="84">
        <f>IF(B40="","",SUMIFS(L_VALOR,L_TIPO,"Despesa",L_DATA,B40))</f>
        <v/>
      </c>
      <c r="F40" s="84">
        <f>IF(B40="","",D40-E40)</f>
        <v/>
      </c>
      <c r="G40" s="85">
        <f>IF(B40="","",N(G39)+F40)</f>
        <v/>
      </c>
    </row>
    <row r="41">
      <c r="A41" s="97" t="n">
        <v>31</v>
      </c>
      <c r="B41" s="91">
        <f>IF(A41&lt;=DIAS_MES,DATE(ANO_SEL,MES_SEL,A41),"")</f>
        <v/>
      </c>
      <c r="C41" s="102">
        <f>IF(B41="","",CHOOSE(WEEKDAY(B41,2),"seg","ter","qua","qui","sex","sáb","dom"))</f>
        <v/>
      </c>
      <c r="D41" s="84">
        <f>IF(B41="","",SUMIFS(L_VALOR,L_TIPO,"Receita",L_DATA,B41))</f>
        <v/>
      </c>
      <c r="E41" s="84">
        <f>IF(B41="","",SUMIFS(L_VALOR,L_TIPO,"Despesa",L_DATA,B41))</f>
        <v/>
      </c>
      <c r="F41" s="84">
        <f>IF(B41="","",D41-E41)</f>
        <v/>
      </c>
      <c r="G41" s="85">
        <f>IF(B41="","",N(G40)+F41)</f>
        <v/>
      </c>
    </row>
    <row r="42">
      <c r="A42" s="87" t="inlineStr">
        <is>
          <t>Total</t>
        </is>
      </c>
      <c r="B42" s="88" t="n"/>
      <c r="C42" s="88" t="n"/>
      <c r="D42" s="88">
        <f>SUM(D11:D41)</f>
        <v/>
      </c>
      <c r="E42" s="88">
        <f>SUM(E11:E41)</f>
        <v/>
      </c>
      <c r="F42" s="88">
        <f>SUM(F11:F41)</f>
        <v/>
      </c>
      <c r="G42" s="88" t="n"/>
    </row>
    <row r="43">
      <c r="A43" s="59" t="inlineStr">
        <is>
          <t>As parcelas dos cartões (aba Parcelados) não têm um dia próprio e por isso não aparecem aqui; elas estão no total do mês do Painel.</t>
        </is>
      </c>
    </row>
  </sheetData>
  <mergeCells count="8">
    <mergeCell ref="D6:E6"/>
    <mergeCell ref="I6:J6"/>
    <mergeCell ref="A5:C5"/>
    <mergeCell ref="F5:G5"/>
    <mergeCell ref="D5:E5"/>
    <mergeCell ref="A6:C6"/>
    <mergeCell ref="F6:G6"/>
    <mergeCell ref="I5:J5"/>
  </mergeCells>
  <conditionalFormatting sqref="A11:G41">
    <cfRule type="expression" priority="1" dxfId="20">
      <formula>OR($C11="sáb",$C11="dom")</formula>
    </cfRule>
    <cfRule type="expression" priority="2" dxfId="21">
      <formula>$B11=HOJE</formula>
    </cfRule>
  </conditionalFormatting>
  <conditionalFormatting sqref="E11:E41">
    <cfRule type="dataBar" priority="3">
      <dataBar showValue="1">
        <cfvo type="num" val="0"/>
        <cfvo type="max"/>
        <color rgb="00FF9F6B"/>
      </dataBar>
    </cfRule>
  </conditionalFormatting>
  <conditionalFormatting sqref="G11:G41">
    <cfRule type="expression" priority="4" dxfId="11">
      <formula>AND(ISNUMBER(G11),G11&lt;0)</formula>
    </cfRule>
  </conditionalFormatting>
  <conditionalFormatting sqref="M11:M20">
    <cfRule type="dataBar" priority="5">
      <dataBar showValue="1">
        <cfvo type="num" val="0"/>
        <cfvo type="max"/>
        <color rgb="00FF6B2B"/>
      </dataBar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N57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" customWidth="1" min="2" max="2"/>
    <col width="30" customWidth="1" min="3" max="3"/>
    <col width="15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64" t="inlineStr">
        <is>
          <t>Recorrentes e previsão</t>
        </is>
      </c>
    </row>
    <row r="2">
      <c r="A2" s="65" t="inlineStr">
        <is>
          <t>Cadastre o que se repete todo mês. A planilha soma com as parcelas dos cartões e projeta o saldo dos próximos 12 meses.</t>
        </is>
      </c>
    </row>
    <row r="4">
      <c r="A4" s="5" t="inlineStr">
        <is>
          <t>Previsão dos próximos 12 meses (a partir do mês seguinte ao analisado)</t>
        </is>
      </c>
    </row>
    <row r="5" ht="28" customHeight="1">
      <c r="A5" s="44" t="inlineStr">
        <is>
          <t>Linha</t>
        </is>
      </c>
      <c r="B5" s="92">
        <f>EDATE(INI_MES,1)</f>
        <v/>
      </c>
      <c r="C5" s="92">
        <f>EDATE(B5,1)</f>
        <v/>
      </c>
      <c r="D5" s="92">
        <f>EDATE(C5,1)</f>
        <v/>
      </c>
      <c r="E5" s="92">
        <f>EDATE(D5,1)</f>
        <v/>
      </c>
      <c r="F5" s="92">
        <f>EDATE(E5,1)</f>
        <v/>
      </c>
      <c r="G5" s="92">
        <f>EDATE(F5,1)</f>
        <v/>
      </c>
      <c r="H5" s="92">
        <f>EDATE(G5,1)</f>
        <v/>
      </c>
      <c r="I5" s="92">
        <f>EDATE(H5,1)</f>
        <v/>
      </c>
      <c r="J5" s="92">
        <f>EDATE(I5,1)</f>
        <v/>
      </c>
      <c r="K5" s="92">
        <f>EDATE(J5,1)</f>
        <v/>
      </c>
      <c r="L5" s="92">
        <f>EDATE(K5,1)</f>
        <v/>
      </c>
      <c r="M5" s="92">
        <f>EDATE(L5,1)</f>
        <v/>
      </c>
      <c r="N5" s="44" t="inlineStr">
        <is>
          <t>Total 12 meses</t>
        </is>
      </c>
    </row>
    <row r="6">
      <c r="A6" s="100" t="inlineStr">
        <is>
          <t>Receitas recorrentes</t>
        </is>
      </c>
      <c r="B6" s="84">
        <f>SUMPRODUCT(($B$18:$B$57="Receita")*($D$18:$D$57)*((($F$18:$F$57="")+($F$18:$F$57&lt;=EOMONTH(B$5,0)))&gt;0)*((($G$18:$G$57="")+($G$18:$G$57&gt;=B$5))&gt;0))</f>
        <v/>
      </c>
      <c r="C6" s="84">
        <f>SUMPRODUCT(($B$18:$B$57="Receita")*($D$18:$D$57)*((($F$18:$F$57="")+($F$18:$F$57&lt;=EOMONTH(C$5,0)))&gt;0)*((($G$18:$G$57="")+($G$18:$G$57&gt;=C$5))&gt;0))</f>
        <v/>
      </c>
      <c r="D6" s="84">
        <f>SUMPRODUCT(($B$18:$B$57="Receita")*($D$18:$D$57)*((($F$18:$F$57="")+($F$18:$F$57&lt;=EOMONTH(D$5,0)))&gt;0)*((($G$18:$G$57="")+($G$18:$G$57&gt;=D$5))&gt;0))</f>
        <v/>
      </c>
      <c r="E6" s="84">
        <f>SUMPRODUCT(($B$18:$B$57="Receita")*($D$18:$D$57)*((($F$18:$F$57="")+($F$18:$F$57&lt;=EOMONTH(E$5,0)))&gt;0)*((($G$18:$G$57="")+($G$18:$G$57&gt;=E$5))&gt;0))</f>
        <v/>
      </c>
      <c r="F6" s="84">
        <f>SUMPRODUCT(($B$18:$B$57="Receita")*($D$18:$D$57)*((($F$18:$F$57="")+($F$18:$F$57&lt;=EOMONTH(F$5,0)))&gt;0)*((($G$18:$G$57="")+($G$18:$G$57&gt;=F$5))&gt;0))</f>
        <v/>
      </c>
      <c r="G6" s="84">
        <f>SUMPRODUCT(($B$18:$B$57="Receita")*($D$18:$D$57)*((($F$18:$F$57="")+($F$18:$F$57&lt;=EOMONTH(G$5,0)))&gt;0)*((($G$18:$G$57="")+($G$18:$G$57&gt;=G$5))&gt;0))</f>
        <v/>
      </c>
      <c r="H6" s="84">
        <f>SUMPRODUCT(($B$18:$B$57="Receita")*($D$18:$D$57)*((($F$18:$F$57="")+($F$18:$F$57&lt;=EOMONTH(H$5,0)))&gt;0)*((($G$18:$G$57="")+($G$18:$G$57&gt;=H$5))&gt;0))</f>
        <v/>
      </c>
      <c r="I6" s="84">
        <f>SUMPRODUCT(($B$18:$B$57="Receita")*($D$18:$D$57)*((($F$18:$F$57="")+($F$18:$F$57&lt;=EOMONTH(I$5,0)))&gt;0)*((($G$18:$G$57="")+($G$18:$G$57&gt;=I$5))&gt;0))</f>
        <v/>
      </c>
      <c r="J6" s="84">
        <f>SUMPRODUCT(($B$18:$B$57="Receita")*($D$18:$D$57)*((($F$18:$F$57="")+($F$18:$F$57&lt;=EOMONTH(J$5,0)))&gt;0)*((($G$18:$G$57="")+($G$18:$G$57&gt;=J$5))&gt;0))</f>
        <v/>
      </c>
      <c r="K6" s="84">
        <f>SUMPRODUCT(($B$18:$B$57="Receita")*($D$18:$D$57)*((($F$18:$F$57="")+($F$18:$F$57&lt;=EOMONTH(K$5,0)))&gt;0)*((($G$18:$G$57="")+($G$18:$G$57&gt;=K$5))&gt;0))</f>
        <v/>
      </c>
      <c r="L6" s="84">
        <f>SUMPRODUCT(($B$18:$B$57="Receita")*($D$18:$D$57)*((($F$18:$F$57="")+($F$18:$F$57&lt;=EOMONTH(L$5,0)))&gt;0)*((($G$18:$G$57="")+($G$18:$G$57&gt;=L$5))&gt;0))</f>
        <v/>
      </c>
      <c r="M6" s="84">
        <f>SUMPRODUCT(($B$18:$B$57="Receita")*($D$18:$D$57)*((($F$18:$F$57="")+($F$18:$F$57&lt;=EOMONTH(M$5,0)))&gt;0)*((($G$18:$G$57="")+($G$18:$G$57&gt;=M$5))&gt;0))</f>
        <v/>
      </c>
      <c r="N6" s="85">
        <f>SUM(B6:M6)</f>
        <v/>
      </c>
    </row>
    <row r="7">
      <c r="A7" s="100" t="inlineStr">
        <is>
          <t>Despesas recorrentes</t>
        </is>
      </c>
      <c r="B7" s="84">
        <f>SUMPRODUCT(($B$18:$B$57="Despesa")*($D$18:$D$57)*((($F$18:$F$57="")+($F$18:$F$57&lt;=EOMONTH(B$5,0)))&gt;0)*((($G$18:$G$57="")+($G$18:$G$57&gt;=B$5))&gt;0))</f>
        <v/>
      </c>
      <c r="C7" s="84">
        <f>SUMPRODUCT(($B$18:$B$57="Despesa")*($D$18:$D$57)*((($F$18:$F$57="")+($F$18:$F$57&lt;=EOMONTH(C$5,0)))&gt;0)*((($G$18:$G$57="")+($G$18:$G$57&gt;=C$5))&gt;0))</f>
        <v/>
      </c>
      <c r="D7" s="84">
        <f>SUMPRODUCT(($B$18:$B$57="Despesa")*($D$18:$D$57)*((($F$18:$F$57="")+($F$18:$F$57&lt;=EOMONTH(D$5,0)))&gt;0)*((($G$18:$G$57="")+($G$18:$G$57&gt;=D$5))&gt;0))</f>
        <v/>
      </c>
      <c r="E7" s="84">
        <f>SUMPRODUCT(($B$18:$B$57="Despesa")*($D$18:$D$57)*((($F$18:$F$57="")+($F$18:$F$57&lt;=EOMONTH(E$5,0)))&gt;0)*((($G$18:$G$57="")+($G$18:$G$57&gt;=E$5))&gt;0))</f>
        <v/>
      </c>
      <c r="F7" s="84">
        <f>SUMPRODUCT(($B$18:$B$57="Despesa")*($D$18:$D$57)*((($F$18:$F$57="")+($F$18:$F$57&lt;=EOMONTH(F$5,0)))&gt;0)*((($G$18:$G$57="")+($G$18:$G$57&gt;=F$5))&gt;0))</f>
        <v/>
      </c>
      <c r="G7" s="84">
        <f>SUMPRODUCT(($B$18:$B$57="Despesa")*($D$18:$D$57)*((($F$18:$F$57="")+($F$18:$F$57&lt;=EOMONTH(G$5,0)))&gt;0)*((($G$18:$G$57="")+($G$18:$G$57&gt;=G$5))&gt;0))</f>
        <v/>
      </c>
      <c r="H7" s="84">
        <f>SUMPRODUCT(($B$18:$B$57="Despesa")*($D$18:$D$57)*((($F$18:$F$57="")+($F$18:$F$57&lt;=EOMONTH(H$5,0)))&gt;0)*((($G$18:$G$57="")+($G$18:$G$57&gt;=H$5))&gt;0))</f>
        <v/>
      </c>
      <c r="I7" s="84">
        <f>SUMPRODUCT(($B$18:$B$57="Despesa")*($D$18:$D$57)*((($F$18:$F$57="")+($F$18:$F$57&lt;=EOMONTH(I$5,0)))&gt;0)*((($G$18:$G$57="")+($G$18:$G$57&gt;=I$5))&gt;0))</f>
        <v/>
      </c>
      <c r="J7" s="84">
        <f>SUMPRODUCT(($B$18:$B$57="Despesa")*($D$18:$D$57)*((($F$18:$F$57="")+($F$18:$F$57&lt;=EOMONTH(J$5,0)))&gt;0)*((($G$18:$G$57="")+($G$18:$G$57&gt;=J$5))&gt;0))</f>
        <v/>
      </c>
      <c r="K7" s="84">
        <f>SUMPRODUCT(($B$18:$B$57="Despesa")*($D$18:$D$57)*((($F$18:$F$57="")+($F$18:$F$57&lt;=EOMONTH(K$5,0)))&gt;0)*((($G$18:$G$57="")+($G$18:$G$57&gt;=K$5))&gt;0))</f>
        <v/>
      </c>
      <c r="L7" s="84">
        <f>SUMPRODUCT(($B$18:$B$57="Despesa")*($D$18:$D$57)*((($F$18:$F$57="")+($F$18:$F$57&lt;=EOMONTH(L$5,0)))&gt;0)*((($G$18:$G$57="")+($G$18:$G$57&gt;=L$5))&gt;0))</f>
        <v/>
      </c>
      <c r="M7" s="84">
        <f>SUMPRODUCT(($B$18:$B$57="Despesa")*($D$18:$D$57)*((($F$18:$F$57="")+($F$18:$F$57&lt;=EOMONTH(M$5,0)))&gt;0)*((($G$18:$G$57="")+($G$18:$G$57&gt;=M$5))&gt;0))</f>
        <v/>
      </c>
      <c r="N7" s="85">
        <f>SUM(B7:M7)</f>
        <v/>
      </c>
    </row>
    <row r="8">
      <c r="A8" s="100" t="inlineStr">
        <is>
          <t>Parcelas dos cartões (aba Parcelados)</t>
        </is>
      </c>
      <c r="B8" s="84">
        <f>SUMIF(PARC_MESES,B$5,PARC_TOTAL_MES)</f>
        <v/>
      </c>
      <c r="C8" s="84">
        <f>SUMIF(PARC_MESES,C$5,PARC_TOTAL_MES)</f>
        <v/>
      </c>
      <c r="D8" s="84">
        <f>SUMIF(PARC_MESES,D$5,PARC_TOTAL_MES)</f>
        <v/>
      </c>
      <c r="E8" s="84">
        <f>SUMIF(PARC_MESES,E$5,PARC_TOTAL_MES)</f>
        <v/>
      </c>
      <c r="F8" s="84">
        <f>SUMIF(PARC_MESES,F$5,PARC_TOTAL_MES)</f>
        <v/>
      </c>
      <c r="G8" s="84">
        <f>SUMIF(PARC_MESES,G$5,PARC_TOTAL_MES)</f>
        <v/>
      </c>
      <c r="H8" s="84">
        <f>SUMIF(PARC_MESES,H$5,PARC_TOTAL_MES)</f>
        <v/>
      </c>
      <c r="I8" s="84">
        <f>SUMIF(PARC_MESES,I$5,PARC_TOTAL_MES)</f>
        <v/>
      </c>
      <c r="J8" s="84">
        <f>SUMIF(PARC_MESES,J$5,PARC_TOTAL_MES)</f>
        <v/>
      </c>
      <c r="K8" s="84">
        <f>SUMIF(PARC_MESES,K$5,PARC_TOTAL_MES)</f>
        <v/>
      </c>
      <c r="L8" s="84">
        <f>SUMIF(PARC_MESES,L$5,PARC_TOTAL_MES)</f>
        <v/>
      </c>
      <c r="M8" s="84">
        <f>SUMIF(PARC_MESES,M$5,PARC_TOTAL_MES)</f>
        <v/>
      </c>
      <c r="N8" s="85">
        <f>SUM(B8:M8)</f>
        <v/>
      </c>
    </row>
    <row r="9">
      <c r="A9" s="100" t="inlineStr">
        <is>
          <t>Aportes planejados (poupança e investimentos)</t>
        </is>
      </c>
      <c r="B9" s="84">
        <f>SUMPRODUCT(($B$18:$B$57="Poupança")*($D$18:$D$57)*((($F$18:$F$57="")+($F$18:$F$57&lt;=EOMONTH(B$5,0)))&gt;0)*((($G$18:$G$57="")+($G$18:$G$57&gt;=B$5))&gt;0))</f>
        <v/>
      </c>
      <c r="C9" s="84">
        <f>SUMPRODUCT(($B$18:$B$57="Poupança")*($D$18:$D$57)*((($F$18:$F$57="")+($F$18:$F$57&lt;=EOMONTH(C$5,0)))&gt;0)*((($G$18:$G$57="")+($G$18:$G$57&gt;=C$5))&gt;0))</f>
        <v/>
      </c>
      <c r="D9" s="84">
        <f>SUMPRODUCT(($B$18:$B$57="Poupança")*($D$18:$D$57)*((($F$18:$F$57="")+($F$18:$F$57&lt;=EOMONTH(D$5,0)))&gt;0)*((($G$18:$G$57="")+($G$18:$G$57&gt;=D$5))&gt;0))</f>
        <v/>
      </c>
      <c r="E9" s="84">
        <f>SUMPRODUCT(($B$18:$B$57="Poupança")*($D$18:$D$57)*((($F$18:$F$57="")+($F$18:$F$57&lt;=EOMONTH(E$5,0)))&gt;0)*((($G$18:$G$57="")+($G$18:$G$57&gt;=E$5))&gt;0))</f>
        <v/>
      </c>
      <c r="F9" s="84">
        <f>SUMPRODUCT(($B$18:$B$57="Poupança")*($D$18:$D$57)*((($F$18:$F$57="")+($F$18:$F$57&lt;=EOMONTH(F$5,0)))&gt;0)*((($G$18:$G$57="")+($G$18:$G$57&gt;=F$5))&gt;0))</f>
        <v/>
      </c>
      <c r="G9" s="84">
        <f>SUMPRODUCT(($B$18:$B$57="Poupança")*($D$18:$D$57)*((($F$18:$F$57="")+($F$18:$F$57&lt;=EOMONTH(G$5,0)))&gt;0)*((($G$18:$G$57="")+($G$18:$G$57&gt;=G$5))&gt;0))</f>
        <v/>
      </c>
      <c r="H9" s="84">
        <f>SUMPRODUCT(($B$18:$B$57="Poupança")*($D$18:$D$57)*((($F$18:$F$57="")+($F$18:$F$57&lt;=EOMONTH(H$5,0)))&gt;0)*((($G$18:$G$57="")+($G$18:$G$57&gt;=H$5))&gt;0))</f>
        <v/>
      </c>
      <c r="I9" s="84">
        <f>SUMPRODUCT(($B$18:$B$57="Poupança")*($D$18:$D$57)*((($F$18:$F$57="")+($F$18:$F$57&lt;=EOMONTH(I$5,0)))&gt;0)*((($G$18:$G$57="")+($G$18:$G$57&gt;=I$5))&gt;0))</f>
        <v/>
      </c>
      <c r="J9" s="84">
        <f>SUMPRODUCT(($B$18:$B$57="Poupança")*($D$18:$D$57)*((($F$18:$F$57="")+($F$18:$F$57&lt;=EOMONTH(J$5,0)))&gt;0)*((($G$18:$G$57="")+($G$18:$G$57&gt;=J$5))&gt;0))</f>
        <v/>
      </c>
      <c r="K9" s="84">
        <f>SUMPRODUCT(($B$18:$B$57="Poupança")*($D$18:$D$57)*((($F$18:$F$57="")+($F$18:$F$57&lt;=EOMONTH(K$5,0)))&gt;0)*((($G$18:$G$57="")+($G$18:$G$57&gt;=K$5))&gt;0))</f>
        <v/>
      </c>
      <c r="L9" s="84">
        <f>SUMPRODUCT(($B$18:$B$57="Poupança")*($D$18:$D$57)*((($F$18:$F$57="")+($F$18:$F$57&lt;=EOMONTH(L$5,0)))&gt;0)*((($G$18:$G$57="")+($G$18:$G$57&gt;=L$5))&gt;0))</f>
        <v/>
      </c>
      <c r="M9" s="84">
        <f>SUMPRODUCT(($B$18:$B$57="Poupança")*($D$18:$D$57)*((($F$18:$F$57="")+($F$18:$F$57&lt;=EOMONTH(M$5,0)))&gt;0)*((($G$18:$G$57="")+($G$18:$G$57&gt;=M$5))&gt;0))</f>
        <v/>
      </c>
      <c r="N9" s="85">
        <f>SUM(B9:M9)</f>
        <v/>
      </c>
    </row>
    <row r="10">
      <c r="A10" s="87" t="inlineStr">
        <is>
          <t>Saldo do mês (receitas - despesas - parcelas - aportes)</t>
        </is>
      </c>
      <c r="B10" s="88">
        <f>B6-B7-B8-B9</f>
        <v/>
      </c>
      <c r="C10" s="88">
        <f>C6-C7-C8-C9</f>
        <v/>
      </c>
      <c r="D10" s="88">
        <f>D6-D7-D8-D9</f>
        <v/>
      </c>
      <c r="E10" s="88">
        <f>E6-E7-E8-E9</f>
        <v/>
      </c>
      <c r="F10" s="88">
        <f>F6-F7-F8-F9</f>
        <v/>
      </c>
      <c r="G10" s="88">
        <f>G6-G7-G8-G9</f>
        <v/>
      </c>
      <c r="H10" s="88">
        <f>H6-H7-H8-H9</f>
        <v/>
      </c>
      <c r="I10" s="88">
        <f>I6-I7-I8-I9</f>
        <v/>
      </c>
      <c r="J10" s="88">
        <f>J6-J7-J8-J9</f>
        <v/>
      </c>
      <c r="K10" s="88">
        <f>K6-K7-K8-K9</f>
        <v/>
      </c>
      <c r="L10" s="88">
        <f>L6-L7-L8-L9</f>
        <v/>
      </c>
      <c r="M10" s="88">
        <f>M6-M7-M8-M9</f>
        <v/>
      </c>
      <c r="N10" s="88">
        <f>SUM(B10:M10)</f>
        <v/>
      </c>
    </row>
    <row r="11">
      <c r="A11" s="87" t="inlineStr">
        <is>
          <t>Caixa projetado nas contas do dia a dia</t>
        </is>
      </c>
      <c r="B11" s="88">
        <f>CONTAS_DISPONIVEL+B10</f>
        <v/>
      </c>
      <c r="C11" s="88">
        <f>B11+C10</f>
        <v/>
      </c>
      <c r="D11" s="88">
        <f>C11+D10</f>
        <v/>
      </c>
      <c r="E11" s="88">
        <f>D11+E10</f>
        <v/>
      </c>
      <c r="F11" s="88">
        <f>E11+F10</f>
        <v/>
      </c>
      <c r="G11" s="88">
        <f>F11+G10</f>
        <v/>
      </c>
      <c r="H11" s="88">
        <f>G11+H10</f>
        <v/>
      </c>
      <c r="I11" s="88">
        <f>H11+I10</f>
        <v/>
      </c>
      <c r="J11" s="88">
        <f>I11+J10</f>
        <v/>
      </c>
      <c r="K11" s="88">
        <f>J11+K10</f>
        <v/>
      </c>
      <c r="L11" s="88">
        <f>K11+L10</f>
        <v/>
      </c>
      <c r="M11" s="88">
        <f>L11+M10</f>
        <v/>
      </c>
      <c r="N11" s="88">
        <f>M11</f>
        <v/>
      </c>
    </row>
    <row r="12">
      <c r="A12" s="110" t="inlineStr">
        <is>
          <t>rótulos do gráfico</t>
        </is>
      </c>
      <c r="B12" s="94">
        <f>CHOOSE(MONTH(B5),"jan","fev","mar","abr","mai","jun","jul","ago","set","out","nov","dez")&amp;"/"&amp;RIGHT(YEAR(B5),2)</f>
        <v/>
      </c>
      <c r="C12" s="94">
        <f>CHOOSE(MONTH(C5),"jan","fev","mar","abr","mai","jun","jul","ago","set","out","nov","dez")&amp;"/"&amp;RIGHT(YEAR(C5),2)</f>
        <v/>
      </c>
      <c r="D12" s="94">
        <f>CHOOSE(MONTH(D5),"jan","fev","mar","abr","mai","jun","jul","ago","set","out","nov","dez")&amp;"/"&amp;RIGHT(YEAR(D5),2)</f>
        <v/>
      </c>
      <c r="E12" s="94">
        <f>CHOOSE(MONTH(E5),"jan","fev","mar","abr","mai","jun","jul","ago","set","out","nov","dez")&amp;"/"&amp;RIGHT(YEAR(E5),2)</f>
        <v/>
      </c>
      <c r="F12" s="94">
        <f>CHOOSE(MONTH(F5),"jan","fev","mar","abr","mai","jun","jul","ago","set","out","nov","dez")&amp;"/"&amp;RIGHT(YEAR(F5),2)</f>
        <v/>
      </c>
      <c r="G12" s="94">
        <f>CHOOSE(MONTH(G5),"jan","fev","mar","abr","mai","jun","jul","ago","set","out","nov","dez")&amp;"/"&amp;RIGHT(YEAR(G5),2)</f>
        <v/>
      </c>
      <c r="H12" s="94">
        <f>CHOOSE(MONTH(H5),"jan","fev","mar","abr","mai","jun","jul","ago","set","out","nov","dez")&amp;"/"&amp;RIGHT(YEAR(H5),2)</f>
        <v/>
      </c>
      <c r="I12" s="94">
        <f>CHOOSE(MONTH(I5),"jan","fev","mar","abr","mai","jun","jul","ago","set","out","nov","dez")&amp;"/"&amp;RIGHT(YEAR(I5),2)</f>
        <v/>
      </c>
      <c r="J12" s="94">
        <f>CHOOSE(MONTH(J5),"jan","fev","mar","abr","mai","jun","jul","ago","set","out","nov","dez")&amp;"/"&amp;RIGHT(YEAR(J5),2)</f>
        <v/>
      </c>
      <c r="K12" s="94">
        <f>CHOOSE(MONTH(K5),"jan","fev","mar","abr","mai","jun","jul","ago","set","out","nov","dez")&amp;"/"&amp;RIGHT(YEAR(K5),2)</f>
        <v/>
      </c>
      <c r="L12" s="94">
        <f>CHOOSE(MONTH(L5),"jan","fev","mar","abr","mai","jun","jul","ago","set","out","nov","dez")&amp;"/"&amp;RIGHT(YEAR(L5),2)</f>
        <v/>
      </c>
      <c r="M12" s="94">
        <f>CHOOSE(MONTH(M5),"jan","fev","mar","abr","mai","jun","jul","ago","set","out","nov","dez")&amp;"/"&amp;RIGHT(YEAR(M5),2)</f>
        <v/>
      </c>
    </row>
    <row r="13">
      <c r="A13" s="59" t="inlineStr">
        <is>
          <t>O caixa projetado parte do saldo atual das contas correntes, carteira e dinheiro (aba Contas). Compras novas no cartão e despesas variáveis não previstas não entram.</t>
        </is>
      </c>
    </row>
    <row r="14">
      <c r="A14" s="59" t="inlineStr">
        <is>
          <t>Despesas variáveis (mercado, lazer): cadastre a sua média mensal como recorrente para a previsão ficar realista.</t>
        </is>
      </c>
    </row>
    <row r="16">
      <c r="A16" s="5" t="inlineStr">
        <is>
          <t>Cadastro de recorrentes (mensais)</t>
        </is>
      </c>
    </row>
    <row r="17" ht="34" customHeight="1">
      <c r="A17" s="44" t="inlineStr">
        <is>
          <t>Descrição</t>
        </is>
      </c>
      <c r="B17" s="44" t="inlineStr">
        <is>
          <t>Tipo</t>
        </is>
      </c>
      <c r="C17" s="44" t="inlineStr">
        <is>
          <t>Categoria</t>
        </is>
      </c>
      <c r="D17" s="44" t="inlineStr">
        <is>
          <t>Valor mensal (R$)</t>
        </is>
      </c>
      <c r="E17" s="44" t="inlineStr">
        <is>
          <t>Dia do mês</t>
        </is>
      </c>
      <c r="F17" s="44" t="inlineStr">
        <is>
          <t>Início (opcional)</t>
        </is>
      </c>
      <c r="G17" s="44" t="inlineStr">
        <is>
          <t>Fim (opcional)</t>
        </is>
      </c>
    </row>
    <row r="18">
      <c r="A18" s="74" t="inlineStr">
        <is>
          <t>Salário líquido</t>
        </is>
      </c>
      <c r="B18" s="29" t="inlineStr">
        <is>
          <t>Receita</t>
        </is>
      </c>
      <c r="C18" s="74" t="inlineStr">
        <is>
          <t>Salário</t>
        </is>
      </c>
      <c r="D18" s="76" t="n">
        <v>5600</v>
      </c>
      <c r="E18" s="90" t="n">
        <v>5</v>
      </c>
      <c r="F18" s="123" t="n">
        <v>45658</v>
      </c>
      <c r="G18" s="123" t="n"/>
    </row>
    <row r="19">
      <c r="A19" s="74" t="inlineStr">
        <is>
          <t>Renda extra média (freelance)</t>
        </is>
      </c>
      <c r="B19" s="29" t="inlineStr">
        <is>
          <t>Receita</t>
        </is>
      </c>
      <c r="C19" s="74" t="inlineStr">
        <is>
          <t>Renda extra e freelance</t>
        </is>
      </c>
      <c r="D19" s="76" t="n">
        <v>800</v>
      </c>
      <c r="E19" s="90" t="n">
        <v>20</v>
      </c>
      <c r="F19" s="123" t="n">
        <v>45658</v>
      </c>
      <c r="G19" s="123" t="n"/>
    </row>
    <row r="20">
      <c r="A20" s="74" t="inlineStr">
        <is>
          <t>Rendimento da renda fixa</t>
        </is>
      </c>
      <c r="B20" s="29" t="inlineStr">
        <is>
          <t>Receita</t>
        </is>
      </c>
      <c r="C20" s="74" t="inlineStr">
        <is>
          <t>Rendimentos de investimentos</t>
        </is>
      </c>
      <c r="D20" s="76" t="n">
        <v>90</v>
      </c>
      <c r="E20" s="90" t="n">
        <v>28</v>
      </c>
      <c r="F20" s="123" t="n">
        <v>45658</v>
      </c>
      <c r="G20" s="123" t="n"/>
    </row>
    <row r="21">
      <c r="A21" s="74" t="inlineStr">
        <is>
          <t>Aluguel</t>
        </is>
      </c>
      <c r="B21" s="29" t="inlineStr">
        <is>
          <t>Despesa</t>
        </is>
      </c>
      <c r="C21" s="74" t="inlineStr">
        <is>
          <t>Moradia (aluguel ou financiamento)</t>
        </is>
      </c>
      <c r="D21" s="76" t="n">
        <v>1200</v>
      </c>
      <c r="E21" s="90" t="n">
        <v>8</v>
      </c>
      <c r="F21" s="123" t="n">
        <v>45658</v>
      </c>
      <c r="G21" s="123" t="n"/>
    </row>
    <row r="22">
      <c r="A22" s="74" t="inlineStr">
        <is>
          <t>Condomínio</t>
        </is>
      </c>
      <c r="B22" s="29" t="inlineStr">
        <is>
          <t>Despesa</t>
        </is>
      </c>
      <c r="C22" s="74" t="inlineStr">
        <is>
          <t>Condomínio e IPTU</t>
        </is>
      </c>
      <c r="D22" s="76" t="n">
        <v>300</v>
      </c>
      <c r="E22" s="90" t="n">
        <v>10</v>
      </c>
      <c r="F22" s="123" t="n">
        <v>45658</v>
      </c>
      <c r="G22" s="123" t="n"/>
    </row>
    <row r="23">
      <c r="A23" s="74" t="inlineStr">
        <is>
          <t>Luz, água e gás (média)</t>
        </is>
      </c>
      <c r="B23" s="29" t="inlineStr">
        <is>
          <t>Despesa</t>
        </is>
      </c>
      <c r="C23" s="74" t="inlineStr">
        <is>
          <t>Contas da casa (luz, água, gás)</t>
        </is>
      </c>
      <c r="D23" s="76" t="n">
        <v>270</v>
      </c>
      <c r="E23" s="90" t="n">
        <v>15</v>
      </c>
      <c r="F23" s="123" t="n">
        <v>45658</v>
      </c>
      <c r="G23" s="123" t="n"/>
    </row>
    <row r="24">
      <c r="A24" s="74" t="inlineStr">
        <is>
          <t>Internet e celular</t>
        </is>
      </c>
      <c r="B24" s="29" t="inlineStr">
        <is>
          <t>Despesa</t>
        </is>
      </c>
      <c r="C24" s="74" t="inlineStr">
        <is>
          <t>Internet e celular</t>
        </is>
      </c>
      <c r="D24" s="76" t="n">
        <v>179.8</v>
      </c>
      <c r="E24" s="90" t="n">
        <v>20</v>
      </c>
      <c r="F24" s="123" t="n">
        <v>45658</v>
      </c>
      <c r="G24" s="123" t="n"/>
    </row>
    <row r="25">
      <c r="A25" s="74" t="inlineStr">
        <is>
          <t>Mercado (média)</t>
        </is>
      </c>
      <c r="B25" s="29" t="inlineStr">
        <is>
          <t>Despesa</t>
        </is>
      </c>
      <c r="C25" s="74" t="inlineStr">
        <is>
          <t>Mercado</t>
        </is>
      </c>
      <c r="D25" s="76" t="n">
        <v>750</v>
      </c>
      <c r="E25" s="90" t="n">
        <v>10</v>
      </c>
      <c r="F25" s="123" t="n">
        <v>45658</v>
      </c>
      <c r="G25" s="123" t="n"/>
    </row>
    <row r="26">
      <c r="A26" s="74" t="inlineStr">
        <is>
          <t>Transporte (média)</t>
        </is>
      </c>
      <c r="B26" s="29" t="inlineStr">
        <is>
          <t>Despesa</t>
        </is>
      </c>
      <c r="C26" s="74" t="inlineStr">
        <is>
          <t>Transporte</t>
        </is>
      </c>
      <c r="D26" s="76" t="n">
        <v>480</v>
      </c>
      <c r="E26" s="90" t="n">
        <v>15</v>
      </c>
      <c r="F26" s="123" t="n">
        <v>45658</v>
      </c>
      <c r="G26" s="123" t="n"/>
    </row>
    <row r="27">
      <c r="A27" s="74" t="inlineStr">
        <is>
          <t>Plano de saúde</t>
        </is>
      </c>
      <c r="B27" s="29" t="inlineStr">
        <is>
          <t>Despesa</t>
        </is>
      </c>
      <c r="C27" s="74" t="inlineStr">
        <is>
          <t>Saúde e farmácia</t>
        </is>
      </c>
      <c r="D27" s="76" t="n">
        <v>290</v>
      </c>
      <c r="E27" s="90" t="n">
        <v>6</v>
      </c>
      <c r="F27" s="123" t="n">
        <v>45658</v>
      </c>
      <c r="G27" s="123" t="n"/>
    </row>
    <row r="28">
      <c r="A28" s="74" t="inlineStr">
        <is>
          <t>Seguro do carro</t>
        </is>
      </c>
      <c r="B28" s="29" t="inlineStr">
        <is>
          <t>Despesa</t>
        </is>
      </c>
      <c r="C28" s="74" t="inlineStr">
        <is>
          <t>Seguros</t>
        </is>
      </c>
      <c r="D28" s="76" t="n">
        <v>140</v>
      </c>
      <c r="E28" s="90" t="n">
        <v>12</v>
      </c>
      <c r="F28" s="123" t="n">
        <v>45658</v>
      </c>
      <c r="G28" s="123" t="n">
        <v>46203</v>
      </c>
    </row>
    <row r="29">
      <c r="A29" s="74" t="inlineStr">
        <is>
          <t>Financiamento do carro</t>
        </is>
      </c>
      <c r="B29" s="29" t="inlineStr">
        <is>
          <t>Despesa</t>
        </is>
      </c>
      <c r="C29" s="74" t="inlineStr">
        <is>
          <t>Dívidas e parcelas</t>
        </is>
      </c>
      <c r="D29" s="76" t="n">
        <v>560</v>
      </c>
      <c r="E29" s="90" t="n">
        <v>12</v>
      </c>
      <c r="F29" s="123" t="n">
        <v>45658</v>
      </c>
      <c r="G29" s="123" t="n">
        <v>47118</v>
      </c>
    </row>
    <row r="30">
      <c r="A30" s="74" t="inlineStr">
        <is>
          <t>Restaurantes e lazer (média)</t>
        </is>
      </c>
      <c r="B30" s="29" t="inlineStr">
        <is>
          <t>Despesa</t>
        </is>
      </c>
      <c r="C30" s="74" t="inlineStr">
        <is>
          <t>Restaurantes e delivery</t>
        </is>
      </c>
      <c r="D30" s="76" t="n">
        <v>520</v>
      </c>
      <c r="E30" s="90" t="n">
        <v>15</v>
      </c>
      <c r="F30" s="123" t="n">
        <v>45658</v>
      </c>
      <c r="G30" s="123" t="n"/>
    </row>
    <row r="31">
      <c r="A31" s="74" t="inlineStr">
        <is>
          <t>Assinaturas e academia</t>
        </is>
      </c>
      <c r="B31" s="29" t="inlineStr">
        <is>
          <t>Despesa</t>
        </is>
      </c>
      <c r="C31" s="74" t="inlineStr">
        <is>
          <t>Assinaturas e streaming</t>
        </is>
      </c>
      <c r="D31" s="76" t="n">
        <v>214.6</v>
      </c>
      <c r="E31" s="90" t="n">
        <v>5</v>
      </c>
      <c r="F31" s="123" t="n">
        <v>45658</v>
      </c>
      <c r="G31" s="123" t="n"/>
    </row>
    <row r="32">
      <c r="A32" s="74" t="inlineStr">
        <is>
          <t>Reserva de emergência</t>
        </is>
      </c>
      <c r="B32" s="29" t="inlineStr">
        <is>
          <t>Poupança</t>
        </is>
      </c>
      <c r="C32" s="74" t="inlineStr">
        <is>
          <t>Reserva de emergência</t>
        </is>
      </c>
      <c r="D32" s="76" t="n">
        <v>400</v>
      </c>
      <c r="E32" s="90" t="n">
        <v>28</v>
      </c>
      <c r="F32" s="123" t="n">
        <v>45658</v>
      </c>
      <c r="G32" s="123" t="n"/>
    </row>
    <row r="33">
      <c r="A33" s="74" t="inlineStr">
        <is>
          <t>Aporte em renda fixa</t>
        </is>
      </c>
      <c r="B33" s="29" t="inlineStr">
        <is>
          <t>Poupança</t>
        </is>
      </c>
      <c r="C33" s="74" t="inlineStr">
        <is>
          <t>Investimentos</t>
        </is>
      </c>
      <c r="D33" s="76" t="n">
        <v>250</v>
      </c>
      <c r="E33" s="90" t="n">
        <v>28</v>
      </c>
      <c r="F33" s="123" t="n">
        <v>45658</v>
      </c>
      <c r="G33" s="123" t="n"/>
    </row>
    <row r="34">
      <c r="A34" s="74" t="n"/>
      <c r="B34" s="29" t="n"/>
      <c r="C34" s="74" t="n"/>
      <c r="D34" s="76" t="n"/>
      <c r="E34" s="90" t="n"/>
      <c r="F34" s="123" t="n"/>
      <c r="G34" s="123" t="n"/>
    </row>
    <row r="35">
      <c r="A35" s="74" t="n"/>
      <c r="B35" s="29" t="n"/>
      <c r="C35" s="74" t="n"/>
      <c r="D35" s="76" t="n"/>
      <c r="E35" s="90" t="n"/>
      <c r="F35" s="123" t="n"/>
      <c r="G35" s="123" t="n"/>
    </row>
    <row r="36">
      <c r="A36" s="74" t="n"/>
      <c r="B36" s="29" t="n"/>
      <c r="C36" s="74" t="n"/>
      <c r="D36" s="76" t="n"/>
      <c r="E36" s="90" t="n"/>
      <c r="F36" s="123" t="n"/>
      <c r="G36" s="123" t="n"/>
    </row>
    <row r="37">
      <c r="A37" s="74" t="n"/>
      <c r="B37" s="29" t="n"/>
      <c r="C37" s="74" t="n"/>
      <c r="D37" s="76" t="n"/>
      <c r="E37" s="90" t="n"/>
      <c r="F37" s="123" t="n"/>
      <c r="G37" s="123" t="n"/>
    </row>
    <row r="38">
      <c r="A38" s="74" t="n"/>
      <c r="B38" s="29" t="n"/>
      <c r="C38" s="74" t="n"/>
      <c r="D38" s="76" t="n"/>
      <c r="E38" s="90" t="n"/>
      <c r="F38" s="123" t="n"/>
      <c r="G38" s="123" t="n"/>
    </row>
    <row r="39">
      <c r="A39" s="74" t="n"/>
      <c r="B39" s="29" t="n"/>
      <c r="C39" s="74" t="n"/>
      <c r="D39" s="76" t="n"/>
      <c r="E39" s="90" t="n"/>
      <c r="F39" s="123" t="n"/>
      <c r="G39" s="123" t="n"/>
    </row>
    <row r="40">
      <c r="A40" s="74" t="n"/>
      <c r="B40" s="29" t="n"/>
      <c r="C40" s="74" t="n"/>
      <c r="D40" s="76" t="n"/>
      <c r="E40" s="90" t="n"/>
      <c r="F40" s="123" t="n"/>
      <c r="G40" s="123" t="n"/>
    </row>
    <row r="41">
      <c r="A41" s="74" t="n"/>
      <c r="B41" s="29" t="n"/>
      <c r="C41" s="74" t="n"/>
      <c r="D41" s="76" t="n"/>
      <c r="E41" s="90" t="n"/>
      <c r="F41" s="123" t="n"/>
      <c r="G41" s="123" t="n"/>
    </row>
    <row r="42">
      <c r="A42" s="74" t="n"/>
      <c r="B42" s="29" t="n"/>
      <c r="C42" s="74" t="n"/>
      <c r="D42" s="76" t="n"/>
      <c r="E42" s="90" t="n"/>
      <c r="F42" s="123" t="n"/>
      <c r="G42" s="123" t="n"/>
    </row>
    <row r="43">
      <c r="A43" s="74" t="n"/>
      <c r="B43" s="29" t="n"/>
      <c r="C43" s="74" t="n"/>
      <c r="D43" s="76" t="n"/>
      <c r="E43" s="90" t="n"/>
      <c r="F43" s="123" t="n"/>
      <c r="G43" s="123" t="n"/>
    </row>
    <row r="44">
      <c r="A44" s="74" t="n"/>
      <c r="B44" s="29" t="n"/>
      <c r="C44" s="74" t="n"/>
      <c r="D44" s="76" t="n"/>
      <c r="E44" s="90" t="n"/>
      <c r="F44" s="123" t="n"/>
      <c r="G44" s="123" t="n"/>
    </row>
    <row r="45">
      <c r="A45" s="74" t="n"/>
      <c r="B45" s="29" t="n"/>
      <c r="C45" s="74" t="n"/>
      <c r="D45" s="76" t="n"/>
      <c r="E45" s="90" t="n"/>
      <c r="F45" s="123" t="n"/>
      <c r="G45" s="123" t="n"/>
    </row>
    <row r="46">
      <c r="A46" s="74" t="n"/>
      <c r="B46" s="29" t="n"/>
      <c r="C46" s="74" t="n"/>
      <c r="D46" s="76" t="n"/>
      <c r="E46" s="90" t="n"/>
      <c r="F46" s="123" t="n"/>
      <c r="G46" s="123" t="n"/>
    </row>
    <row r="47">
      <c r="A47" s="74" t="n"/>
      <c r="B47" s="29" t="n"/>
      <c r="C47" s="74" t="n"/>
      <c r="D47" s="76" t="n"/>
      <c r="E47" s="90" t="n"/>
      <c r="F47" s="123" t="n"/>
      <c r="G47" s="123" t="n"/>
    </row>
    <row r="48">
      <c r="A48" s="74" t="n"/>
      <c r="B48" s="29" t="n"/>
      <c r="C48" s="74" t="n"/>
      <c r="D48" s="76" t="n"/>
      <c r="E48" s="90" t="n"/>
      <c r="F48" s="123" t="n"/>
      <c r="G48" s="123" t="n"/>
    </row>
    <row r="49">
      <c r="A49" s="74" t="n"/>
      <c r="B49" s="29" t="n"/>
      <c r="C49" s="74" t="n"/>
      <c r="D49" s="76" t="n"/>
      <c r="E49" s="90" t="n"/>
      <c r="F49" s="123" t="n"/>
      <c r="G49" s="123" t="n"/>
    </row>
    <row r="50">
      <c r="A50" s="74" t="n"/>
      <c r="B50" s="29" t="n"/>
      <c r="C50" s="74" t="n"/>
      <c r="D50" s="76" t="n"/>
      <c r="E50" s="90" t="n"/>
      <c r="F50" s="123" t="n"/>
      <c r="G50" s="123" t="n"/>
    </row>
    <row r="51">
      <c r="A51" s="74" t="n"/>
      <c r="B51" s="29" t="n"/>
      <c r="C51" s="74" t="n"/>
      <c r="D51" s="76" t="n"/>
      <c r="E51" s="90" t="n"/>
      <c r="F51" s="123" t="n"/>
      <c r="G51" s="123" t="n"/>
    </row>
    <row r="52">
      <c r="A52" s="74" t="n"/>
      <c r="B52" s="29" t="n"/>
      <c r="C52" s="74" t="n"/>
      <c r="D52" s="76" t="n"/>
      <c r="E52" s="90" t="n"/>
      <c r="F52" s="123" t="n"/>
      <c r="G52" s="123" t="n"/>
    </row>
    <row r="53">
      <c r="A53" s="74" t="n"/>
      <c r="B53" s="29" t="n"/>
      <c r="C53" s="74" t="n"/>
      <c r="D53" s="76" t="n"/>
      <c r="E53" s="90" t="n"/>
      <c r="F53" s="123" t="n"/>
      <c r="G53" s="123" t="n"/>
    </row>
    <row r="54">
      <c r="A54" s="74" t="n"/>
      <c r="B54" s="29" t="n"/>
      <c r="C54" s="74" t="n"/>
      <c r="D54" s="76" t="n"/>
      <c r="E54" s="90" t="n"/>
      <c r="F54" s="123" t="n"/>
      <c r="G54" s="123" t="n"/>
    </row>
    <row r="55">
      <c r="A55" s="74" t="n"/>
      <c r="B55" s="29" t="n"/>
      <c r="C55" s="74" t="n"/>
      <c r="D55" s="76" t="n"/>
      <c r="E55" s="90" t="n"/>
      <c r="F55" s="123" t="n"/>
      <c r="G55" s="123" t="n"/>
    </row>
    <row r="56">
      <c r="A56" s="74" t="n"/>
      <c r="B56" s="29" t="n"/>
      <c r="C56" s="74" t="n"/>
      <c r="D56" s="76" t="n"/>
      <c r="E56" s="90" t="n"/>
      <c r="F56" s="123" t="n"/>
      <c r="G56" s="123" t="n"/>
    </row>
    <row r="57">
      <c r="A57" s="74" t="n"/>
      <c r="B57" s="29" t="n"/>
      <c r="C57" s="74" t="n"/>
      <c r="D57" s="76" t="n"/>
      <c r="E57" s="90" t="n"/>
      <c r="F57" s="123" t="n"/>
      <c r="G57" s="123" t="n"/>
    </row>
  </sheetData>
  <conditionalFormatting sqref="B10:N11">
    <cfRule type="expression" priority="1" dxfId="12">
      <formula>B10&lt;0</formula>
    </cfRule>
  </conditionalFormatting>
  <dataValidations count="5">
    <dataValidation sqref="B18:B57" showDropDown="0" showInputMessage="0" showErrorMessage="1" allowBlank="1" errorTitle="Tipo inválido" error="Escolha Receita, Despesa ou Poupança." type="list">
      <formula1>"Receita,Despesa,Poupança"</formula1>
    </dataValidation>
    <dataValidation sqref="C18:C57" showDropDown="0" showInputMessage="0" showErrorMessage="1" allowBlank="1" errorTitle="Categoria fora da lista" error="Essa categoria não está em Configurações." type="list" errorStyle="warning">
      <formula1>='Configurações'!$A$14:$A$61</formula1>
    </dataValidation>
    <dataValidation sqref="D18:D57" showDropDown="0" showInputMessage="0" showErrorMessage="1" allowBlank="1" errorTitle="Valor inválido" error="Digite o valor mensal (maior ou igual a zero)." type="decimal" operator="greaterThanOrEqual">
      <formula1>0</formula1>
    </dataValidation>
    <dataValidation sqref="E18:E57" showDropDown="0" showInputMessage="0" showErrorMessage="1" allowBlank="1" errorTitle="Dia inválido" error="Digite um dia de 1 a 31." type="whole" operator="between">
      <formula1>1</formula1>
      <formula2>31</formula2>
    </dataValidation>
    <dataValidation sqref="F18:G57" showDropDown="0" showInputMessage="0" showErrorMessage="1" allowBlank="1" errorTitle="Data inválida" error="Informe uma data (dd/mm/aaaa) ou deixe em branco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M23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3" customWidth="1" min="3" max="3"/>
    <col width="16" customWidth="1" min="4" max="4"/>
    <col width="16" customWidth="1" min="5" max="5"/>
    <col width="16" customWidth="1" min="6" max="6"/>
    <col width="14" customWidth="1" min="7" max="7"/>
    <col width="16" customWidth="1" min="8" max="8"/>
    <col width="12" customWidth="1" min="9" max="9"/>
    <col width="18" customWidth="1" min="10" max="10"/>
    <col width="18" customWidth="1" min="11" max="11"/>
    <col width="24" customWidth="1" min="12" max="12"/>
    <col width="11" customWidth="1" min="13" max="13"/>
  </cols>
  <sheetData>
    <row r="1" ht="30" customHeight="1">
      <c r="A1" s="64" t="inlineStr">
        <is>
          <t>Metas e objetivos</t>
        </is>
      </c>
    </row>
    <row r="2">
      <c r="A2" s="65" t="inlineStr">
        <is>
          <t>Quanto falta, quanto guardar por mês para chegar no prazo e quando você chega com o aporte de hoje. Rendimento: o das Configurações, salvo se você informar outro.</t>
        </is>
      </c>
    </row>
    <row r="3">
      <c r="A3" s="65" t="inlineStr">
        <is>
          <t>Contas de PMT e NPER consideram juros compostos mensais. Os valores são estimativas, não garantia de rentabilidade.</t>
        </is>
      </c>
    </row>
    <row r="6" ht="50" customHeight="1">
      <c r="A6" s="44" t="inlineStr">
        <is>
          <t>Meta</t>
        </is>
      </c>
      <c r="B6" s="44" t="inlineStr">
        <is>
          <t>Valor-alvo (R$)</t>
        </is>
      </c>
      <c r="C6" s="44" t="inlineStr">
        <is>
          <t>Prazo</t>
        </is>
      </c>
      <c r="D6" s="44" t="inlineStr">
        <is>
          <t>Já guardado (R$)</t>
        </is>
      </c>
      <c r="E6" s="44" t="inlineStr">
        <is>
          <t>Aporte mensal atual (R$)</t>
        </is>
      </c>
      <c r="F6" s="44" t="inlineStr">
        <is>
          <t>Rendimento (% ao ano, opcional)</t>
        </is>
      </c>
      <c r="G6" s="44" t="inlineStr">
        <is>
          <t>% concluído</t>
        </is>
      </c>
      <c r="H6" s="44" t="inlineStr">
        <is>
          <t>Falta (R$)</t>
        </is>
      </c>
      <c r="I6" s="44" t="inlineStr">
        <is>
          <t>Meses até o prazo</t>
        </is>
      </c>
      <c r="J6" s="44" t="inlineStr">
        <is>
          <t>Aporte mensal necessário (R$)</t>
        </is>
      </c>
      <c r="K6" s="44" t="inlineStr">
        <is>
          <t>Conclusão com o aporte atual</t>
        </is>
      </c>
      <c r="L6" s="44" t="inlineStr">
        <is>
          <t>Situação</t>
        </is>
      </c>
      <c r="M6" s="72" t="inlineStr">
        <is>
          <t>taxa mensal usada</t>
        </is>
      </c>
    </row>
    <row r="7">
      <c r="A7" s="74" t="inlineStr">
        <is>
          <t>Reserva de emergência (6 meses)</t>
        </is>
      </c>
      <c r="B7" s="76" t="n">
        <v>20000</v>
      </c>
      <c r="C7" s="123" t="n">
        <v>46752</v>
      </c>
      <c r="D7" s="76" t="n">
        <v>10400</v>
      </c>
      <c r="E7" s="76" t="n">
        <v>400</v>
      </c>
      <c r="F7" s="124" t="n"/>
      <c r="G7" s="86">
        <f>IF(OR($A7="",N($B7)&lt;=0),"",N(D7)/B7)</f>
        <v/>
      </c>
      <c r="H7" s="84">
        <f>IF(OR($A7="",N($B7)&lt;=0),"",MAX(0,B7-N(D7)))</f>
        <v/>
      </c>
      <c r="I7" s="97">
        <f>IF(OR(OR($A7="",N($B7)&lt;=0),$C7=""),"",MAX(0,(YEAR($C7)-YEAR(HOJE))*12+MONTH($C7)-MONTH(HOJE)))</f>
        <v/>
      </c>
      <c r="J7" s="85">
        <f>IF(OR(OR($A7="",N($B7)&lt;=0),$C7=""),"",IF(N(D7)&gt;=B7,0,IF(I7&lt;=0,H7,MAX(0,PMT(M7,I7,N(D7),-B7)))))</f>
        <v/>
      </c>
      <c r="K7" s="91">
        <f>IF(OR($A7="",N($B7)&lt;=0),"",IF(N(D7)&gt;=B7,"Concluída",IFERROR(EDATE(DATE(YEAR(HOJE),MONTH(HOJE),1),ROUNDUP(NPER(M7,-N(E7),-N(D7),B7),0)),"Sem aporte")))</f>
        <v/>
      </c>
      <c r="L7" s="125">
        <f>IF(OR($A7="",N($B7)&lt;=0),"",IF(N(D7)&gt;=B7,"Concluída",IF(ISNUMBER(K7),IF($C7="","Sem prazo",IF(K7&lt;=C7,"No prazo","Atrasada: aumente o aporte")),"Sem aporte")))</f>
        <v/>
      </c>
      <c r="M7" s="126">
        <f>IF($F7="",REND_AM,(1+$F7)^(1/12)-1)</f>
        <v/>
      </c>
    </row>
    <row r="8">
      <c r="A8" s="74" t="inlineStr">
        <is>
          <t>Viagem para a Europa</t>
        </is>
      </c>
      <c r="B8" s="76" t="n">
        <v>18000</v>
      </c>
      <c r="C8" s="123" t="n">
        <v>46568</v>
      </c>
      <c r="D8" s="76" t="n">
        <v>2450</v>
      </c>
      <c r="E8" s="76" t="n">
        <v>150</v>
      </c>
      <c r="F8" s="124" t="n"/>
      <c r="G8" s="86">
        <f>IF(OR($A8="",N($B8)&lt;=0),"",N(D8)/B8)</f>
        <v/>
      </c>
      <c r="H8" s="84">
        <f>IF(OR($A8="",N($B8)&lt;=0),"",MAX(0,B8-N(D8)))</f>
        <v/>
      </c>
      <c r="I8" s="97">
        <f>IF(OR(OR($A8="",N($B8)&lt;=0),$C8=""),"",MAX(0,(YEAR($C8)-YEAR(HOJE))*12+MONTH($C8)-MONTH(HOJE)))</f>
        <v/>
      </c>
      <c r="J8" s="85">
        <f>IF(OR(OR($A8="",N($B8)&lt;=0),$C8=""),"",IF(N(D8)&gt;=B8,0,IF(I8&lt;=0,H8,MAX(0,PMT(M8,I8,N(D8),-B8)))))</f>
        <v/>
      </c>
      <c r="K8" s="91">
        <f>IF(OR($A8="",N($B8)&lt;=0),"",IF(N(D8)&gt;=B8,"Concluída",IFERROR(EDATE(DATE(YEAR(HOJE),MONTH(HOJE),1),ROUNDUP(NPER(M8,-N(E8),-N(D8),B8),0)),"Sem aporte")))</f>
        <v/>
      </c>
      <c r="L8" s="125">
        <f>IF(OR($A8="",N($B8)&lt;=0),"",IF(N(D8)&gt;=B8,"Concluída",IF(ISNUMBER(K8),IF($C8="","Sem prazo",IF(K8&lt;=C8,"No prazo","Atrasada: aumente o aporte")),"Sem aporte")))</f>
        <v/>
      </c>
      <c r="M8" s="126">
        <f>IF($F8="",REND_AM,(1+$F8)^(1/12)-1)</f>
        <v/>
      </c>
    </row>
    <row r="9">
      <c r="A9" s="74" t="inlineStr">
        <is>
          <t>Entrada do apartamento</t>
        </is>
      </c>
      <c r="B9" s="76" t="n">
        <v>45000</v>
      </c>
      <c r="C9" s="123" t="n">
        <v>48213</v>
      </c>
      <c r="D9" s="76" t="n">
        <v>12000</v>
      </c>
      <c r="E9" s="76" t="n">
        <v>250</v>
      </c>
      <c r="F9" s="124" t="n"/>
      <c r="G9" s="86">
        <f>IF(OR($A9="",N($B9)&lt;=0),"",N(D9)/B9)</f>
        <v/>
      </c>
      <c r="H9" s="84">
        <f>IF(OR($A9="",N($B9)&lt;=0),"",MAX(0,B9-N(D9)))</f>
        <v/>
      </c>
      <c r="I9" s="97">
        <f>IF(OR(OR($A9="",N($B9)&lt;=0),$C9=""),"",MAX(0,(YEAR($C9)-YEAR(HOJE))*12+MONTH($C9)-MONTH(HOJE)))</f>
        <v/>
      </c>
      <c r="J9" s="85">
        <f>IF(OR(OR($A9="",N($B9)&lt;=0),$C9=""),"",IF(N(D9)&gt;=B9,0,IF(I9&lt;=0,H9,MAX(0,PMT(M9,I9,N(D9),-B9)))))</f>
        <v/>
      </c>
      <c r="K9" s="91">
        <f>IF(OR($A9="",N($B9)&lt;=0),"",IF(N(D9)&gt;=B9,"Concluída",IFERROR(EDATE(DATE(YEAR(HOJE),MONTH(HOJE),1),ROUNDUP(NPER(M9,-N(E9),-N(D9),B9),0)),"Sem aporte")))</f>
        <v/>
      </c>
      <c r="L9" s="125">
        <f>IF(OR($A9="",N($B9)&lt;=0),"",IF(N(D9)&gt;=B9,"Concluída",IF(ISNUMBER(K9),IF($C9="","Sem prazo",IF(K9&lt;=C9,"No prazo","Atrasada: aumente o aporte")),"Sem aporte")))</f>
        <v/>
      </c>
      <c r="M9" s="126">
        <f>IF($F9="",REND_AM,(1+$F9)^(1/12)-1)</f>
        <v/>
      </c>
    </row>
    <row r="10">
      <c r="A10" s="74" t="inlineStr">
        <is>
          <t>Pós-graduação</t>
        </is>
      </c>
      <c r="B10" s="76" t="n">
        <v>5500</v>
      </c>
      <c r="C10" s="123" t="n">
        <v>46752</v>
      </c>
      <c r="D10" s="76" t="n">
        <v>1500</v>
      </c>
      <c r="E10" s="76" t="n">
        <v>150</v>
      </c>
      <c r="F10" s="124" t="n"/>
      <c r="G10" s="86">
        <f>IF(OR($A10="",N($B10)&lt;=0),"",N(D10)/B10)</f>
        <v/>
      </c>
      <c r="H10" s="84">
        <f>IF(OR($A10="",N($B10)&lt;=0),"",MAX(0,B10-N(D10)))</f>
        <v/>
      </c>
      <c r="I10" s="97">
        <f>IF(OR(OR($A10="",N($B10)&lt;=0),$C10=""),"",MAX(0,(YEAR($C10)-YEAR(HOJE))*12+MONTH($C10)-MONTH(HOJE)))</f>
        <v/>
      </c>
      <c r="J10" s="85">
        <f>IF(OR(OR($A10="",N($B10)&lt;=0),$C10=""),"",IF(N(D10)&gt;=B10,0,IF(I10&lt;=0,H10,MAX(0,PMT(M10,I10,N(D10),-B10)))))</f>
        <v/>
      </c>
      <c r="K10" s="91">
        <f>IF(OR($A10="",N($B10)&lt;=0),"",IF(N(D10)&gt;=B10,"Concluída",IFERROR(EDATE(DATE(YEAR(HOJE),MONTH(HOJE),1),ROUNDUP(NPER(M10,-N(E10),-N(D10),B10),0)),"Sem aporte")))</f>
        <v/>
      </c>
      <c r="L10" s="125">
        <f>IF(OR($A10="",N($B10)&lt;=0),"",IF(N(D10)&gt;=B10,"Concluída",IF(ISNUMBER(K10),IF($C10="","Sem prazo",IF(K10&lt;=C10,"No prazo","Atrasada: aumente o aporte")),"Sem aporte")))</f>
        <v/>
      </c>
      <c r="M10" s="126">
        <f>IF($F10="",REND_AM,(1+$F10)^(1/12)-1)</f>
        <v/>
      </c>
    </row>
    <row r="11">
      <c r="A11" s="74" t="inlineStr">
        <is>
          <t>Trocar o carro</t>
        </is>
      </c>
      <c r="B11" s="76" t="n">
        <v>35000</v>
      </c>
      <c r="C11" s="123" t="n">
        <v>47208</v>
      </c>
      <c r="D11" s="76" t="n">
        <v>0</v>
      </c>
      <c r="E11" s="76" t="n">
        <v>0</v>
      </c>
      <c r="F11" s="124" t="n"/>
      <c r="G11" s="86">
        <f>IF(OR($A11="",N($B11)&lt;=0),"",N(D11)/B11)</f>
        <v/>
      </c>
      <c r="H11" s="84">
        <f>IF(OR($A11="",N($B11)&lt;=0),"",MAX(0,B11-N(D11)))</f>
        <v/>
      </c>
      <c r="I11" s="97">
        <f>IF(OR(OR($A11="",N($B11)&lt;=0),$C11=""),"",MAX(0,(YEAR($C11)-YEAR(HOJE))*12+MONTH($C11)-MONTH(HOJE)))</f>
        <v/>
      </c>
      <c r="J11" s="85">
        <f>IF(OR(OR($A11="",N($B11)&lt;=0),$C11=""),"",IF(N(D11)&gt;=B11,0,IF(I11&lt;=0,H11,MAX(0,PMT(M11,I11,N(D11),-B11)))))</f>
        <v/>
      </c>
      <c r="K11" s="91">
        <f>IF(OR($A11="",N($B11)&lt;=0),"",IF(N(D11)&gt;=B11,"Concluída",IFERROR(EDATE(DATE(YEAR(HOJE),MONTH(HOJE),1),ROUNDUP(NPER(M11,-N(E11),-N(D11),B11),0)),"Sem aporte")))</f>
        <v/>
      </c>
      <c r="L11" s="125">
        <f>IF(OR($A11="",N($B11)&lt;=0),"",IF(N(D11)&gt;=B11,"Concluída",IF(ISNUMBER(K11),IF($C11="","Sem prazo",IF(K11&lt;=C11,"No prazo","Atrasada: aumente o aporte")),"Sem aporte")))</f>
        <v/>
      </c>
      <c r="M11" s="126">
        <f>IF($F11="",REND_AM,(1+$F11)^(1/12)-1)</f>
        <v/>
      </c>
    </row>
    <row r="12">
      <c r="A12" s="74" t="n"/>
      <c r="B12" s="76" t="n"/>
      <c r="C12" s="123" t="n"/>
      <c r="D12" s="76" t="n"/>
      <c r="E12" s="76" t="n"/>
      <c r="F12" s="124" t="n"/>
      <c r="G12" s="86">
        <f>IF(OR($A12="",N($B12)&lt;=0),"",N(D12)/B12)</f>
        <v/>
      </c>
      <c r="H12" s="84">
        <f>IF(OR($A12="",N($B12)&lt;=0),"",MAX(0,B12-N(D12)))</f>
        <v/>
      </c>
      <c r="I12" s="97">
        <f>IF(OR(OR($A12="",N($B12)&lt;=0),$C12=""),"",MAX(0,(YEAR($C12)-YEAR(HOJE))*12+MONTH($C12)-MONTH(HOJE)))</f>
        <v/>
      </c>
      <c r="J12" s="85">
        <f>IF(OR(OR($A12="",N($B12)&lt;=0),$C12=""),"",IF(N(D12)&gt;=B12,0,IF(I12&lt;=0,H12,MAX(0,PMT(M12,I12,N(D12),-B12)))))</f>
        <v/>
      </c>
      <c r="K12" s="91">
        <f>IF(OR($A12="",N($B12)&lt;=0),"",IF(N(D12)&gt;=B12,"Concluída",IFERROR(EDATE(DATE(YEAR(HOJE),MONTH(HOJE),1),ROUNDUP(NPER(M12,-N(E12),-N(D12),B12),0)),"Sem aporte")))</f>
        <v/>
      </c>
      <c r="L12" s="125">
        <f>IF(OR($A12="",N($B12)&lt;=0),"",IF(N(D12)&gt;=B12,"Concluída",IF(ISNUMBER(K12),IF($C12="","Sem prazo",IF(K12&lt;=C12,"No prazo","Atrasada: aumente o aporte")),"Sem aporte")))</f>
        <v/>
      </c>
      <c r="M12" s="126">
        <f>IF($F12="",REND_AM,(1+$F12)^(1/12)-1)</f>
        <v/>
      </c>
    </row>
    <row r="13">
      <c r="A13" s="74" t="n"/>
      <c r="B13" s="76" t="n"/>
      <c r="C13" s="123" t="n"/>
      <c r="D13" s="76" t="n"/>
      <c r="E13" s="76" t="n"/>
      <c r="F13" s="124" t="n"/>
      <c r="G13" s="86">
        <f>IF(OR($A13="",N($B13)&lt;=0),"",N(D13)/B13)</f>
        <v/>
      </c>
      <c r="H13" s="84">
        <f>IF(OR($A13="",N($B13)&lt;=0),"",MAX(0,B13-N(D13)))</f>
        <v/>
      </c>
      <c r="I13" s="97">
        <f>IF(OR(OR($A13="",N($B13)&lt;=0),$C13=""),"",MAX(0,(YEAR($C13)-YEAR(HOJE))*12+MONTH($C13)-MONTH(HOJE)))</f>
        <v/>
      </c>
      <c r="J13" s="85">
        <f>IF(OR(OR($A13="",N($B13)&lt;=0),$C13=""),"",IF(N(D13)&gt;=B13,0,IF(I13&lt;=0,H13,MAX(0,PMT(M13,I13,N(D13),-B13)))))</f>
        <v/>
      </c>
      <c r="K13" s="91">
        <f>IF(OR($A13="",N($B13)&lt;=0),"",IF(N(D13)&gt;=B13,"Concluída",IFERROR(EDATE(DATE(YEAR(HOJE),MONTH(HOJE),1),ROUNDUP(NPER(M13,-N(E13),-N(D13),B13),0)),"Sem aporte")))</f>
        <v/>
      </c>
      <c r="L13" s="125">
        <f>IF(OR($A13="",N($B13)&lt;=0),"",IF(N(D13)&gt;=B13,"Concluída",IF(ISNUMBER(K13),IF($C13="","Sem prazo",IF(K13&lt;=C13,"No prazo","Atrasada: aumente o aporte")),"Sem aporte")))</f>
        <v/>
      </c>
      <c r="M13" s="126">
        <f>IF($F13="",REND_AM,(1+$F13)^(1/12)-1)</f>
        <v/>
      </c>
    </row>
    <row r="14">
      <c r="A14" s="74" t="n"/>
      <c r="B14" s="76" t="n"/>
      <c r="C14" s="123" t="n"/>
      <c r="D14" s="76" t="n"/>
      <c r="E14" s="76" t="n"/>
      <c r="F14" s="124" t="n"/>
      <c r="G14" s="86">
        <f>IF(OR($A14="",N($B14)&lt;=0),"",N(D14)/B14)</f>
        <v/>
      </c>
      <c r="H14" s="84">
        <f>IF(OR($A14="",N($B14)&lt;=0),"",MAX(0,B14-N(D14)))</f>
        <v/>
      </c>
      <c r="I14" s="97">
        <f>IF(OR(OR($A14="",N($B14)&lt;=0),$C14=""),"",MAX(0,(YEAR($C14)-YEAR(HOJE))*12+MONTH($C14)-MONTH(HOJE)))</f>
        <v/>
      </c>
      <c r="J14" s="85">
        <f>IF(OR(OR($A14="",N($B14)&lt;=0),$C14=""),"",IF(N(D14)&gt;=B14,0,IF(I14&lt;=0,H14,MAX(0,PMT(M14,I14,N(D14),-B14)))))</f>
        <v/>
      </c>
      <c r="K14" s="91">
        <f>IF(OR($A14="",N($B14)&lt;=0),"",IF(N(D14)&gt;=B14,"Concluída",IFERROR(EDATE(DATE(YEAR(HOJE),MONTH(HOJE),1),ROUNDUP(NPER(M14,-N(E14),-N(D14),B14),0)),"Sem aporte")))</f>
        <v/>
      </c>
      <c r="L14" s="125">
        <f>IF(OR($A14="",N($B14)&lt;=0),"",IF(N(D14)&gt;=B14,"Concluída",IF(ISNUMBER(K14),IF($C14="","Sem prazo",IF(K14&lt;=C14,"No prazo","Atrasada: aumente o aporte")),"Sem aporte")))</f>
        <v/>
      </c>
      <c r="M14" s="126">
        <f>IF($F14="",REND_AM,(1+$F14)^(1/12)-1)</f>
        <v/>
      </c>
    </row>
    <row r="15">
      <c r="A15" s="74" t="n"/>
      <c r="B15" s="76" t="n"/>
      <c r="C15" s="123" t="n"/>
      <c r="D15" s="76" t="n"/>
      <c r="E15" s="76" t="n"/>
      <c r="F15" s="124" t="n"/>
      <c r="G15" s="86">
        <f>IF(OR($A15="",N($B15)&lt;=0),"",N(D15)/B15)</f>
        <v/>
      </c>
      <c r="H15" s="84">
        <f>IF(OR($A15="",N($B15)&lt;=0),"",MAX(0,B15-N(D15)))</f>
        <v/>
      </c>
      <c r="I15" s="97">
        <f>IF(OR(OR($A15="",N($B15)&lt;=0),$C15=""),"",MAX(0,(YEAR($C15)-YEAR(HOJE))*12+MONTH($C15)-MONTH(HOJE)))</f>
        <v/>
      </c>
      <c r="J15" s="85">
        <f>IF(OR(OR($A15="",N($B15)&lt;=0),$C15=""),"",IF(N(D15)&gt;=B15,0,IF(I15&lt;=0,H15,MAX(0,PMT(M15,I15,N(D15),-B15)))))</f>
        <v/>
      </c>
      <c r="K15" s="91">
        <f>IF(OR($A15="",N($B15)&lt;=0),"",IF(N(D15)&gt;=B15,"Concluída",IFERROR(EDATE(DATE(YEAR(HOJE),MONTH(HOJE),1),ROUNDUP(NPER(M15,-N(E15),-N(D15),B15),0)),"Sem aporte")))</f>
        <v/>
      </c>
      <c r="L15" s="125">
        <f>IF(OR($A15="",N($B15)&lt;=0),"",IF(N(D15)&gt;=B15,"Concluída",IF(ISNUMBER(K15),IF($C15="","Sem prazo",IF(K15&lt;=C15,"No prazo","Atrasada: aumente o aporte")),"Sem aporte")))</f>
        <v/>
      </c>
      <c r="M15" s="126">
        <f>IF($F15="",REND_AM,(1+$F15)^(1/12)-1)</f>
        <v/>
      </c>
    </row>
    <row r="16">
      <c r="A16" s="74" t="n"/>
      <c r="B16" s="76" t="n"/>
      <c r="C16" s="123" t="n"/>
      <c r="D16" s="76" t="n"/>
      <c r="E16" s="76" t="n"/>
      <c r="F16" s="124" t="n"/>
      <c r="G16" s="86">
        <f>IF(OR($A16="",N($B16)&lt;=0),"",N(D16)/B16)</f>
        <v/>
      </c>
      <c r="H16" s="84">
        <f>IF(OR($A16="",N($B16)&lt;=0),"",MAX(0,B16-N(D16)))</f>
        <v/>
      </c>
      <c r="I16" s="97">
        <f>IF(OR(OR($A16="",N($B16)&lt;=0),$C16=""),"",MAX(0,(YEAR($C16)-YEAR(HOJE))*12+MONTH($C16)-MONTH(HOJE)))</f>
        <v/>
      </c>
      <c r="J16" s="85">
        <f>IF(OR(OR($A16="",N($B16)&lt;=0),$C16=""),"",IF(N(D16)&gt;=B16,0,IF(I16&lt;=0,H16,MAX(0,PMT(M16,I16,N(D16),-B16)))))</f>
        <v/>
      </c>
      <c r="K16" s="91">
        <f>IF(OR($A16="",N($B16)&lt;=0),"",IF(N(D16)&gt;=B16,"Concluída",IFERROR(EDATE(DATE(YEAR(HOJE),MONTH(HOJE),1),ROUNDUP(NPER(M16,-N(E16),-N(D16),B16),0)),"Sem aporte")))</f>
        <v/>
      </c>
      <c r="L16" s="125">
        <f>IF(OR($A16="",N($B16)&lt;=0),"",IF(N(D16)&gt;=B16,"Concluída",IF(ISNUMBER(K16),IF($C16="","Sem prazo",IF(K16&lt;=C16,"No prazo","Atrasada: aumente o aporte")),"Sem aporte")))</f>
        <v/>
      </c>
      <c r="M16" s="126">
        <f>IF($F16="",REND_AM,(1+$F16)^(1/12)-1)</f>
        <v/>
      </c>
    </row>
    <row r="17">
      <c r="A17" s="74" t="n"/>
      <c r="B17" s="76" t="n"/>
      <c r="C17" s="123" t="n"/>
      <c r="D17" s="76" t="n"/>
      <c r="E17" s="76" t="n"/>
      <c r="F17" s="124" t="n"/>
      <c r="G17" s="86">
        <f>IF(OR($A17="",N($B17)&lt;=0),"",N(D17)/B17)</f>
        <v/>
      </c>
      <c r="H17" s="84">
        <f>IF(OR($A17="",N($B17)&lt;=0),"",MAX(0,B17-N(D17)))</f>
        <v/>
      </c>
      <c r="I17" s="97">
        <f>IF(OR(OR($A17="",N($B17)&lt;=0),$C17=""),"",MAX(0,(YEAR($C17)-YEAR(HOJE))*12+MONTH($C17)-MONTH(HOJE)))</f>
        <v/>
      </c>
      <c r="J17" s="85">
        <f>IF(OR(OR($A17="",N($B17)&lt;=0),$C17=""),"",IF(N(D17)&gt;=B17,0,IF(I17&lt;=0,H17,MAX(0,PMT(M17,I17,N(D17),-B17)))))</f>
        <v/>
      </c>
      <c r="K17" s="91">
        <f>IF(OR($A17="",N($B17)&lt;=0),"",IF(N(D17)&gt;=B17,"Concluída",IFERROR(EDATE(DATE(YEAR(HOJE),MONTH(HOJE),1),ROUNDUP(NPER(M17,-N(E17),-N(D17),B17),0)),"Sem aporte")))</f>
        <v/>
      </c>
      <c r="L17" s="125">
        <f>IF(OR($A17="",N($B17)&lt;=0),"",IF(N(D17)&gt;=B17,"Concluída",IF(ISNUMBER(K17),IF($C17="","Sem prazo",IF(K17&lt;=C17,"No prazo","Atrasada: aumente o aporte")),"Sem aporte")))</f>
        <v/>
      </c>
      <c r="M17" s="126">
        <f>IF($F17="",REND_AM,(1+$F17)^(1/12)-1)</f>
        <v/>
      </c>
    </row>
    <row r="18">
      <c r="A18" s="74" t="n"/>
      <c r="B18" s="76" t="n"/>
      <c r="C18" s="123" t="n"/>
      <c r="D18" s="76" t="n"/>
      <c r="E18" s="76" t="n"/>
      <c r="F18" s="124" t="n"/>
      <c r="G18" s="86">
        <f>IF(OR($A18="",N($B18)&lt;=0),"",N(D18)/B18)</f>
        <v/>
      </c>
      <c r="H18" s="84">
        <f>IF(OR($A18="",N($B18)&lt;=0),"",MAX(0,B18-N(D18)))</f>
        <v/>
      </c>
      <c r="I18" s="97">
        <f>IF(OR(OR($A18="",N($B18)&lt;=0),$C18=""),"",MAX(0,(YEAR($C18)-YEAR(HOJE))*12+MONTH($C18)-MONTH(HOJE)))</f>
        <v/>
      </c>
      <c r="J18" s="85">
        <f>IF(OR(OR($A18="",N($B18)&lt;=0),$C18=""),"",IF(N(D18)&gt;=B18,0,IF(I18&lt;=0,H18,MAX(0,PMT(M18,I18,N(D18),-B18)))))</f>
        <v/>
      </c>
      <c r="K18" s="91">
        <f>IF(OR($A18="",N($B18)&lt;=0),"",IF(N(D18)&gt;=B18,"Concluída",IFERROR(EDATE(DATE(YEAR(HOJE),MONTH(HOJE),1),ROUNDUP(NPER(M18,-N(E18),-N(D18),B18),0)),"Sem aporte")))</f>
        <v/>
      </c>
      <c r="L18" s="125">
        <f>IF(OR($A18="",N($B18)&lt;=0),"",IF(N(D18)&gt;=B18,"Concluída",IF(ISNUMBER(K18),IF($C18="","Sem prazo",IF(K18&lt;=C18,"No prazo","Atrasada: aumente o aporte")),"Sem aporte")))</f>
        <v/>
      </c>
      <c r="M18" s="126">
        <f>IF($F18="",REND_AM,(1+$F18)^(1/12)-1)</f>
        <v/>
      </c>
    </row>
    <row r="19">
      <c r="A19" s="87" t="inlineStr">
        <is>
          <t>Total</t>
        </is>
      </c>
      <c r="B19" s="88">
        <f>SUM(B7:B18)</f>
        <v/>
      </c>
      <c r="C19" s="88" t="n"/>
      <c r="D19" s="88">
        <f>SUM(D7:D18)</f>
        <v/>
      </c>
      <c r="E19" s="88">
        <f>SUM(E7:E18)</f>
        <v/>
      </c>
      <c r="F19" s="88" t="n"/>
      <c r="G19" s="89">
        <f>IF(B19=0,"",D19/B19)</f>
        <v/>
      </c>
      <c r="H19" s="88">
        <f>SUM(H7:H18)</f>
        <v/>
      </c>
      <c r="I19" s="88" t="n"/>
      <c r="J19" s="88">
        <f>SUM(J7:J18)</f>
        <v/>
      </c>
      <c r="K19" s="88" t="n"/>
      <c r="L19" s="88" t="n"/>
    </row>
    <row r="20">
      <c r="A20" s="59" t="inlineStr">
        <is>
          <t>Metas atrasadas</t>
        </is>
      </c>
      <c r="L20" s="127">
        <f>COUNTIF(L7:L18,"Atrasada*")</f>
        <v/>
      </c>
    </row>
    <row r="22">
      <c r="A22" s="59" t="inlineStr">
        <is>
          <t>Aporte mensal necessário = parcela de PMT para sair do que já guardou e chegar ao valor-alvo no prazo, com o rendimento informado.</t>
        </is>
      </c>
    </row>
    <row r="23">
      <c r="A23" s="59" t="inlineStr">
        <is>
          <t>Conclusão com o aporte atual = mês em que o saldo (já guardado + aportes + rendimento) atinge o valor-alvo, por NPER.</t>
        </is>
      </c>
    </row>
  </sheetData>
  <conditionalFormatting sqref="G7:G18">
    <cfRule type="dataBar" priority="1">
      <dataBar showValue="1">
        <cfvo type="num" val="0"/>
        <cfvo type="num" val="1"/>
        <color rgb="007C3AED"/>
      </dataBar>
    </cfRule>
  </conditionalFormatting>
  <conditionalFormatting sqref="L7:L18">
    <cfRule type="expression" priority="2" dxfId="12">
      <formula>LEFT(L7,8)="Atrasada"</formula>
    </cfRule>
    <cfRule type="expression" priority="3" dxfId="15">
      <formula>OR(L7="No prazo",L7="Concluída")</formula>
    </cfRule>
    <cfRule type="expression" priority="4" dxfId="14">
      <formula>OR(L7="Sem aporte",L7="Sem prazo")</formula>
    </cfRule>
  </conditionalFormatting>
  <dataValidations count="4">
    <dataValidation sqref="B7:B18" showDropDown="0" showInputMessage="0" showErrorMessage="1" allowBlank="1" errorTitle="Valor inválido" error="Digite o valor-alvo (maior que zero)." type="decimal" operator="greaterThan">
      <formula1>0</formula1>
    </dataValidation>
    <dataValidation sqref="C7:C18" showDropDown="0" showInputMessage="0" showErrorMessage="1" allowBlank="1" errorTitle="Data inválida" error="Informe o prazo (dd/mm/aaaa)." type="date" operator="greaterThan">
      <formula1>36526</formula1>
    </dataValidation>
    <dataValidation sqref="D7:E18" showDropDown="0" showInputMessage="0" showErrorMessage="1" allowBlank="1" errorTitle="Valor inválido" error="Digite um valor maior ou igual a zero." type="decimal" operator="greaterThanOrEqual">
      <formula1>0</formula1>
    </dataValidation>
    <dataValidation sqref="F7:F18" showDropDown="0" showInputMessage="0" showErrorMessage="1" allowBlank="1" errorTitle="Percentual inválido" error="Digite entre 0% e 100% (ex.: 10,5%)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D44"/>
  <sheetViews>
    <sheetView showGridLines="0" zoomScale="100"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18" customWidth="1" min="3" max="3"/>
    <col width="22" customWidth="1" min="4" max="4"/>
  </cols>
  <sheetData>
    <row r="1" ht="30" customHeight="1">
      <c r="A1" s="64" t="inlineStr">
        <is>
          <t>Reserva de emergência</t>
        </is>
      </c>
    </row>
    <row r="2">
      <c r="A2" s="65" t="inlineStr">
        <is>
          <t>Quantos meses do seu custo essencial você tem guardado, quanto falta e em quanto tempo chega lá.</t>
        </is>
      </c>
    </row>
    <row r="4">
      <c r="A4" s="5" t="inlineStr">
        <is>
          <t>Perfil e premissas</t>
        </is>
      </c>
    </row>
    <row r="5">
      <c r="A5" s="12" t="inlineStr">
        <is>
          <t>Seu perfil profissional</t>
        </is>
      </c>
      <c r="B5" s="74" t="inlineStr">
        <is>
          <t>CLT (emprego estável)</t>
        </is>
      </c>
      <c r="C5" s="59" t="inlineStr">
        <is>
          <t>Define quantos meses de reserva são recomendados (tabela em Configurações).</t>
        </is>
      </c>
    </row>
    <row r="6">
      <c r="A6" s="12" t="inlineStr">
        <is>
          <t>Meses de reserva recomendados para o perfil</t>
        </is>
      </c>
      <c r="B6" s="128">
        <f>IFERROR(INDEX(PERFIS,MATCH(B5,LISTA_PERFIS,0),2),6)</f>
        <v/>
      </c>
    </row>
    <row r="7">
      <c r="A7" s="12" t="inlineStr">
        <is>
          <t>Ajuste manual dos meses (opcional)</t>
        </is>
      </c>
      <c r="B7" s="129" t="n"/>
      <c r="C7" s="59" t="inlineStr">
        <is>
          <t>Preencha só se quiser outro prazo, por exemplo 9.</t>
        </is>
      </c>
    </row>
    <row r="8">
      <c r="A8" s="12" t="inlineStr">
        <is>
          <t>Meses-alvo usados</t>
        </is>
      </c>
      <c r="B8" s="128">
        <f>IF(N(B7)&gt;0,B7,B6)</f>
        <v/>
      </c>
    </row>
    <row r="9">
      <c r="A9" s="12" t="inlineStr">
        <is>
          <t>Conta onde fica a reserva</t>
        </is>
      </c>
      <c r="B9" s="74" t="inlineStr">
        <is>
          <t>Poupança Caixa</t>
        </is>
      </c>
      <c r="C9" s="59" t="inlineStr">
        <is>
          <t>O saldo atual vem da aba Contas.</t>
        </is>
      </c>
    </row>
    <row r="10">
      <c r="A10" s="12" t="inlineStr">
        <is>
          <t>Gasto essencial mensal médio (últimos 3 meses, automático)</t>
        </is>
      </c>
      <c r="B10" s="84">
        <f>IFERROR(SUMPRODUCT((FLUXO_MES_NUM&lt;=MES_SEL)*(FLUXO_MES_NUM&gt;MES_SEL-3)*FLUXO_NECESS)/SUMPRODUCT((FLUXO_MES_NUM&lt;=MES_SEL)*(FLUXO_MES_NUM&gt;MES_SEL-3)*FLUXO_N_MESES),0)</f>
        <v/>
      </c>
      <c r="C10" s="59" t="inlineStr">
        <is>
          <t>Soma das categorias do grupo Necessidade, com parcelas dos cartões.</t>
        </is>
      </c>
    </row>
    <row r="11">
      <c r="A11" s="12" t="inlineStr">
        <is>
          <t>Gasto essencial mensal manual (opcional)</t>
        </is>
      </c>
      <c r="B11" s="76" t="n"/>
      <c r="C11" s="59" t="inlineStr">
        <is>
          <t>Use se quiser fixar o seu custo de vida, ex.: R$ 4.000.</t>
        </is>
      </c>
    </row>
    <row r="12">
      <c r="A12" s="12" t="inlineStr">
        <is>
          <t>Gasto essencial usado nas contas</t>
        </is>
      </c>
      <c r="B12" s="84">
        <f>IF(N(B11)&gt;0,B11,B10)</f>
        <v/>
      </c>
    </row>
    <row r="13">
      <c r="A13" s="12" t="inlineStr">
        <is>
          <t>Aporte mensal para a reserva (R$)</t>
        </is>
      </c>
      <c r="B13" s="76" t="n">
        <v>400</v>
      </c>
      <c r="C13" s="59" t="inlineStr">
        <is>
          <t>Quanto você separa por mês para completar a reserva.</t>
        </is>
      </c>
    </row>
    <row r="15">
      <c r="A15" s="5" t="inlineStr">
        <is>
          <t>Onde você está</t>
        </is>
      </c>
    </row>
    <row r="16">
      <c r="A16" s="12" t="inlineStr">
        <is>
          <t>Meta da reserva (R$)</t>
        </is>
      </c>
      <c r="B16" s="130">
        <f>B8*B12</f>
        <v/>
      </c>
    </row>
    <row r="17">
      <c r="A17" s="12" t="inlineStr">
        <is>
          <t>Reserva atual (R$)</t>
        </is>
      </c>
      <c r="B17" s="130">
        <f>IFERROR(N(INDEX(CONTAS_SALDO,MATCH(B9,LISTA_CONTAS,0))),0)</f>
        <v/>
      </c>
    </row>
    <row r="18">
      <c r="A18" s="12" t="inlineStr">
        <is>
          <t>Quanto falta (R$)</t>
        </is>
      </c>
      <c r="B18" s="130">
        <f>MAX(0,B16-B17)</f>
        <v/>
      </c>
    </row>
    <row r="19">
      <c r="A19" s="12" t="inlineStr">
        <is>
          <t>% da meta</t>
        </is>
      </c>
      <c r="B19" s="131">
        <f>IF(B16=0,"",B17/B16)</f>
        <v/>
      </c>
    </row>
    <row r="20">
      <c r="A20" s="12" t="inlineStr">
        <is>
          <t>A reserva cobre (meses de gasto essencial)</t>
        </is>
      </c>
      <c r="B20" s="132">
        <f>IF(B12=0,0,B17/B12)</f>
        <v/>
      </c>
      <c r="C20" s="59" t="inlineStr">
        <is>
          <t>Referência: 1 mês = emergência mínima; 3 meses = segurança básica; 6 meses = recomendado para CLT.</t>
        </is>
      </c>
    </row>
    <row r="21">
      <c r="A21" s="12" t="inlineStr">
        <is>
          <t>Situação</t>
        </is>
      </c>
      <c r="B21" s="125">
        <f>IF(B12=0,"Sem gastos essenciais registrados",IF(B20&gt;=B8,"Reserva completa",IF(B20&gt;=B8/2,"Quase lá",IF(B20&gt;=1,"Em construção","Crítica (menos de 1 mês)"))))</f>
        <v/>
      </c>
    </row>
    <row r="22">
      <c r="A22" s="12" t="inlineStr">
        <is>
          <t>Meses para completar com o aporte atual</t>
        </is>
      </c>
      <c r="B22" s="133">
        <f>IF(B16&lt;=0,"-",IF(B17&gt;=B16,"Já completa",IFERROR(ROUNDUP(NPER(REND_AM,-N(B13),-B17,B16),0),"Sem aporte")))</f>
        <v/>
      </c>
      <c r="C22" s="134">
        <f>IF(ISNUMBER(B22),EDATE(DATE(YEAR(HOJE),MONTH(HOJE),1),B22),"")</f>
        <v/>
      </c>
    </row>
    <row r="23">
      <c r="A23" s="12" t="inlineStr">
        <is>
          <t>Aporte mensal para completar em 12 meses (R$)</t>
        </is>
      </c>
      <c r="B23" s="130">
        <f>IF(B18&lt;=0,0,MAX(0,PMT(REND_AM,12,B17,-B16)))</f>
        <v/>
      </c>
    </row>
    <row r="26">
      <c r="A26" s="5" t="inlineStr">
        <is>
          <t>Faixas de segurança</t>
        </is>
      </c>
    </row>
    <row r="27" ht="26" customHeight="1">
      <c r="A27" s="44" t="inlineStr">
        <is>
          <t>Faixa</t>
        </is>
      </c>
      <c r="B27" s="44" t="inlineStr">
        <is>
          <t>Valor (R$)</t>
        </is>
      </c>
      <c r="C27" s="44" t="inlineStr">
        <is>
          <t>Falta (R$)</t>
        </is>
      </c>
      <c r="D27" s="44" t="inlineStr">
        <is>
          <t>Situação</t>
        </is>
      </c>
    </row>
    <row r="28">
      <c r="A28" s="100" t="inlineStr">
        <is>
          <t>1 mês de gastos essenciais</t>
        </is>
      </c>
      <c r="B28" s="84">
        <f>1*$B$12</f>
        <v/>
      </c>
      <c r="C28" s="84">
        <f>MAX(0,B28-$B$17)</f>
        <v/>
      </c>
      <c r="D28" s="102">
        <f>IF($B$12=0,"-",IF($B$17&gt;=B28,"Atingida","Em andamento"))</f>
        <v/>
      </c>
    </row>
    <row r="29">
      <c r="A29" s="100" t="inlineStr">
        <is>
          <t>3 meses de gastos essenciais</t>
        </is>
      </c>
      <c r="B29" s="84">
        <f>3*$B$12</f>
        <v/>
      </c>
      <c r="C29" s="84">
        <f>MAX(0,B29-$B$17)</f>
        <v/>
      </c>
      <c r="D29" s="102">
        <f>IF($B$12=0,"-",IF($B$17&gt;=B29,"Atingida","Em andamento"))</f>
        <v/>
      </c>
    </row>
    <row r="30">
      <c r="A30" s="100" t="inlineStr">
        <is>
          <t>6 meses de gastos essenciais</t>
        </is>
      </c>
      <c r="B30" s="84">
        <f>6*$B$12</f>
        <v/>
      </c>
      <c r="C30" s="84">
        <f>MAX(0,B30-$B$17)</f>
        <v/>
      </c>
      <c r="D30" s="102">
        <f>IF($B$12=0,"-",IF($B$17&gt;=B30,"Atingida","Em andamento"))</f>
        <v/>
      </c>
    </row>
    <row r="31">
      <c r="A31" s="100" t="inlineStr">
        <is>
          <t>9 meses de gastos essenciais</t>
        </is>
      </c>
      <c r="B31" s="84">
        <f>9*$B$12</f>
        <v/>
      </c>
      <c r="C31" s="84">
        <f>MAX(0,B31-$B$17)</f>
        <v/>
      </c>
      <c r="D31" s="102">
        <f>IF($B$12=0,"-",IF($B$17&gt;=B31,"Atingida","Em andamento"))</f>
        <v/>
      </c>
    </row>
    <row r="32">
      <c r="A32" s="100" t="inlineStr">
        <is>
          <t>12 meses de gastos essenciais</t>
        </is>
      </c>
      <c r="B32" s="84">
        <f>12*$B$12</f>
        <v/>
      </c>
      <c r="C32" s="84">
        <f>MAX(0,B32-$B$17)</f>
        <v/>
      </c>
      <c r="D32" s="102">
        <f>IF($B$12=0,"-",IF($B$17&gt;=B32,"Atingida","Em andamento"))</f>
        <v/>
      </c>
    </row>
    <row r="35">
      <c r="A35" s="5" t="inlineStr">
        <is>
          <t>Meses recomendados por perfil</t>
        </is>
      </c>
    </row>
    <row r="36" ht="22" customHeight="1">
      <c r="A36" s="44" t="inlineStr">
        <is>
          <t>Perfil</t>
        </is>
      </c>
      <c r="B36" s="44" t="inlineStr">
        <is>
          <t>Meses</t>
        </is>
      </c>
    </row>
    <row r="37">
      <c r="A37" s="75">
        <f>'Configurações'!X14</f>
        <v/>
      </c>
      <c r="B37" s="97">
        <f>'Configurações'!Y14</f>
        <v/>
      </c>
    </row>
    <row r="38">
      <c r="A38" s="75">
        <f>'Configurações'!X15</f>
        <v/>
      </c>
      <c r="B38" s="97">
        <f>'Configurações'!Y15</f>
        <v/>
      </c>
    </row>
    <row r="39">
      <c r="A39" s="75">
        <f>'Configurações'!X16</f>
        <v/>
      </c>
      <c r="B39" s="97">
        <f>'Configurações'!Y16</f>
        <v/>
      </c>
    </row>
    <row r="40">
      <c r="A40" s="75">
        <f>'Configurações'!X17</f>
        <v/>
      </c>
      <c r="B40" s="97">
        <f>'Configurações'!Y17</f>
        <v/>
      </c>
    </row>
    <row r="41">
      <c r="A41" s="75">
        <f>'Configurações'!X18</f>
        <v/>
      </c>
      <c r="B41" s="97">
        <f>'Configurações'!Y18</f>
        <v/>
      </c>
    </row>
    <row r="43">
      <c r="A43" s="59" t="inlineStr">
        <is>
          <t>Renda variável (autônomo, MEI, comissão) pede reserva maior: a entrada oscila, a despesa não.</t>
        </is>
      </c>
    </row>
    <row r="44">
      <c r="A44" s="59" t="inlineStr">
        <is>
          <t>Servidor público e quem tem estabilidade pode ter menos, mas nunca zero. Edite os meses de cada perfil em Configurações.</t>
        </is>
      </c>
    </row>
  </sheetData>
  <conditionalFormatting sqref="B21">
    <cfRule type="expression" priority="1" dxfId="15">
      <formula>OR(B21="Reserva completa",B21="Quase lá")</formula>
    </cfRule>
    <cfRule type="expression" priority="2" dxfId="14">
      <formula>B21="Em construção"</formula>
    </cfRule>
    <cfRule type="expression" priority="3" dxfId="12">
      <formula>LEFT(B21,7)="Crítica"</formula>
    </cfRule>
  </conditionalFormatting>
  <conditionalFormatting sqref="D28:D32">
    <cfRule type="expression" priority="4" dxfId="15">
      <formula>D28="Atingida"</formula>
    </cfRule>
  </conditionalFormatting>
  <dataValidations count="5">
    <dataValidation sqref="B5" showDropDown="0" showInputMessage="0" showErrorMessage="1" allowBlank="1" errorTitle="Perfil inválido" error="Escolha um perfil da lista." type="list">
      <formula1>='Configurações'!$X$14:$X$18</formula1>
    </dataValidation>
    <dataValidation sqref="B9" showDropDown="0" showInputMessage="0" showErrorMessage="1" allowBlank="1" errorTitle="Conta inválida" error="Escolha uma conta cadastrada na aba Contas." type="list">
      <formula1>='Contas'!$A$7:$A$18</formula1>
    </dataValidation>
    <dataValidation sqref="B7" showDropDown="0" showInputMessage="0" showErrorMessage="1" allowBlank="1" errorTitle="Meses inválidos" error="Digite de 1 a 36 meses." type="whole" operator="between">
      <formula1>1</formula1>
      <formula2>36</formula2>
    </dataValidation>
    <dataValidation sqref="B11" showDropDown="0" showInputMessage="0" showErrorMessage="1" allowBlank="1" errorTitle="Valor inválido" error="Digite um valor maior que zero." type="decimal" operator="greaterThan">
      <formula1>0</formula1>
    </dataValidation>
    <dataValidation sqref="B13" showDropDown="0" showInputMessage="0" showErrorMessage="1" allowBlank="1" errorTitle="Valor inválido" error="Digite um valor maior ou igual a zero.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B91C1C"/>
    <outlinePr summaryBelow="1" summaryRight="1"/>
    <pageSetUpPr fitToPage="1"/>
  </sheetPr>
  <dimension ref="A1:N10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7" customWidth="1" min="5" max="5"/>
    <col width="17" customWidth="1" min="6" max="6"/>
    <col width="30" customWidth="1" min="7" max="7"/>
    <col width="15" customWidth="1" min="8" max="8"/>
    <col width="15" customWidth="1" min="9" max="9"/>
    <col width="15" customWidth="1" min="10" max="10"/>
    <col width="15" customWidth="1" min="11" max="11"/>
    <col width="26" customWidth="1" min="12" max="12"/>
    <col width="26" customWidth="1" min="13" max="13"/>
    <col width="9" customWidth="1" min="14" max="14"/>
  </cols>
  <sheetData>
    <row r="1" ht="30" customHeight="1">
      <c r="A1" s="64" t="inlineStr">
        <is>
          <t>Plano para quitar dívidas</t>
        </is>
      </c>
    </row>
    <row r="2">
      <c r="A2" s="65" t="inlineStr">
        <is>
          <t>Cadastre as dívidas e compare três caminhos: só o mínimo, bola de neve (menor saldo primeiro) e avalanche (maior juros primeiro).</t>
        </is>
      </c>
    </row>
    <row r="3">
      <c r="A3" s="65" t="inlineStr">
        <is>
          <t>Tudo por fórmulas, em até 60 meses. Juros em % ao mês (confira no contrato ou na fatura). Parcela abaixo dos juros faz a dívida crescer.</t>
        </is>
      </c>
    </row>
    <row r="4" ht="18" customHeight="1">
      <c r="A4" s="12" t="inlineStr">
        <is>
          <t>Valor extra por mês para as dívidas (R$)</t>
        </is>
      </c>
      <c r="B4" s="76" t="n">
        <v>400</v>
      </c>
      <c r="D4" s="80" t="inlineStr">
        <is>
          <t>SALDO DEVEDOR TOTAL</t>
        </is>
      </c>
      <c r="E4" s="81" t="n"/>
      <c r="F4" s="80" t="inlineStr">
        <is>
          <t>JUROS ESTIMADOS NO 1º MÊS</t>
        </is>
      </c>
      <c r="G4" s="81" t="n"/>
    </row>
    <row r="5" ht="30" customHeight="1">
      <c r="A5" s="12" t="inlineStr">
        <is>
          <t>Início do plano (primeiro mês)</t>
        </is>
      </c>
      <c r="B5" s="73">
        <f>EDATE(DATE(YEAR(HOJE),MONTH(HOJE),1),1)</f>
        <v/>
      </c>
      <c r="D5" s="82">
        <f>SUM(B9:B18)</f>
        <v/>
      </c>
      <c r="E5" s="83" t="n"/>
      <c r="F5" s="82">
        <f>SUMPRODUCT(B9:B18,C9:C18)/100</f>
        <v/>
      </c>
      <c r="G5" s="83" t="n"/>
    </row>
    <row r="6">
      <c r="A6" s="12" t="inlineStr">
        <is>
          <t>Soma das parcelas mínimas (R$)</t>
        </is>
      </c>
      <c r="B6" s="85">
        <f>SUMIFS(D9:D18,B9:B18,"&gt;0")</f>
        <v/>
      </c>
    </row>
    <row r="7">
      <c r="A7" s="12" t="inlineStr">
        <is>
          <t>Total por mês para as dívidas (R$)</t>
        </is>
      </c>
      <c r="B7" s="85">
        <f>B6+N(B4)</f>
        <v/>
      </c>
    </row>
    <row r="8" ht="34" customHeight="1">
      <c r="A8" s="44" t="inlineStr">
        <is>
          <t>Dívida</t>
        </is>
      </c>
      <c r="B8" s="44" t="inlineStr">
        <is>
          <t>Saldo devedor (R$)</t>
        </is>
      </c>
      <c r="C8" s="44" t="inlineStr">
        <is>
          <t>Juros (% ao mês)</t>
        </is>
      </c>
      <c r="D8" s="44" t="inlineStr">
        <is>
          <t>Parcela mínima (R$)</t>
        </is>
      </c>
      <c r="E8" s="44" t="inlineStr">
        <is>
          <t>Ordem: bola de neve</t>
        </is>
      </c>
      <c r="F8" s="44" t="inlineStr">
        <is>
          <t>Ordem: avalanche</t>
        </is>
      </c>
      <c r="G8" s="44" t="inlineStr">
        <is>
          <t>Alerta</t>
        </is>
      </c>
    </row>
    <row r="9">
      <c r="A9" s="74" t="inlineStr">
        <is>
          <t>Cartão (parcelamento da fatura)</t>
        </is>
      </c>
      <c r="B9" s="76" t="n">
        <v>3200</v>
      </c>
      <c r="C9" s="135" t="n">
        <v>9.9</v>
      </c>
      <c r="D9" s="76" t="n">
        <v>420</v>
      </c>
      <c r="E9" s="136">
        <f>IF(N(B9)&lt;=0,"",COUNTIFS($B$9:$B$18,"&lt;"&amp;B9,$B$9:$B$18,"&gt;0")+COUNTIF($B$9:B9,B9))</f>
        <v/>
      </c>
      <c r="F9" s="136">
        <f>IF(N(B9)&lt;=0,"",COUNTIFS($B$9:$B$18,"&gt;0",$C$9:$C$18,"&gt;"&amp;C9)+COUNTIFS($B$9:B9,"&gt;0",$C$9:C9,C9))</f>
        <v/>
      </c>
      <c r="G9" s="75">
        <f>IF(N(B9)&lt;=0,"",IF(N(D9)&lt;=N(B9)*N(C9)/100,"A parcela não cobre os juros",""))</f>
        <v/>
      </c>
    </row>
    <row r="10">
      <c r="A10" s="74" t="inlineStr">
        <is>
          <t>Cheque especial</t>
        </is>
      </c>
      <c r="B10" s="76" t="n">
        <v>1150</v>
      </c>
      <c r="C10" s="135" t="n">
        <v>7.8</v>
      </c>
      <c r="D10" s="76" t="n">
        <v>150</v>
      </c>
      <c r="E10" s="136">
        <f>IF(N(B10)&lt;=0,"",COUNTIFS($B$9:$B$18,"&lt;"&amp;B10,$B$9:$B$18,"&gt;0")+COUNTIF($B$9:B10,B10))</f>
        <v/>
      </c>
      <c r="F10" s="136">
        <f>IF(N(B10)&lt;=0,"",COUNTIFS($B$9:$B$18,"&gt;0",$C$9:$C$18,"&gt;"&amp;C10)+COUNTIFS($B$9:B10,"&gt;0",$C$9:C10,C10))</f>
        <v/>
      </c>
      <c r="G10" s="75">
        <f>IF(N(B10)&lt;=0,"",IF(N(D10)&lt;=N(B10)*N(C10)/100,"A parcela não cobre os juros",""))</f>
        <v/>
      </c>
    </row>
    <row r="11">
      <c r="A11" s="74" t="inlineStr">
        <is>
          <t>Crediário da loja</t>
        </is>
      </c>
      <c r="B11" s="76" t="n">
        <v>1380</v>
      </c>
      <c r="C11" s="135" t="n">
        <v>3.5</v>
      </c>
      <c r="D11" s="76" t="n">
        <v>230</v>
      </c>
      <c r="E11" s="136">
        <f>IF(N(B11)&lt;=0,"",COUNTIFS($B$9:$B$18,"&lt;"&amp;B11,$B$9:$B$18,"&gt;0")+COUNTIF($B$9:B11,B11))</f>
        <v/>
      </c>
      <c r="F11" s="136">
        <f>IF(N(B11)&lt;=0,"",COUNTIFS($B$9:$B$18,"&gt;0",$C$9:$C$18,"&gt;"&amp;C11)+COUNTIFS($B$9:B11,"&gt;0",$C$9:C11,C11))</f>
        <v/>
      </c>
      <c r="G11" s="75">
        <f>IF(N(B11)&lt;=0,"",IF(N(D11)&lt;=N(B11)*N(C11)/100,"A parcela não cobre os juros",""))</f>
        <v/>
      </c>
    </row>
    <row r="12">
      <c r="A12" s="74" t="inlineStr">
        <is>
          <t>Financiamento do carro</t>
        </is>
      </c>
      <c r="B12" s="76" t="n">
        <v>15800</v>
      </c>
      <c r="C12" s="135" t="n">
        <v>1.85</v>
      </c>
      <c r="D12" s="76" t="n">
        <v>560</v>
      </c>
      <c r="E12" s="136">
        <f>IF(N(B12)&lt;=0,"",COUNTIFS($B$9:$B$18,"&lt;"&amp;B12,$B$9:$B$18,"&gt;0")+COUNTIF($B$9:B12,B12))</f>
        <v/>
      </c>
      <c r="F12" s="136">
        <f>IF(N(B12)&lt;=0,"",COUNTIFS($B$9:$B$18,"&gt;0",$C$9:$C$18,"&gt;"&amp;C12)+COUNTIFS($B$9:B12,"&gt;0",$C$9:C12,C12))</f>
        <v/>
      </c>
      <c r="G12" s="75">
        <f>IF(N(B12)&lt;=0,"",IF(N(D12)&lt;=N(B12)*N(C12)/100,"A parcela não cobre os juros",""))</f>
        <v/>
      </c>
    </row>
    <row r="13">
      <c r="A13" s="74" t="n"/>
      <c r="B13" s="76" t="n"/>
      <c r="C13" s="135" t="n"/>
      <c r="D13" s="76" t="n"/>
      <c r="E13" s="136">
        <f>IF(N(B13)&lt;=0,"",COUNTIFS($B$9:$B$18,"&lt;"&amp;B13,$B$9:$B$18,"&gt;0")+COUNTIF($B$9:B13,B13))</f>
        <v/>
      </c>
      <c r="F13" s="136">
        <f>IF(N(B13)&lt;=0,"",COUNTIFS($B$9:$B$18,"&gt;0",$C$9:$C$18,"&gt;"&amp;C13)+COUNTIFS($B$9:B13,"&gt;0",$C$9:C13,C13))</f>
        <v/>
      </c>
      <c r="G13" s="75">
        <f>IF(N(B13)&lt;=0,"",IF(N(D13)&lt;=N(B13)*N(C13)/100,"A parcela não cobre os juros",""))</f>
        <v/>
      </c>
    </row>
    <row r="14">
      <c r="A14" s="74" t="n"/>
      <c r="B14" s="76" t="n"/>
      <c r="C14" s="135" t="n"/>
      <c r="D14" s="76" t="n"/>
      <c r="E14" s="136">
        <f>IF(N(B14)&lt;=0,"",COUNTIFS($B$9:$B$18,"&lt;"&amp;B14,$B$9:$B$18,"&gt;0")+COUNTIF($B$9:B14,B14))</f>
        <v/>
      </c>
      <c r="F14" s="136">
        <f>IF(N(B14)&lt;=0,"",COUNTIFS($B$9:$B$18,"&gt;0",$C$9:$C$18,"&gt;"&amp;C14)+COUNTIFS($B$9:B14,"&gt;0",$C$9:C14,C14))</f>
        <v/>
      </c>
      <c r="G14" s="75">
        <f>IF(N(B14)&lt;=0,"",IF(N(D14)&lt;=N(B14)*N(C14)/100,"A parcela não cobre os juros",""))</f>
        <v/>
      </c>
    </row>
    <row r="15">
      <c r="A15" s="74" t="n"/>
      <c r="B15" s="76" t="n"/>
      <c r="C15" s="135" t="n"/>
      <c r="D15" s="76" t="n"/>
      <c r="E15" s="136">
        <f>IF(N(B15)&lt;=0,"",COUNTIFS($B$9:$B$18,"&lt;"&amp;B15,$B$9:$B$18,"&gt;0")+COUNTIF($B$9:B15,B15))</f>
        <v/>
      </c>
      <c r="F15" s="136">
        <f>IF(N(B15)&lt;=0,"",COUNTIFS($B$9:$B$18,"&gt;0",$C$9:$C$18,"&gt;"&amp;C15)+COUNTIFS($B$9:B15,"&gt;0",$C$9:C15,C15))</f>
        <v/>
      </c>
      <c r="G15" s="75">
        <f>IF(N(B15)&lt;=0,"",IF(N(D15)&lt;=N(B15)*N(C15)/100,"A parcela não cobre os juros",""))</f>
        <v/>
      </c>
    </row>
    <row r="16">
      <c r="A16" s="74" t="n"/>
      <c r="B16" s="76" t="n"/>
      <c r="C16" s="135" t="n"/>
      <c r="D16" s="76" t="n"/>
      <c r="E16" s="136">
        <f>IF(N(B16)&lt;=0,"",COUNTIFS($B$9:$B$18,"&lt;"&amp;B16,$B$9:$B$18,"&gt;0")+COUNTIF($B$9:B16,B16))</f>
        <v/>
      </c>
      <c r="F16" s="136">
        <f>IF(N(B16)&lt;=0,"",COUNTIFS($B$9:$B$18,"&gt;0",$C$9:$C$18,"&gt;"&amp;C16)+COUNTIFS($B$9:B16,"&gt;0",$C$9:C16,C16))</f>
        <v/>
      </c>
      <c r="G16" s="75">
        <f>IF(N(B16)&lt;=0,"",IF(N(D16)&lt;=N(B16)*N(C16)/100,"A parcela não cobre os juros",""))</f>
        <v/>
      </c>
    </row>
    <row r="17">
      <c r="A17" s="74" t="n"/>
      <c r="B17" s="76" t="n"/>
      <c r="C17" s="135" t="n"/>
      <c r="D17" s="76" t="n"/>
      <c r="E17" s="136">
        <f>IF(N(B17)&lt;=0,"",COUNTIFS($B$9:$B$18,"&lt;"&amp;B17,$B$9:$B$18,"&gt;0")+COUNTIF($B$9:B17,B17))</f>
        <v/>
      </c>
      <c r="F17" s="136">
        <f>IF(N(B17)&lt;=0,"",COUNTIFS($B$9:$B$18,"&gt;0",$C$9:$C$18,"&gt;"&amp;C17)+COUNTIFS($B$9:B17,"&gt;0",$C$9:C17,C17))</f>
        <v/>
      </c>
      <c r="G17" s="75">
        <f>IF(N(B17)&lt;=0,"",IF(N(D17)&lt;=N(B17)*N(C17)/100,"A parcela não cobre os juros",""))</f>
        <v/>
      </c>
    </row>
    <row r="18">
      <c r="A18" s="74" t="n"/>
      <c r="B18" s="76" t="n"/>
      <c r="C18" s="135" t="n"/>
      <c r="D18" s="76" t="n"/>
      <c r="E18" s="136">
        <f>IF(N(B18)&lt;=0,"",COUNTIFS($B$9:$B$18,"&lt;"&amp;B18,$B$9:$B$18,"&gt;0")+COUNTIF($B$9:B18,B18))</f>
        <v/>
      </c>
      <c r="F18" s="136">
        <f>IF(N(B18)&lt;=0,"",COUNTIFS($B$9:$B$18,"&gt;0",$C$9:$C$18,"&gt;"&amp;C18)+COUNTIFS($B$9:B18,"&gt;0",$C$9:C18,C18))</f>
        <v/>
      </c>
      <c r="G18" s="75">
        <f>IF(N(B18)&lt;=0,"",IF(N(D18)&lt;=N(B18)*N(C18)/100,"A parcela não cobre os juros",""))</f>
        <v/>
      </c>
    </row>
    <row r="21">
      <c r="A21" s="5" t="inlineStr">
        <is>
          <t>Comparação dos métodos</t>
        </is>
      </c>
    </row>
    <row r="22" ht="48" customHeight="1">
      <c r="A22" s="44" t="inlineStr">
        <is>
          <t>Método</t>
        </is>
      </c>
      <c r="B22" s="44" t="inlineStr">
        <is>
          <t>Meses para quitar</t>
        </is>
      </c>
      <c r="C22" s="44" t="inlineStr">
        <is>
          <t>Quitação em</t>
        </is>
      </c>
      <c r="D22" s="44" t="inlineStr">
        <is>
          <t>Total pago (R$)</t>
        </is>
      </c>
      <c r="E22" s="44" t="inlineStr">
        <is>
          <t>Juros totais (R$)</t>
        </is>
      </c>
      <c r="F22" s="44" t="inlineStr">
        <is>
          <t>Juros economizados vs. só o mínimo</t>
        </is>
      </c>
      <c r="G22" s="44" t="inlineStr">
        <is>
          <t>Meses economizados vs. só o mínimo</t>
        </is>
      </c>
    </row>
    <row r="23">
      <c r="A23" s="100" t="inlineStr">
        <is>
          <t>Só o mínimo (sem extra)</t>
        </is>
      </c>
      <c r="B23" s="136">
        <f>IF($B$6=0,"-",IF('Cálculo dívidas'!H4=0,"mais de 60",'Cálculo dívidas'!H4))</f>
        <v/>
      </c>
      <c r="C23" s="96">
        <f>IF('Cálculo dívidas'!H4=0,"",'Cálculo dívidas'!I4)</f>
        <v/>
      </c>
      <c r="D23" s="84">
        <f>'Cálculo dívidas'!J4</f>
        <v/>
      </c>
      <c r="E23" s="85">
        <f>'Cálculo dívidas'!K4</f>
        <v/>
      </c>
      <c r="F23" s="102" t="inlineStr">
        <is>
          <t>-</t>
        </is>
      </c>
      <c r="G23" s="102" t="inlineStr">
        <is>
          <t>-</t>
        </is>
      </c>
    </row>
    <row r="24">
      <c r="A24" s="100" t="inlineStr">
        <is>
          <t>Bola de neve</t>
        </is>
      </c>
      <c r="B24" s="136">
        <f>IF($B$6=0,"-",IF('Cálculo dívidas'!H5=0,"mais de 60",'Cálculo dívidas'!H5))</f>
        <v/>
      </c>
      <c r="C24" s="96">
        <f>IF('Cálculo dívidas'!H5=0,"",'Cálculo dívidas'!I5)</f>
        <v/>
      </c>
      <c r="D24" s="84">
        <f>'Cálculo dívidas'!J5</f>
        <v/>
      </c>
      <c r="E24" s="85">
        <f>'Cálculo dívidas'!K5</f>
        <v/>
      </c>
      <c r="F24" s="85">
        <f>$E$23-E24</f>
        <v/>
      </c>
      <c r="G24" s="97">
        <f>IF(AND(ISNUMBER($B$23),ISNUMBER(B24)),$B$23-B24,"-")</f>
        <v/>
      </c>
    </row>
    <row r="25">
      <c r="A25" s="100" t="inlineStr">
        <is>
          <t>Avalanche</t>
        </is>
      </c>
      <c r="B25" s="136">
        <f>IF($B$6=0,"-",IF('Cálculo dívidas'!H6=0,"mais de 60",'Cálculo dívidas'!H6))</f>
        <v/>
      </c>
      <c r="C25" s="96">
        <f>IF('Cálculo dívidas'!H6=0,"",'Cálculo dívidas'!I6)</f>
        <v/>
      </c>
      <c r="D25" s="84">
        <f>'Cálculo dívidas'!J6</f>
        <v/>
      </c>
      <c r="E25" s="85">
        <f>'Cálculo dívidas'!K6</f>
        <v/>
      </c>
      <c r="F25" s="85">
        <f>$E$23-E25</f>
        <v/>
      </c>
      <c r="G25" s="97">
        <f>IF(AND(ISNUMBER($B$23),ISNUMBER(B25)),$B$23-B25,"-")</f>
        <v/>
      </c>
    </row>
    <row r="26">
      <c r="A26" s="12" t="inlineStr">
        <is>
          <t>Avalanche x bola de neve: juros economizados (R$)</t>
        </is>
      </c>
      <c r="E26" s="85">
        <f>E24-E25</f>
        <v/>
      </c>
    </row>
    <row r="27">
      <c r="A27" s="12">
        <f>IF($B$6=0,"Cadastre suas dívidas para ver a comparação.",IF(E26&gt;0.005,"Avalanche: gasta menos em juros (economia de R$ "&amp;FIXED(E26,2)&amp;"). Bola de neve: dá a vitória rápida da primeira dívida quitada.",IF(E26&lt;-0.005,"Bola de neve gasta menos em juros neste caso.","Os dois métodos custam o mesmo neste caso: use a bola de neve pela motivação.")))</f>
        <v/>
      </c>
    </row>
    <row r="29">
      <c r="A29" s="5" t="inlineStr">
        <is>
          <t>Ordem de ataque</t>
        </is>
      </c>
    </row>
    <row r="30">
      <c r="A30" s="12" t="inlineStr">
        <is>
          <t>Bola de neve (menor saldo primeiro)</t>
        </is>
      </c>
      <c r="F30" s="12" t="inlineStr">
        <is>
          <t>Avalanche (maior juros primeiro)</t>
        </is>
      </c>
    </row>
    <row r="31" ht="28" customHeight="1">
      <c r="A31" s="44" t="inlineStr">
        <is>
          <t>Dívida</t>
        </is>
      </c>
      <c r="B31" s="44" t="inlineStr">
        <is>
          <t>Saldo (R$)</t>
        </is>
      </c>
      <c r="C31" s="44" t="inlineStr">
        <is>
          <t>Juros a.m.</t>
        </is>
      </c>
      <c r="D31" s="44" t="inlineStr">
        <is>
          <t>Pagamento mensal (R$)</t>
        </is>
      </c>
      <c r="F31" s="44" t="inlineStr">
        <is>
          <t>Dívida</t>
        </is>
      </c>
      <c r="G31" s="44" t="inlineStr">
        <is>
          <t>Saldo (R$)</t>
        </is>
      </c>
      <c r="H31" s="44" t="inlineStr">
        <is>
          <t>Juros a.m.</t>
        </is>
      </c>
      <c r="I31" s="44" t="inlineStr">
        <is>
          <t>Pagamento mensal</t>
        </is>
      </c>
    </row>
    <row r="32">
      <c r="A32" s="75">
        <f>'Cálculo dívidas'!B10</f>
        <v/>
      </c>
      <c r="B32" s="84">
        <f>IF('Cálculo dívidas'!B10="","",'Cálculo dívidas'!C10)</f>
        <v/>
      </c>
      <c r="C32" s="137">
        <f>IF('Cálculo dívidas'!B10="","",'Cálculo dívidas'!D10)</f>
        <v/>
      </c>
      <c r="D32" s="85">
        <f>IF('Cálculo dívidas'!B10="","",'Cálculo dívidas'!E10+N($B$4))</f>
        <v/>
      </c>
      <c r="F32" s="75">
        <f>'Cálculo dívidas'!H10</f>
        <v/>
      </c>
      <c r="G32" s="84">
        <f>IF('Cálculo dívidas'!H10="","",'Cálculo dívidas'!I10)</f>
        <v/>
      </c>
      <c r="H32" s="137">
        <f>IF('Cálculo dívidas'!H10="","",'Cálculo dívidas'!J10)</f>
        <v/>
      </c>
      <c r="I32" s="85">
        <f>IF('Cálculo dívidas'!H10="","",'Cálculo dívidas'!K10+N($B$4))</f>
        <v/>
      </c>
    </row>
    <row r="33">
      <c r="A33" s="75">
        <f>'Cálculo dívidas'!B11</f>
        <v/>
      </c>
      <c r="B33" s="84">
        <f>IF('Cálculo dívidas'!B11="","",'Cálculo dívidas'!C11)</f>
        <v/>
      </c>
      <c r="C33" s="137">
        <f>IF('Cálculo dívidas'!B11="","",'Cálculo dívidas'!D11)</f>
        <v/>
      </c>
      <c r="D33" s="84">
        <f>IF('Cálculo dívidas'!B11="","",'Cálculo dívidas'!E11)</f>
        <v/>
      </c>
      <c r="F33" s="75">
        <f>'Cálculo dívidas'!H11</f>
        <v/>
      </c>
      <c r="G33" s="84">
        <f>IF('Cálculo dívidas'!H11="","",'Cálculo dívidas'!I11)</f>
        <v/>
      </c>
      <c r="H33" s="137">
        <f>IF('Cálculo dívidas'!H11="","",'Cálculo dívidas'!J11)</f>
        <v/>
      </c>
      <c r="I33" s="84">
        <f>IF('Cálculo dívidas'!H11="","",'Cálculo dívidas'!K11)</f>
        <v/>
      </c>
    </row>
    <row r="34">
      <c r="A34" s="75">
        <f>'Cálculo dívidas'!B12</f>
        <v/>
      </c>
      <c r="B34" s="84">
        <f>IF('Cálculo dívidas'!B12="","",'Cálculo dívidas'!C12)</f>
        <v/>
      </c>
      <c r="C34" s="137">
        <f>IF('Cálculo dívidas'!B12="","",'Cálculo dívidas'!D12)</f>
        <v/>
      </c>
      <c r="D34" s="84">
        <f>IF('Cálculo dívidas'!B12="","",'Cálculo dívidas'!E12)</f>
        <v/>
      </c>
      <c r="F34" s="75">
        <f>'Cálculo dívidas'!H12</f>
        <v/>
      </c>
      <c r="G34" s="84">
        <f>IF('Cálculo dívidas'!H12="","",'Cálculo dívidas'!I12)</f>
        <v/>
      </c>
      <c r="H34" s="137">
        <f>IF('Cálculo dívidas'!H12="","",'Cálculo dívidas'!J12)</f>
        <v/>
      </c>
      <c r="I34" s="84">
        <f>IF('Cálculo dívidas'!H12="","",'Cálculo dívidas'!K12)</f>
        <v/>
      </c>
    </row>
    <row r="35">
      <c r="A35" s="75">
        <f>'Cálculo dívidas'!B13</f>
        <v/>
      </c>
      <c r="B35" s="84">
        <f>IF('Cálculo dívidas'!B13="","",'Cálculo dívidas'!C13)</f>
        <v/>
      </c>
      <c r="C35" s="137">
        <f>IF('Cálculo dívidas'!B13="","",'Cálculo dívidas'!D13)</f>
        <v/>
      </c>
      <c r="D35" s="84">
        <f>IF('Cálculo dívidas'!B13="","",'Cálculo dívidas'!E13)</f>
        <v/>
      </c>
      <c r="F35" s="75">
        <f>'Cálculo dívidas'!H13</f>
        <v/>
      </c>
      <c r="G35" s="84">
        <f>IF('Cálculo dívidas'!H13="","",'Cálculo dívidas'!I13)</f>
        <v/>
      </c>
      <c r="H35" s="137">
        <f>IF('Cálculo dívidas'!H13="","",'Cálculo dívidas'!J13)</f>
        <v/>
      </c>
      <c r="I35" s="84">
        <f>IF('Cálculo dívidas'!H13="","",'Cálculo dívidas'!K13)</f>
        <v/>
      </c>
    </row>
    <row r="36">
      <c r="A36" s="75">
        <f>'Cálculo dívidas'!B14</f>
        <v/>
      </c>
      <c r="B36" s="84">
        <f>IF('Cálculo dívidas'!B14="","",'Cálculo dívidas'!C14)</f>
        <v/>
      </c>
      <c r="C36" s="137">
        <f>IF('Cálculo dívidas'!B14="","",'Cálculo dívidas'!D14)</f>
        <v/>
      </c>
      <c r="D36" s="84">
        <f>IF('Cálculo dívidas'!B14="","",'Cálculo dívidas'!E14)</f>
        <v/>
      </c>
      <c r="F36" s="75">
        <f>'Cálculo dívidas'!H14</f>
        <v/>
      </c>
      <c r="G36" s="84">
        <f>IF('Cálculo dívidas'!H14="","",'Cálculo dívidas'!I14)</f>
        <v/>
      </c>
      <c r="H36" s="137">
        <f>IF('Cálculo dívidas'!H14="","",'Cálculo dívidas'!J14)</f>
        <v/>
      </c>
      <c r="I36" s="84">
        <f>IF('Cálculo dívidas'!H14="","",'Cálculo dívidas'!K14)</f>
        <v/>
      </c>
    </row>
    <row r="37">
      <c r="A37" s="75">
        <f>'Cálculo dívidas'!B15</f>
        <v/>
      </c>
      <c r="B37" s="84">
        <f>IF('Cálculo dívidas'!B15="","",'Cálculo dívidas'!C15)</f>
        <v/>
      </c>
      <c r="C37" s="137">
        <f>IF('Cálculo dívidas'!B15="","",'Cálculo dívidas'!D15)</f>
        <v/>
      </c>
      <c r="D37" s="84">
        <f>IF('Cálculo dívidas'!B15="","",'Cálculo dívidas'!E15)</f>
        <v/>
      </c>
      <c r="F37" s="75">
        <f>'Cálculo dívidas'!H15</f>
        <v/>
      </c>
      <c r="G37" s="84">
        <f>IF('Cálculo dívidas'!H15="","",'Cálculo dívidas'!I15)</f>
        <v/>
      </c>
      <c r="H37" s="137">
        <f>IF('Cálculo dívidas'!H15="","",'Cálculo dívidas'!J15)</f>
        <v/>
      </c>
      <c r="I37" s="84">
        <f>IF('Cálculo dívidas'!H15="","",'Cálculo dívidas'!K15)</f>
        <v/>
      </c>
    </row>
    <row r="38">
      <c r="A38" s="75">
        <f>'Cálculo dívidas'!B16</f>
        <v/>
      </c>
      <c r="B38" s="84">
        <f>IF('Cálculo dívidas'!B16="","",'Cálculo dívidas'!C16)</f>
        <v/>
      </c>
      <c r="C38" s="137">
        <f>IF('Cálculo dívidas'!B16="","",'Cálculo dívidas'!D16)</f>
        <v/>
      </c>
      <c r="D38" s="84">
        <f>IF('Cálculo dívidas'!B16="","",'Cálculo dívidas'!E16)</f>
        <v/>
      </c>
      <c r="F38" s="75">
        <f>'Cálculo dívidas'!H16</f>
        <v/>
      </c>
      <c r="G38" s="84">
        <f>IF('Cálculo dívidas'!H16="","",'Cálculo dívidas'!I16)</f>
        <v/>
      </c>
      <c r="H38" s="137">
        <f>IF('Cálculo dívidas'!H16="","",'Cálculo dívidas'!J16)</f>
        <v/>
      </c>
      <c r="I38" s="84">
        <f>IF('Cálculo dívidas'!H16="","",'Cálculo dívidas'!K16)</f>
        <v/>
      </c>
    </row>
    <row r="39">
      <c r="A39" s="75">
        <f>'Cálculo dívidas'!B17</f>
        <v/>
      </c>
      <c r="B39" s="84">
        <f>IF('Cálculo dívidas'!B17="","",'Cálculo dívidas'!C17)</f>
        <v/>
      </c>
      <c r="C39" s="137">
        <f>IF('Cálculo dívidas'!B17="","",'Cálculo dívidas'!D17)</f>
        <v/>
      </c>
      <c r="D39" s="84">
        <f>IF('Cálculo dívidas'!B17="","",'Cálculo dívidas'!E17)</f>
        <v/>
      </c>
      <c r="F39" s="75">
        <f>'Cálculo dívidas'!H17</f>
        <v/>
      </c>
      <c r="G39" s="84">
        <f>IF('Cálculo dívidas'!H17="","",'Cálculo dívidas'!I17)</f>
        <v/>
      </c>
      <c r="H39" s="137">
        <f>IF('Cálculo dívidas'!H17="","",'Cálculo dívidas'!J17)</f>
        <v/>
      </c>
      <c r="I39" s="84">
        <f>IF('Cálculo dívidas'!H17="","",'Cálculo dívidas'!K17)</f>
        <v/>
      </c>
    </row>
    <row r="40">
      <c r="A40" s="75">
        <f>'Cálculo dívidas'!B18</f>
        <v/>
      </c>
      <c r="B40" s="84">
        <f>IF('Cálculo dívidas'!B18="","",'Cálculo dívidas'!C18)</f>
        <v/>
      </c>
      <c r="C40" s="137">
        <f>IF('Cálculo dívidas'!B18="","",'Cálculo dívidas'!D18)</f>
        <v/>
      </c>
      <c r="D40" s="84">
        <f>IF('Cálculo dívidas'!B18="","",'Cálculo dívidas'!E18)</f>
        <v/>
      </c>
      <c r="F40" s="75">
        <f>'Cálculo dívidas'!H18</f>
        <v/>
      </c>
      <c r="G40" s="84">
        <f>IF('Cálculo dívidas'!H18="","",'Cálculo dívidas'!I18)</f>
        <v/>
      </c>
      <c r="H40" s="137">
        <f>IF('Cálculo dívidas'!H18="","",'Cálculo dívidas'!J18)</f>
        <v/>
      </c>
      <c r="I40" s="84">
        <f>IF('Cálculo dívidas'!H18="","",'Cálculo dívidas'!K18)</f>
        <v/>
      </c>
    </row>
    <row r="41">
      <c r="A41" s="75">
        <f>'Cálculo dívidas'!B19</f>
        <v/>
      </c>
      <c r="B41" s="84">
        <f>IF('Cálculo dívidas'!B19="","",'Cálculo dívidas'!C19)</f>
        <v/>
      </c>
      <c r="C41" s="137">
        <f>IF('Cálculo dívidas'!B19="","",'Cálculo dívidas'!D19)</f>
        <v/>
      </c>
      <c r="D41" s="84">
        <f>IF('Cálculo dívidas'!B19="","",'Cálculo dívidas'!E19)</f>
        <v/>
      </c>
      <c r="F41" s="75">
        <f>'Cálculo dívidas'!H19</f>
        <v/>
      </c>
      <c r="G41" s="84">
        <f>IF('Cálculo dívidas'!H19="","",'Cálculo dívidas'!I19)</f>
        <v/>
      </c>
      <c r="H41" s="137">
        <f>IF('Cálculo dívidas'!H19="","",'Cálculo dívidas'!J19)</f>
        <v/>
      </c>
      <c r="I41" s="84">
        <f>IF('Cálculo dívidas'!H19="","",'Cálculo dívidas'!K19)</f>
        <v/>
      </c>
    </row>
    <row r="43">
      <c r="A43" s="59" t="inlineStr">
        <is>
          <t>O primeiro da lista recebe o mínimo mais o valor extra; quando ele quita, o dinheiro dele passa para o seguinte (efeito bola de neve).</t>
        </is>
      </c>
    </row>
    <row r="46">
      <c r="A46" s="5" t="inlineStr">
        <is>
          <t>Cronograma mês a mês (60 meses): pagamento, juros e saldo restante de cada método</t>
        </is>
      </c>
    </row>
    <row r="47" ht="40" customHeight="1">
      <c r="A47" s="44" t="inlineStr">
        <is>
          <t>Mês nº</t>
        </is>
      </c>
      <c r="B47" s="44" t="inlineStr">
        <is>
          <t>Mês</t>
        </is>
      </c>
      <c r="C47" s="44" t="inlineStr">
        <is>
          <t>Bola de neve: pago</t>
        </is>
      </c>
      <c r="D47" s="44" t="inlineStr">
        <is>
          <t>Bola de neve: juros</t>
        </is>
      </c>
      <c r="E47" s="44" t="inlineStr">
        <is>
          <t>Bola de neve: saldo</t>
        </is>
      </c>
      <c r="F47" s="44" t="inlineStr">
        <is>
          <t>Avalanche: pago</t>
        </is>
      </c>
      <c r="G47" s="44" t="inlineStr">
        <is>
          <t>Avalanche: juros</t>
        </is>
      </c>
      <c r="H47" s="44" t="inlineStr">
        <is>
          <t>Avalanche: saldo</t>
        </is>
      </c>
      <c r="I47" s="44" t="inlineStr">
        <is>
          <t>Só o mínimo: pago</t>
        </is>
      </c>
      <c r="J47" s="44" t="inlineStr">
        <is>
          <t>Só o mínimo: juros</t>
        </is>
      </c>
      <c r="K47" s="44" t="inlineStr">
        <is>
          <t>Só o mínimo: saldo</t>
        </is>
      </c>
      <c r="L47" s="44" t="inlineStr">
        <is>
          <t>Dívida quitada (bola de neve)</t>
        </is>
      </c>
      <c r="M47" s="44" t="inlineStr">
        <is>
          <t>Dívida quitada (avalanche)</t>
        </is>
      </c>
      <c r="N47" s="44" t="inlineStr">
        <is>
          <t>rótulo</t>
        </is>
      </c>
    </row>
    <row r="48">
      <c r="A48" s="97" t="n">
        <v>1</v>
      </c>
      <c r="B48" s="96">
        <f>'Cálculo dívidas'!B25</f>
        <v/>
      </c>
      <c r="C48" s="138">
        <f>'Cálculo dívidas'!AR25</f>
        <v/>
      </c>
      <c r="D48" s="138">
        <f>'Cálculo dívidas'!AS25</f>
        <v/>
      </c>
      <c r="E48" s="138">
        <f>'Cálculo dívidas'!AT25</f>
        <v/>
      </c>
      <c r="F48" s="138">
        <f>'Cálculo dívidas'!AR91</f>
        <v/>
      </c>
      <c r="G48" s="138">
        <f>'Cálculo dívidas'!AS91</f>
        <v/>
      </c>
      <c r="H48" s="138">
        <f>'Cálculo dívidas'!AT91</f>
        <v/>
      </c>
      <c r="I48" s="138">
        <f>'Cálculo dívidas'!AG157</f>
        <v/>
      </c>
      <c r="J48" s="138">
        <f>'Cálculo dívidas'!AH157</f>
        <v/>
      </c>
      <c r="K48" s="138">
        <f>'Cálculo dívidas'!AI157</f>
        <v/>
      </c>
      <c r="L48" s="108">
        <f>'Cálculo dívidas'!AU25</f>
        <v/>
      </c>
      <c r="M48" s="108">
        <f>'Cálculo dívidas'!AU91</f>
        <v/>
      </c>
      <c r="N48" s="110">
        <f>CHOOSE(MONTH(B48),"jan","fev","mar","abr","mai","jun","jul","ago","set","out","nov","dez")&amp;"/"&amp;RIGHT(YEAR(B48),2)</f>
        <v/>
      </c>
    </row>
    <row r="49">
      <c r="A49" s="97" t="n">
        <v>2</v>
      </c>
      <c r="B49" s="96">
        <f>'Cálculo dívidas'!B26</f>
        <v/>
      </c>
      <c r="C49" s="138">
        <f>'Cálculo dívidas'!AR26</f>
        <v/>
      </c>
      <c r="D49" s="138">
        <f>'Cálculo dívidas'!AS26</f>
        <v/>
      </c>
      <c r="E49" s="138">
        <f>'Cálculo dívidas'!AT26</f>
        <v/>
      </c>
      <c r="F49" s="138">
        <f>'Cálculo dívidas'!AR92</f>
        <v/>
      </c>
      <c r="G49" s="138">
        <f>'Cálculo dívidas'!AS92</f>
        <v/>
      </c>
      <c r="H49" s="138">
        <f>'Cálculo dívidas'!AT92</f>
        <v/>
      </c>
      <c r="I49" s="138">
        <f>'Cálculo dívidas'!AG158</f>
        <v/>
      </c>
      <c r="J49" s="138">
        <f>'Cálculo dívidas'!AH158</f>
        <v/>
      </c>
      <c r="K49" s="138">
        <f>'Cálculo dívidas'!AI158</f>
        <v/>
      </c>
      <c r="L49" s="108">
        <f>'Cálculo dívidas'!AU26</f>
        <v/>
      </c>
      <c r="M49" s="108">
        <f>'Cálculo dívidas'!AU92</f>
        <v/>
      </c>
      <c r="N49" s="110">
        <f>CHOOSE(MONTH(B49),"jan","fev","mar","abr","mai","jun","jul","ago","set","out","nov","dez")&amp;"/"&amp;RIGHT(YEAR(B49),2)</f>
        <v/>
      </c>
    </row>
    <row r="50">
      <c r="A50" s="97" t="n">
        <v>3</v>
      </c>
      <c r="B50" s="96">
        <f>'Cálculo dívidas'!B27</f>
        <v/>
      </c>
      <c r="C50" s="138">
        <f>'Cálculo dívidas'!AR27</f>
        <v/>
      </c>
      <c r="D50" s="138">
        <f>'Cálculo dívidas'!AS27</f>
        <v/>
      </c>
      <c r="E50" s="138">
        <f>'Cálculo dívidas'!AT27</f>
        <v/>
      </c>
      <c r="F50" s="138">
        <f>'Cálculo dívidas'!AR93</f>
        <v/>
      </c>
      <c r="G50" s="138">
        <f>'Cálculo dívidas'!AS93</f>
        <v/>
      </c>
      <c r="H50" s="138">
        <f>'Cálculo dívidas'!AT93</f>
        <v/>
      </c>
      <c r="I50" s="138">
        <f>'Cálculo dívidas'!AG159</f>
        <v/>
      </c>
      <c r="J50" s="138">
        <f>'Cálculo dívidas'!AH159</f>
        <v/>
      </c>
      <c r="K50" s="138">
        <f>'Cálculo dívidas'!AI159</f>
        <v/>
      </c>
      <c r="L50" s="108">
        <f>'Cálculo dívidas'!AU27</f>
        <v/>
      </c>
      <c r="M50" s="108">
        <f>'Cálculo dívidas'!AU93</f>
        <v/>
      </c>
      <c r="N50" s="110">
        <f>CHOOSE(MONTH(B50),"jan","fev","mar","abr","mai","jun","jul","ago","set","out","nov","dez")&amp;"/"&amp;RIGHT(YEAR(B50),2)</f>
        <v/>
      </c>
    </row>
    <row r="51">
      <c r="A51" s="97" t="n">
        <v>4</v>
      </c>
      <c r="B51" s="96">
        <f>'Cálculo dívidas'!B28</f>
        <v/>
      </c>
      <c r="C51" s="138">
        <f>'Cálculo dívidas'!AR28</f>
        <v/>
      </c>
      <c r="D51" s="138">
        <f>'Cálculo dívidas'!AS28</f>
        <v/>
      </c>
      <c r="E51" s="138">
        <f>'Cálculo dívidas'!AT28</f>
        <v/>
      </c>
      <c r="F51" s="138">
        <f>'Cálculo dívidas'!AR94</f>
        <v/>
      </c>
      <c r="G51" s="138">
        <f>'Cálculo dívidas'!AS94</f>
        <v/>
      </c>
      <c r="H51" s="138">
        <f>'Cálculo dívidas'!AT94</f>
        <v/>
      </c>
      <c r="I51" s="138">
        <f>'Cálculo dívidas'!AG160</f>
        <v/>
      </c>
      <c r="J51" s="138">
        <f>'Cálculo dívidas'!AH160</f>
        <v/>
      </c>
      <c r="K51" s="138">
        <f>'Cálculo dívidas'!AI160</f>
        <v/>
      </c>
      <c r="L51" s="108">
        <f>'Cálculo dívidas'!AU28</f>
        <v/>
      </c>
      <c r="M51" s="108">
        <f>'Cálculo dívidas'!AU94</f>
        <v/>
      </c>
      <c r="N51" s="110">
        <f>CHOOSE(MONTH(B51),"jan","fev","mar","abr","mai","jun","jul","ago","set","out","nov","dez")&amp;"/"&amp;RIGHT(YEAR(B51),2)</f>
        <v/>
      </c>
    </row>
    <row r="52">
      <c r="A52" s="97" t="n">
        <v>5</v>
      </c>
      <c r="B52" s="96">
        <f>'Cálculo dívidas'!B29</f>
        <v/>
      </c>
      <c r="C52" s="138">
        <f>'Cálculo dívidas'!AR29</f>
        <v/>
      </c>
      <c r="D52" s="138">
        <f>'Cálculo dívidas'!AS29</f>
        <v/>
      </c>
      <c r="E52" s="138">
        <f>'Cálculo dívidas'!AT29</f>
        <v/>
      </c>
      <c r="F52" s="138">
        <f>'Cálculo dívidas'!AR95</f>
        <v/>
      </c>
      <c r="G52" s="138">
        <f>'Cálculo dívidas'!AS95</f>
        <v/>
      </c>
      <c r="H52" s="138">
        <f>'Cálculo dívidas'!AT95</f>
        <v/>
      </c>
      <c r="I52" s="138">
        <f>'Cálculo dívidas'!AG161</f>
        <v/>
      </c>
      <c r="J52" s="138">
        <f>'Cálculo dívidas'!AH161</f>
        <v/>
      </c>
      <c r="K52" s="138">
        <f>'Cálculo dívidas'!AI161</f>
        <v/>
      </c>
      <c r="L52" s="108">
        <f>'Cálculo dívidas'!AU29</f>
        <v/>
      </c>
      <c r="M52" s="108">
        <f>'Cálculo dívidas'!AU95</f>
        <v/>
      </c>
      <c r="N52" s="110">
        <f>CHOOSE(MONTH(B52),"jan","fev","mar","abr","mai","jun","jul","ago","set","out","nov","dez")&amp;"/"&amp;RIGHT(YEAR(B52),2)</f>
        <v/>
      </c>
    </row>
    <row r="53">
      <c r="A53" s="97" t="n">
        <v>6</v>
      </c>
      <c r="B53" s="96">
        <f>'Cálculo dívidas'!B30</f>
        <v/>
      </c>
      <c r="C53" s="138">
        <f>'Cálculo dívidas'!AR30</f>
        <v/>
      </c>
      <c r="D53" s="138">
        <f>'Cálculo dívidas'!AS30</f>
        <v/>
      </c>
      <c r="E53" s="138">
        <f>'Cálculo dívidas'!AT30</f>
        <v/>
      </c>
      <c r="F53" s="138">
        <f>'Cálculo dívidas'!AR96</f>
        <v/>
      </c>
      <c r="G53" s="138">
        <f>'Cálculo dívidas'!AS96</f>
        <v/>
      </c>
      <c r="H53" s="138">
        <f>'Cálculo dívidas'!AT96</f>
        <v/>
      </c>
      <c r="I53" s="138">
        <f>'Cálculo dívidas'!AG162</f>
        <v/>
      </c>
      <c r="J53" s="138">
        <f>'Cálculo dívidas'!AH162</f>
        <v/>
      </c>
      <c r="K53" s="138">
        <f>'Cálculo dívidas'!AI162</f>
        <v/>
      </c>
      <c r="L53" s="108">
        <f>'Cálculo dívidas'!AU30</f>
        <v/>
      </c>
      <c r="M53" s="108">
        <f>'Cálculo dívidas'!AU96</f>
        <v/>
      </c>
      <c r="N53" s="110">
        <f>CHOOSE(MONTH(B53),"jan","fev","mar","abr","mai","jun","jul","ago","set","out","nov","dez")&amp;"/"&amp;RIGHT(YEAR(B53),2)</f>
        <v/>
      </c>
    </row>
    <row r="54">
      <c r="A54" s="97" t="n">
        <v>7</v>
      </c>
      <c r="B54" s="96">
        <f>'Cálculo dívidas'!B31</f>
        <v/>
      </c>
      <c r="C54" s="138">
        <f>'Cálculo dívidas'!AR31</f>
        <v/>
      </c>
      <c r="D54" s="138">
        <f>'Cálculo dívidas'!AS31</f>
        <v/>
      </c>
      <c r="E54" s="138">
        <f>'Cálculo dívidas'!AT31</f>
        <v/>
      </c>
      <c r="F54" s="138">
        <f>'Cálculo dívidas'!AR97</f>
        <v/>
      </c>
      <c r="G54" s="138">
        <f>'Cálculo dívidas'!AS97</f>
        <v/>
      </c>
      <c r="H54" s="138">
        <f>'Cálculo dívidas'!AT97</f>
        <v/>
      </c>
      <c r="I54" s="138">
        <f>'Cálculo dívidas'!AG163</f>
        <v/>
      </c>
      <c r="J54" s="138">
        <f>'Cálculo dívidas'!AH163</f>
        <v/>
      </c>
      <c r="K54" s="138">
        <f>'Cálculo dívidas'!AI163</f>
        <v/>
      </c>
      <c r="L54" s="108">
        <f>'Cálculo dívidas'!AU31</f>
        <v/>
      </c>
      <c r="M54" s="108">
        <f>'Cálculo dívidas'!AU97</f>
        <v/>
      </c>
      <c r="N54" s="110">
        <f>CHOOSE(MONTH(B54),"jan","fev","mar","abr","mai","jun","jul","ago","set","out","nov","dez")&amp;"/"&amp;RIGHT(YEAR(B54),2)</f>
        <v/>
      </c>
    </row>
    <row r="55">
      <c r="A55" s="97" t="n">
        <v>8</v>
      </c>
      <c r="B55" s="96">
        <f>'Cálculo dívidas'!B32</f>
        <v/>
      </c>
      <c r="C55" s="138">
        <f>'Cálculo dívidas'!AR32</f>
        <v/>
      </c>
      <c r="D55" s="138">
        <f>'Cálculo dívidas'!AS32</f>
        <v/>
      </c>
      <c r="E55" s="138">
        <f>'Cálculo dívidas'!AT32</f>
        <v/>
      </c>
      <c r="F55" s="138">
        <f>'Cálculo dívidas'!AR98</f>
        <v/>
      </c>
      <c r="G55" s="138">
        <f>'Cálculo dívidas'!AS98</f>
        <v/>
      </c>
      <c r="H55" s="138">
        <f>'Cálculo dívidas'!AT98</f>
        <v/>
      </c>
      <c r="I55" s="138">
        <f>'Cálculo dívidas'!AG164</f>
        <v/>
      </c>
      <c r="J55" s="138">
        <f>'Cálculo dívidas'!AH164</f>
        <v/>
      </c>
      <c r="K55" s="138">
        <f>'Cálculo dívidas'!AI164</f>
        <v/>
      </c>
      <c r="L55" s="108">
        <f>'Cálculo dívidas'!AU32</f>
        <v/>
      </c>
      <c r="M55" s="108">
        <f>'Cálculo dívidas'!AU98</f>
        <v/>
      </c>
      <c r="N55" s="110">
        <f>CHOOSE(MONTH(B55),"jan","fev","mar","abr","mai","jun","jul","ago","set","out","nov","dez")&amp;"/"&amp;RIGHT(YEAR(B55),2)</f>
        <v/>
      </c>
    </row>
    <row r="56">
      <c r="A56" s="97" t="n">
        <v>9</v>
      </c>
      <c r="B56" s="96">
        <f>'Cálculo dívidas'!B33</f>
        <v/>
      </c>
      <c r="C56" s="138">
        <f>'Cálculo dívidas'!AR33</f>
        <v/>
      </c>
      <c r="D56" s="138">
        <f>'Cálculo dívidas'!AS33</f>
        <v/>
      </c>
      <c r="E56" s="138">
        <f>'Cálculo dívidas'!AT33</f>
        <v/>
      </c>
      <c r="F56" s="138">
        <f>'Cálculo dívidas'!AR99</f>
        <v/>
      </c>
      <c r="G56" s="138">
        <f>'Cálculo dívidas'!AS99</f>
        <v/>
      </c>
      <c r="H56" s="138">
        <f>'Cálculo dívidas'!AT99</f>
        <v/>
      </c>
      <c r="I56" s="138">
        <f>'Cálculo dívidas'!AG165</f>
        <v/>
      </c>
      <c r="J56" s="138">
        <f>'Cálculo dívidas'!AH165</f>
        <v/>
      </c>
      <c r="K56" s="138">
        <f>'Cálculo dívidas'!AI165</f>
        <v/>
      </c>
      <c r="L56" s="108">
        <f>'Cálculo dívidas'!AU33</f>
        <v/>
      </c>
      <c r="M56" s="108">
        <f>'Cálculo dívidas'!AU99</f>
        <v/>
      </c>
      <c r="N56" s="110">
        <f>CHOOSE(MONTH(B56),"jan","fev","mar","abr","mai","jun","jul","ago","set","out","nov","dez")&amp;"/"&amp;RIGHT(YEAR(B56),2)</f>
        <v/>
      </c>
    </row>
    <row r="57">
      <c r="A57" s="97" t="n">
        <v>10</v>
      </c>
      <c r="B57" s="96">
        <f>'Cálculo dívidas'!B34</f>
        <v/>
      </c>
      <c r="C57" s="138">
        <f>'Cálculo dívidas'!AR34</f>
        <v/>
      </c>
      <c r="D57" s="138">
        <f>'Cálculo dívidas'!AS34</f>
        <v/>
      </c>
      <c r="E57" s="138">
        <f>'Cálculo dívidas'!AT34</f>
        <v/>
      </c>
      <c r="F57" s="138">
        <f>'Cálculo dívidas'!AR100</f>
        <v/>
      </c>
      <c r="G57" s="138">
        <f>'Cálculo dívidas'!AS100</f>
        <v/>
      </c>
      <c r="H57" s="138">
        <f>'Cálculo dívidas'!AT100</f>
        <v/>
      </c>
      <c r="I57" s="138">
        <f>'Cálculo dívidas'!AG166</f>
        <v/>
      </c>
      <c r="J57" s="138">
        <f>'Cálculo dívidas'!AH166</f>
        <v/>
      </c>
      <c r="K57" s="138">
        <f>'Cálculo dívidas'!AI166</f>
        <v/>
      </c>
      <c r="L57" s="108">
        <f>'Cálculo dívidas'!AU34</f>
        <v/>
      </c>
      <c r="M57" s="108">
        <f>'Cálculo dívidas'!AU100</f>
        <v/>
      </c>
      <c r="N57" s="110">
        <f>CHOOSE(MONTH(B57),"jan","fev","mar","abr","mai","jun","jul","ago","set","out","nov","dez")&amp;"/"&amp;RIGHT(YEAR(B57),2)</f>
        <v/>
      </c>
    </row>
    <row r="58">
      <c r="A58" s="97" t="n">
        <v>11</v>
      </c>
      <c r="B58" s="96">
        <f>'Cálculo dívidas'!B35</f>
        <v/>
      </c>
      <c r="C58" s="138">
        <f>'Cálculo dívidas'!AR35</f>
        <v/>
      </c>
      <c r="D58" s="138">
        <f>'Cálculo dívidas'!AS35</f>
        <v/>
      </c>
      <c r="E58" s="138">
        <f>'Cálculo dívidas'!AT35</f>
        <v/>
      </c>
      <c r="F58" s="138">
        <f>'Cálculo dívidas'!AR101</f>
        <v/>
      </c>
      <c r="G58" s="138">
        <f>'Cálculo dívidas'!AS101</f>
        <v/>
      </c>
      <c r="H58" s="138">
        <f>'Cálculo dívidas'!AT101</f>
        <v/>
      </c>
      <c r="I58" s="138">
        <f>'Cálculo dívidas'!AG167</f>
        <v/>
      </c>
      <c r="J58" s="138">
        <f>'Cálculo dívidas'!AH167</f>
        <v/>
      </c>
      <c r="K58" s="138">
        <f>'Cálculo dívidas'!AI167</f>
        <v/>
      </c>
      <c r="L58" s="108">
        <f>'Cálculo dívidas'!AU35</f>
        <v/>
      </c>
      <c r="M58" s="108">
        <f>'Cálculo dívidas'!AU101</f>
        <v/>
      </c>
      <c r="N58" s="110">
        <f>CHOOSE(MONTH(B58),"jan","fev","mar","abr","mai","jun","jul","ago","set","out","nov","dez")&amp;"/"&amp;RIGHT(YEAR(B58),2)</f>
        <v/>
      </c>
    </row>
    <row r="59">
      <c r="A59" s="97" t="n">
        <v>12</v>
      </c>
      <c r="B59" s="96">
        <f>'Cálculo dívidas'!B36</f>
        <v/>
      </c>
      <c r="C59" s="138">
        <f>'Cálculo dívidas'!AR36</f>
        <v/>
      </c>
      <c r="D59" s="138">
        <f>'Cálculo dívidas'!AS36</f>
        <v/>
      </c>
      <c r="E59" s="138">
        <f>'Cálculo dívidas'!AT36</f>
        <v/>
      </c>
      <c r="F59" s="138">
        <f>'Cálculo dívidas'!AR102</f>
        <v/>
      </c>
      <c r="G59" s="138">
        <f>'Cálculo dívidas'!AS102</f>
        <v/>
      </c>
      <c r="H59" s="138">
        <f>'Cálculo dívidas'!AT102</f>
        <v/>
      </c>
      <c r="I59" s="138">
        <f>'Cálculo dívidas'!AG168</f>
        <v/>
      </c>
      <c r="J59" s="138">
        <f>'Cálculo dívidas'!AH168</f>
        <v/>
      </c>
      <c r="K59" s="138">
        <f>'Cálculo dívidas'!AI168</f>
        <v/>
      </c>
      <c r="L59" s="108">
        <f>'Cálculo dívidas'!AU36</f>
        <v/>
      </c>
      <c r="M59" s="108">
        <f>'Cálculo dívidas'!AU102</f>
        <v/>
      </c>
      <c r="N59" s="110">
        <f>CHOOSE(MONTH(B59),"jan","fev","mar","abr","mai","jun","jul","ago","set","out","nov","dez")&amp;"/"&amp;RIGHT(YEAR(B59),2)</f>
        <v/>
      </c>
    </row>
    <row r="60">
      <c r="A60" s="97" t="n">
        <v>13</v>
      </c>
      <c r="B60" s="96">
        <f>'Cálculo dívidas'!B37</f>
        <v/>
      </c>
      <c r="C60" s="138">
        <f>'Cálculo dívidas'!AR37</f>
        <v/>
      </c>
      <c r="D60" s="138">
        <f>'Cálculo dívidas'!AS37</f>
        <v/>
      </c>
      <c r="E60" s="138">
        <f>'Cálculo dívidas'!AT37</f>
        <v/>
      </c>
      <c r="F60" s="138">
        <f>'Cálculo dívidas'!AR103</f>
        <v/>
      </c>
      <c r="G60" s="138">
        <f>'Cálculo dívidas'!AS103</f>
        <v/>
      </c>
      <c r="H60" s="138">
        <f>'Cálculo dívidas'!AT103</f>
        <v/>
      </c>
      <c r="I60" s="138">
        <f>'Cálculo dívidas'!AG169</f>
        <v/>
      </c>
      <c r="J60" s="138">
        <f>'Cálculo dívidas'!AH169</f>
        <v/>
      </c>
      <c r="K60" s="138">
        <f>'Cálculo dívidas'!AI169</f>
        <v/>
      </c>
      <c r="L60" s="108">
        <f>'Cálculo dívidas'!AU37</f>
        <v/>
      </c>
      <c r="M60" s="108">
        <f>'Cálculo dívidas'!AU103</f>
        <v/>
      </c>
      <c r="N60" s="110">
        <f>CHOOSE(MONTH(B60),"jan","fev","mar","abr","mai","jun","jul","ago","set","out","nov","dez")&amp;"/"&amp;RIGHT(YEAR(B60),2)</f>
        <v/>
      </c>
    </row>
    <row r="61">
      <c r="A61" s="97" t="n">
        <v>14</v>
      </c>
      <c r="B61" s="96">
        <f>'Cálculo dívidas'!B38</f>
        <v/>
      </c>
      <c r="C61" s="138">
        <f>'Cálculo dívidas'!AR38</f>
        <v/>
      </c>
      <c r="D61" s="138">
        <f>'Cálculo dívidas'!AS38</f>
        <v/>
      </c>
      <c r="E61" s="138">
        <f>'Cálculo dívidas'!AT38</f>
        <v/>
      </c>
      <c r="F61" s="138">
        <f>'Cálculo dívidas'!AR104</f>
        <v/>
      </c>
      <c r="G61" s="138">
        <f>'Cálculo dívidas'!AS104</f>
        <v/>
      </c>
      <c r="H61" s="138">
        <f>'Cálculo dívidas'!AT104</f>
        <v/>
      </c>
      <c r="I61" s="138">
        <f>'Cálculo dívidas'!AG170</f>
        <v/>
      </c>
      <c r="J61" s="138">
        <f>'Cálculo dívidas'!AH170</f>
        <v/>
      </c>
      <c r="K61" s="138">
        <f>'Cálculo dívidas'!AI170</f>
        <v/>
      </c>
      <c r="L61" s="108">
        <f>'Cálculo dívidas'!AU38</f>
        <v/>
      </c>
      <c r="M61" s="108">
        <f>'Cálculo dívidas'!AU104</f>
        <v/>
      </c>
      <c r="N61" s="110">
        <f>CHOOSE(MONTH(B61),"jan","fev","mar","abr","mai","jun","jul","ago","set","out","nov","dez")&amp;"/"&amp;RIGHT(YEAR(B61),2)</f>
        <v/>
      </c>
    </row>
    <row r="62">
      <c r="A62" s="97" t="n">
        <v>15</v>
      </c>
      <c r="B62" s="96">
        <f>'Cálculo dívidas'!B39</f>
        <v/>
      </c>
      <c r="C62" s="138">
        <f>'Cálculo dívidas'!AR39</f>
        <v/>
      </c>
      <c r="D62" s="138">
        <f>'Cálculo dívidas'!AS39</f>
        <v/>
      </c>
      <c r="E62" s="138">
        <f>'Cálculo dívidas'!AT39</f>
        <v/>
      </c>
      <c r="F62" s="138">
        <f>'Cálculo dívidas'!AR105</f>
        <v/>
      </c>
      <c r="G62" s="138">
        <f>'Cálculo dívidas'!AS105</f>
        <v/>
      </c>
      <c r="H62" s="138">
        <f>'Cálculo dívidas'!AT105</f>
        <v/>
      </c>
      <c r="I62" s="138">
        <f>'Cálculo dívidas'!AG171</f>
        <v/>
      </c>
      <c r="J62" s="138">
        <f>'Cálculo dívidas'!AH171</f>
        <v/>
      </c>
      <c r="K62" s="138">
        <f>'Cálculo dívidas'!AI171</f>
        <v/>
      </c>
      <c r="L62" s="108">
        <f>'Cálculo dívidas'!AU39</f>
        <v/>
      </c>
      <c r="M62" s="108">
        <f>'Cálculo dívidas'!AU105</f>
        <v/>
      </c>
      <c r="N62" s="110">
        <f>CHOOSE(MONTH(B62),"jan","fev","mar","abr","mai","jun","jul","ago","set","out","nov","dez")&amp;"/"&amp;RIGHT(YEAR(B62),2)</f>
        <v/>
      </c>
    </row>
    <row r="63">
      <c r="A63" s="97" t="n">
        <v>16</v>
      </c>
      <c r="B63" s="96">
        <f>'Cálculo dívidas'!B40</f>
        <v/>
      </c>
      <c r="C63" s="138">
        <f>'Cálculo dívidas'!AR40</f>
        <v/>
      </c>
      <c r="D63" s="138">
        <f>'Cálculo dívidas'!AS40</f>
        <v/>
      </c>
      <c r="E63" s="138">
        <f>'Cálculo dívidas'!AT40</f>
        <v/>
      </c>
      <c r="F63" s="138">
        <f>'Cálculo dívidas'!AR106</f>
        <v/>
      </c>
      <c r="G63" s="138">
        <f>'Cálculo dívidas'!AS106</f>
        <v/>
      </c>
      <c r="H63" s="138">
        <f>'Cálculo dívidas'!AT106</f>
        <v/>
      </c>
      <c r="I63" s="138">
        <f>'Cálculo dívidas'!AG172</f>
        <v/>
      </c>
      <c r="J63" s="138">
        <f>'Cálculo dívidas'!AH172</f>
        <v/>
      </c>
      <c r="K63" s="138">
        <f>'Cálculo dívidas'!AI172</f>
        <v/>
      </c>
      <c r="L63" s="108">
        <f>'Cálculo dívidas'!AU40</f>
        <v/>
      </c>
      <c r="M63" s="108">
        <f>'Cálculo dívidas'!AU106</f>
        <v/>
      </c>
      <c r="N63" s="110">
        <f>CHOOSE(MONTH(B63),"jan","fev","mar","abr","mai","jun","jul","ago","set","out","nov","dez")&amp;"/"&amp;RIGHT(YEAR(B63),2)</f>
        <v/>
      </c>
    </row>
    <row r="64">
      <c r="A64" s="97" t="n">
        <v>17</v>
      </c>
      <c r="B64" s="96">
        <f>'Cálculo dívidas'!B41</f>
        <v/>
      </c>
      <c r="C64" s="138">
        <f>'Cálculo dívidas'!AR41</f>
        <v/>
      </c>
      <c r="D64" s="138">
        <f>'Cálculo dívidas'!AS41</f>
        <v/>
      </c>
      <c r="E64" s="138">
        <f>'Cálculo dívidas'!AT41</f>
        <v/>
      </c>
      <c r="F64" s="138">
        <f>'Cálculo dívidas'!AR107</f>
        <v/>
      </c>
      <c r="G64" s="138">
        <f>'Cálculo dívidas'!AS107</f>
        <v/>
      </c>
      <c r="H64" s="138">
        <f>'Cálculo dívidas'!AT107</f>
        <v/>
      </c>
      <c r="I64" s="138">
        <f>'Cálculo dívidas'!AG173</f>
        <v/>
      </c>
      <c r="J64" s="138">
        <f>'Cálculo dívidas'!AH173</f>
        <v/>
      </c>
      <c r="K64" s="138">
        <f>'Cálculo dívidas'!AI173</f>
        <v/>
      </c>
      <c r="L64" s="108">
        <f>'Cálculo dívidas'!AU41</f>
        <v/>
      </c>
      <c r="M64" s="108">
        <f>'Cálculo dívidas'!AU107</f>
        <v/>
      </c>
      <c r="N64" s="110">
        <f>CHOOSE(MONTH(B64),"jan","fev","mar","abr","mai","jun","jul","ago","set","out","nov","dez")&amp;"/"&amp;RIGHT(YEAR(B64),2)</f>
        <v/>
      </c>
    </row>
    <row r="65">
      <c r="A65" s="97" t="n">
        <v>18</v>
      </c>
      <c r="B65" s="96">
        <f>'Cálculo dívidas'!B42</f>
        <v/>
      </c>
      <c r="C65" s="138">
        <f>'Cálculo dívidas'!AR42</f>
        <v/>
      </c>
      <c r="D65" s="138">
        <f>'Cálculo dívidas'!AS42</f>
        <v/>
      </c>
      <c r="E65" s="138">
        <f>'Cálculo dívidas'!AT42</f>
        <v/>
      </c>
      <c r="F65" s="138">
        <f>'Cálculo dívidas'!AR108</f>
        <v/>
      </c>
      <c r="G65" s="138">
        <f>'Cálculo dívidas'!AS108</f>
        <v/>
      </c>
      <c r="H65" s="138">
        <f>'Cálculo dívidas'!AT108</f>
        <v/>
      </c>
      <c r="I65" s="138">
        <f>'Cálculo dívidas'!AG174</f>
        <v/>
      </c>
      <c r="J65" s="138">
        <f>'Cálculo dívidas'!AH174</f>
        <v/>
      </c>
      <c r="K65" s="138">
        <f>'Cálculo dívidas'!AI174</f>
        <v/>
      </c>
      <c r="L65" s="108">
        <f>'Cálculo dívidas'!AU42</f>
        <v/>
      </c>
      <c r="M65" s="108">
        <f>'Cálculo dívidas'!AU108</f>
        <v/>
      </c>
      <c r="N65" s="110">
        <f>CHOOSE(MONTH(B65),"jan","fev","mar","abr","mai","jun","jul","ago","set","out","nov","dez")&amp;"/"&amp;RIGHT(YEAR(B65),2)</f>
        <v/>
      </c>
    </row>
    <row r="66">
      <c r="A66" s="97" t="n">
        <v>19</v>
      </c>
      <c r="B66" s="96">
        <f>'Cálculo dívidas'!B43</f>
        <v/>
      </c>
      <c r="C66" s="138">
        <f>'Cálculo dívidas'!AR43</f>
        <v/>
      </c>
      <c r="D66" s="138">
        <f>'Cálculo dívidas'!AS43</f>
        <v/>
      </c>
      <c r="E66" s="138">
        <f>'Cálculo dívidas'!AT43</f>
        <v/>
      </c>
      <c r="F66" s="138">
        <f>'Cálculo dívidas'!AR109</f>
        <v/>
      </c>
      <c r="G66" s="138">
        <f>'Cálculo dívidas'!AS109</f>
        <v/>
      </c>
      <c r="H66" s="138">
        <f>'Cálculo dívidas'!AT109</f>
        <v/>
      </c>
      <c r="I66" s="138">
        <f>'Cálculo dívidas'!AG175</f>
        <v/>
      </c>
      <c r="J66" s="138">
        <f>'Cálculo dívidas'!AH175</f>
        <v/>
      </c>
      <c r="K66" s="138">
        <f>'Cálculo dívidas'!AI175</f>
        <v/>
      </c>
      <c r="L66" s="108">
        <f>'Cálculo dívidas'!AU43</f>
        <v/>
      </c>
      <c r="M66" s="108">
        <f>'Cálculo dívidas'!AU109</f>
        <v/>
      </c>
      <c r="N66" s="110">
        <f>CHOOSE(MONTH(B66),"jan","fev","mar","abr","mai","jun","jul","ago","set","out","nov","dez")&amp;"/"&amp;RIGHT(YEAR(B66),2)</f>
        <v/>
      </c>
    </row>
    <row r="67">
      <c r="A67" s="97" t="n">
        <v>20</v>
      </c>
      <c r="B67" s="96">
        <f>'Cálculo dívidas'!B44</f>
        <v/>
      </c>
      <c r="C67" s="138">
        <f>'Cálculo dívidas'!AR44</f>
        <v/>
      </c>
      <c r="D67" s="138">
        <f>'Cálculo dívidas'!AS44</f>
        <v/>
      </c>
      <c r="E67" s="138">
        <f>'Cálculo dívidas'!AT44</f>
        <v/>
      </c>
      <c r="F67" s="138">
        <f>'Cálculo dívidas'!AR110</f>
        <v/>
      </c>
      <c r="G67" s="138">
        <f>'Cálculo dívidas'!AS110</f>
        <v/>
      </c>
      <c r="H67" s="138">
        <f>'Cálculo dívidas'!AT110</f>
        <v/>
      </c>
      <c r="I67" s="138">
        <f>'Cálculo dívidas'!AG176</f>
        <v/>
      </c>
      <c r="J67" s="138">
        <f>'Cálculo dívidas'!AH176</f>
        <v/>
      </c>
      <c r="K67" s="138">
        <f>'Cálculo dívidas'!AI176</f>
        <v/>
      </c>
      <c r="L67" s="108">
        <f>'Cálculo dívidas'!AU44</f>
        <v/>
      </c>
      <c r="M67" s="108">
        <f>'Cálculo dívidas'!AU110</f>
        <v/>
      </c>
      <c r="N67" s="110">
        <f>CHOOSE(MONTH(B67),"jan","fev","mar","abr","mai","jun","jul","ago","set","out","nov","dez")&amp;"/"&amp;RIGHT(YEAR(B67),2)</f>
        <v/>
      </c>
    </row>
    <row r="68">
      <c r="A68" s="97" t="n">
        <v>21</v>
      </c>
      <c r="B68" s="96">
        <f>'Cálculo dívidas'!B45</f>
        <v/>
      </c>
      <c r="C68" s="138">
        <f>'Cálculo dívidas'!AR45</f>
        <v/>
      </c>
      <c r="D68" s="138">
        <f>'Cálculo dívidas'!AS45</f>
        <v/>
      </c>
      <c r="E68" s="138">
        <f>'Cálculo dívidas'!AT45</f>
        <v/>
      </c>
      <c r="F68" s="138">
        <f>'Cálculo dívidas'!AR111</f>
        <v/>
      </c>
      <c r="G68" s="138">
        <f>'Cálculo dívidas'!AS111</f>
        <v/>
      </c>
      <c r="H68" s="138">
        <f>'Cálculo dívidas'!AT111</f>
        <v/>
      </c>
      <c r="I68" s="138">
        <f>'Cálculo dívidas'!AG177</f>
        <v/>
      </c>
      <c r="J68" s="138">
        <f>'Cálculo dívidas'!AH177</f>
        <v/>
      </c>
      <c r="K68" s="138">
        <f>'Cálculo dívidas'!AI177</f>
        <v/>
      </c>
      <c r="L68" s="108">
        <f>'Cálculo dívidas'!AU45</f>
        <v/>
      </c>
      <c r="M68" s="108">
        <f>'Cálculo dívidas'!AU111</f>
        <v/>
      </c>
      <c r="N68" s="110">
        <f>CHOOSE(MONTH(B68),"jan","fev","mar","abr","mai","jun","jul","ago","set","out","nov","dez")&amp;"/"&amp;RIGHT(YEAR(B68),2)</f>
        <v/>
      </c>
    </row>
    <row r="69">
      <c r="A69" s="97" t="n">
        <v>22</v>
      </c>
      <c r="B69" s="96">
        <f>'Cálculo dívidas'!B46</f>
        <v/>
      </c>
      <c r="C69" s="138">
        <f>'Cálculo dívidas'!AR46</f>
        <v/>
      </c>
      <c r="D69" s="138">
        <f>'Cálculo dívidas'!AS46</f>
        <v/>
      </c>
      <c r="E69" s="138">
        <f>'Cálculo dívidas'!AT46</f>
        <v/>
      </c>
      <c r="F69" s="138">
        <f>'Cálculo dívidas'!AR112</f>
        <v/>
      </c>
      <c r="G69" s="138">
        <f>'Cálculo dívidas'!AS112</f>
        <v/>
      </c>
      <c r="H69" s="138">
        <f>'Cálculo dívidas'!AT112</f>
        <v/>
      </c>
      <c r="I69" s="138">
        <f>'Cálculo dívidas'!AG178</f>
        <v/>
      </c>
      <c r="J69" s="138">
        <f>'Cálculo dívidas'!AH178</f>
        <v/>
      </c>
      <c r="K69" s="138">
        <f>'Cálculo dívidas'!AI178</f>
        <v/>
      </c>
      <c r="L69" s="108">
        <f>'Cálculo dívidas'!AU46</f>
        <v/>
      </c>
      <c r="M69" s="108">
        <f>'Cálculo dívidas'!AU112</f>
        <v/>
      </c>
      <c r="N69" s="110">
        <f>CHOOSE(MONTH(B69),"jan","fev","mar","abr","mai","jun","jul","ago","set","out","nov","dez")&amp;"/"&amp;RIGHT(YEAR(B69),2)</f>
        <v/>
      </c>
    </row>
    <row r="70">
      <c r="A70" s="97" t="n">
        <v>23</v>
      </c>
      <c r="B70" s="96">
        <f>'Cálculo dívidas'!B47</f>
        <v/>
      </c>
      <c r="C70" s="138">
        <f>'Cálculo dívidas'!AR47</f>
        <v/>
      </c>
      <c r="D70" s="138">
        <f>'Cálculo dívidas'!AS47</f>
        <v/>
      </c>
      <c r="E70" s="138">
        <f>'Cálculo dívidas'!AT47</f>
        <v/>
      </c>
      <c r="F70" s="138">
        <f>'Cálculo dívidas'!AR113</f>
        <v/>
      </c>
      <c r="G70" s="138">
        <f>'Cálculo dívidas'!AS113</f>
        <v/>
      </c>
      <c r="H70" s="138">
        <f>'Cálculo dívidas'!AT113</f>
        <v/>
      </c>
      <c r="I70" s="138">
        <f>'Cálculo dívidas'!AG179</f>
        <v/>
      </c>
      <c r="J70" s="138">
        <f>'Cálculo dívidas'!AH179</f>
        <v/>
      </c>
      <c r="K70" s="138">
        <f>'Cálculo dívidas'!AI179</f>
        <v/>
      </c>
      <c r="L70" s="108">
        <f>'Cálculo dívidas'!AU47</f>
        <v/>
      </c>
      <c r="M70" s="108">
        <f>'Cálculo dívidas'!AU113</f>
        <v/>
      </c>
      <c r="N70" s="110">
        <f>CHOOSE(MONTH(B70),"jan","fev","mar","abr","mai","jun","jul","ago","set","out","nov","dez")&amp;"/"&amp;RIGHT(YEAR(B70),2)</f>
        <v/>
      </c>
    </row>
    <row r="71">
      <c r="A71" s="97" t="n">
        <v>24</v>
      </c>
      <c r="B71" s="96">
        <f>'Cálculo dívidas'!B48</f>
        <v/>
      </c>
      <c r="C71" s="138">
        <f>'Cálculo dívidas'!AR48</f>
        <v/>
      </c>
      <c r="D71" s="138">
        <f>'Cálculo dívidas'!AS48</f>
        <v/>
      </c>
      <c r="E71" s="138">
        <f>'Cálculo dívidas'!AT48</f>
        <v/>
      </c>
      <c r="F71" s="138">
        <f>'Cálculo dívidas'!AR114</f>
        <v/>
      </c>
      <c r="G71" s="138">
        <f>'Cálculo dívidas'!AS114</f>
        <v/>
      </c>
      <c r="H71" s="138">
        <f>'Cálculo dívidas'!AT114</f>
        <v/>
      </c>
      <c r="I71" s="138">
        <f>'Cálculo dívidas'!AG180</f>
        <v/>
      </c>
      <c r="J71" s="138">
        <f>'Cálculo dívidas'!AH180</f>
        <v/>
      </c>
      <c r="K71" s="138">
        <f>'Cálculo dívidas'!AI180</f>
        <v/>
      </c>
      <c r="L71" s="108">
        <f>'Cálculo dívidas'!AU48</f>
        <v/>
      </c>
      <c r="M71" s="108">
        <f>'Cálculo dívidas'!AU114</f>
        <v/>
      </c>
      <c r="N71" s="110">
        <f>CHOOSE(MONTH(B71),"jan","fev","mar","abr","mai","jun","jul","ago","set","out","nov","dez")&amp;"/"&amp;RIGHT(YEAR(B71),2)</f>
        <v/>
      </c>
    </row>
    <row r="72">
      <c r="A72" s="97" t="n">
        <v>25</v>
      </c>
      <c r="B72" s="96">
        <f>'Cálculo dívidas'!B49</f>
        <v/>
      </c>
      <c r="C72" s="138">
        <f>'Cálculo dívidas'!AR49</f>
        <v/>
      </c>
      <c r="D72" s="138">
        <f>'Cálculo dívidas'!AS49</f>
        <v/>
      </c>
      <c r="E72" s="138">
        <f>'Cálculo dívidas'!AT49</f>
        <v/>
      </c>
      <c r="F72" s="138">
        <f>'Cálculo dívidas'!AR115</f>
        <v/>
      </c>
      <c r="G72" s="138">
        <f>'Cálculo dívidas'!AS115</f>
        <v/>
      </c>
      <c r="H72" s="138">
        <f>'Cálculo dívidas'!AT115</f>
        <v/>
      </c>
      <c r="I72" s="138">
        <f>'Cálculo dívidas'!AG181</f>
        <v/>
      </c>
      <c r="J72" s="138">
        <f>'Cálculo dívidas'!AH181</f>
        <v/>
      </c>
      <c r="K72" s="138">
        <f>'Cálculo dívidas'!AI181</f>
        <v/>
      </c>
      <c r="L72" s="108">
        <f>'Cálculo dívidas'!AU49</f>
        <v/>
      </c>
      <c r="M72" s="108">
        <f>'Cálculo dívidas'!AU115</f>
        <v/>
      </c>
      <c r="N72" s="110">
        <f>CHOOSE(MONTH(B72),"jan","fev","mar","abr","mai","jun","jul","ago","set","out","nov","dez")&amp;"/"&amp;RIGHT(YEAR(B72),2)</f>
        <v/>
      </c>
    </row>
    <row r="73">
      <c r="A73" s="97" t="n">
        <v>26</v>
      </c>
      <c r="B73" s="96">
        <f>'Cálculo dívidas'!B50</f>
        <v/>
      </c>
      <c r="C73" s="138">
        <f>'Cálculo dívidas'!AR50</f>
        <v/>
      </c>
      <c r="D73" s="138">
        <f>'Cálculo dívidas'!AS50</f>
        <v/>
      </c>
      <c r="E73" s="138">
        <f>'Cálculo dívidas'!AT50</f>
        <v/>
      </c>
      <c r="F73" s="138">
        <f>'Cálculo dívidas'!AR116</f>
        <v/>
      </c>
      <c r="G73" s="138">
        <f>'Cálculo dívidas'!AS116</f>
        <v/>
      </c>
      <c r="H73" s="138">
        <f>'Cálculo dívidas'!AT116</f>
        <v/>
      </c>
      <c r="I73" s="138">
        <f>'Cálculo dívidas'!AG182</f>
        <v/>
      </c>
      <c r="J73" s="138">
        <f>'Cálculo dívidas'!AH182</f>
        <v/>
      </c>
      <c r="K73" s="138">
        <f>'Cálculo dívidas'!AI182</f>
        <v/>
      </c>
      <c r="L73" s="108">
        <f>'Cálculo dívidas'!AU50</f>
        <v/>
      </c>
      <c r="M73" s="108">
        <f>'Cálculo dívidas'!AU116</f>
        <v/>
      </c>
      <c r="N73" s="110">
        <f>CHOOSE(MONTH(B73),"jan","fev","mar","abr","mai","jun","jul","ago","set","out","nov","dez")&amp;"/"&amp;RIGHT(YEAR(B73),2)</f>
        <v/>
      </c>
    </row>
    <row r="74">
      <c r="A74" s="97" t="n">
        <v>27</v>
      </c>
      <c r="B74" s="96">
        <f>'Cálculo dívidas'!B51</f>
        <v/>
      </c>
      <c r="C74" s="138">
        <f>'Cálculo dívidas'!AR51</f>
        <v/>
      </c>
      <c r="D74" s="138">
        <f>'Cálculo dívidas'!AS51</f>
        <v/>
      </c>
      <c r="E74" s="138">
        <f>'Cálculo dívidas'!AT51</f>
        <v/>
      </c>
      <c r="F74" s="138">
        <f>'Cálculo dívidas'!AR117</f>
        <v/>
      </c>
      <c r="G74" s="138">
        <f>'Cálculo dívidas'!AS117</f>
        <v/>
      </c>
      <c r="H74" s="138">
        <f>'Cálculo dívidas'!AT117</f>
        <v/>
      </c>
      <c r="I74" s="138">
        <f>'Cálculo dívidas'!AG183</f>
        <v/>
      </c>
      <c r="J74" s="138">
        <f>'Cálculo dívidas'!AH183</f>
        <v/>
      </c>
      <c r="K74" s="138">
        <f>'Cálculo dívidas'!AI183</f>
        <v/>
      </c>
      <c r="L74" s="108">
        <f>'Cálculo dívidas'!AU51</f>
        <v/>
      </c>
      <c r="M74" s="108">
        <f>'Cálculo dívidas'!AU117</f>
        <v/>
      </c>
      <c r="N74" s="110">
        <f>CHOOSE(MONTH(B74),"jan","fev","mar","abr","mai","jun","jul","ago","set","out","nov","dez")&amp;"/"&amp;RIGHT(YEAR(B74),2)</f>
        <v/>
      </c>
    </row>
    <row r="75">
      <c r="A75" s="97" t="n">
        <v>28</v>
      </c>
      <c r="B75" s="96">
        <f>'Cálculo dívidas'!B52</f>
        <v/>
      </c>
      <c r="C75" s="138">
        <f>'Cálculo dívidas'!AR52</f>
        <v/>
      </c>
      <c r="D75" s="138">
        <f>'Cálculo dívidas'!AS52</f>
        <v/>
      </c>
      <c r="E75" s="138">
        <f>'Cálculo dívidas'!AT52</f>
        <v/>
      </c>
      <c r="F75" s="138">
        <f>'Cálculo dívidas'!AR118</f>
        <v/>
      </c>
      <c r="G75" s="138">
        <f>'Cálculo dívidas'!AS118</f>
        <v/>
      </c>
      <c r="H75" s="138">
        <f>'Cálculo dívidas'!AT118</f>
        <v/>
      </c>
      <c r="I75" s="138">
        <f>'Cálculo dívidas'!AG184</f>
        <v/>
      </c>
      <c r="J75" s="138">
        <f>'Cálculo dívidas'!AH184</f>
        <v/>
      </c>
      <c r="K75" s="138">
        <f>'Cálculo dívidas'!AI184</f>
        <v/>
      </c>
      <c r="L75" s="108">
        <f>'Cálculo dívidas'!AU52</f>
        <v/>
      </c>
      <c r="M75" s="108">
        <f>'Cálculo dívidas'!AU118</f>
        <v/>
      </c>
      <c r="N75" s="110">
        <f>CHOOSE(MONTH(B75),"jan","fev","mar","abr","mai","jun","jul","ago","set","out","nov","dez")&amp;"/"&amp;RIGHT(YEAR(B75),2)</f>
        <v/>
      </c>
    </row>
    <row r="76">
      <c r="A76" s="97" t="n">
        <v>29</v>
      </c>
      <c r="B76" s="96">
        <f>'Cálculo dívidas'!B53</f>
        <v/>
      </c>
      <c r="C76" s="138">
        <f>'Cálculo dívidas'!AR53</f>
        <v/>
      </c>
      <c r="D76" s="138">
        <f>'Cálculo dívidas'!AS53</f>
        <v/>
      </c>
      <c r="E76" s="138">
        <f>'Cálculo dívidas'!AT53</f>
        <v/>
      </c>
      <c r="F76" s="138">
        <f>'Cálculo dívidas'!AR119</f>
        <v/>
      </c>
      <c r="G76" s="138">
        <f>'Cálculo dívidas'!AS119</f>
        <v/>
      </c>
      <c r="H76" s="138">
        <f>'Cálculo dívidas'!AT119</f>
        <v/>
      </c>
      <c r="I76" s="138">
        <f>'Cálculo dívidas'!AG185</f>
        <v/>
      </c>
      <c r="J76" s="138">
        <f>'Cálculo dívidas'!AH185</f>
        <v/>
      </c>
      <c r="K76" s="138">
        <f>'Cálculo dívidas'!AI185</f>
        <v/>
      </c>
      <c r="L76" s="108">
        <f>'Cálculo dívidas'!AU53</f>
        <v/>
      </c>
      <c r="M76" s="108">
        <f>'Cálculo dívidas'!AU119</f>
        <v/>
      </c>
      <c r="N76" s="110">
        <f>CHOOSE(MONTH(B76),"jan","fev","mar","abr","mai","jun","jul","ago","set","out","nov","dez")&amp;"/"&amp;RIGHT(YEAR(B76),2)</f>
        <v/>
      </c>
    </row>
    <row r="77">
      <c r="A77" s="97" t="n">
        <v>30</v>
      </c>
      <c r="B77" s="96">
        <f>'Cálculo dívidas'!B54</f>
        <v/>
      </c>
      <c r="C77" s="138">
        <f>'Cálculo dívidas'!AR54</f>
        <v/>
      </c>
      <c r="D77" s="138">
        <f>'Cálculo dívidas'!AS54</f>
        <v/>
      </c>
      <c r="E77" s="138">
        <f>'Cálculo dívidas'!AT54</f>
        <v/>
      </c>
      <c r="F77" s="138">
        <f>'Cálculo dívidas'!AR120</f>
        <v/>
      </c>
      <c r="G77" s="138">
        <f>'Cálculo dívidas'!AS120</f>
        <v/>
      </c>
      <c r="H77" s="138">
        <f>'Cálculo dívidas'!AT120</f>
        <v/>
      </c>
      <c r="I77" s="138">
        <f>'Cálculo dívidas'!AG186</f>
        <v/>
      </c>
      <c r="J77" s="138">
        <f>'Cálculo dívidas'!AH186</f>
        <v/>
      </c>
      <c r="K77" s="138">
        <f>'Cálculo dívidas'!AI186</f>
        <v/>
      </c>
      <c r="L77" s="108">
        <f>'Cálculo dívidas'!AU54</f>
        <v/>
      </c>
      <c r="M77" s="108">
        <f>'Cálculo dívidas'!AU120</f>
        <v/>
      </c>
      <c r="N77" s="110">
        <f>CHOOSE(MONTH(B77),"jan","fev","mar","abr","mai","jun","jul","ago","set","out","nov","dez")&amp;"/"&amp;RIGHT(YEAR(B77),2)</f>
        <v/>
      </c>
    </row>
    <row r="78">
      <c r="A78" s="97" t="n">
        <v>31</v>
      </c>
      <c r="B78" s="96">
        <f>'Cálculo dívidas'!B55</f>
        <v/>
      </c>
      <c r="C78" s="138">
        <f>'Cálculo dívidas'!AR55</f>
        <v/>
      </c>
      <c r="D78" s="138">
        <f>'Cálculo dívidas'!AS55</f>
        <v/>
      </c>
      <c r="E78" s="138">
        <f>'Cálculo dívidas'!AT55</f>
        <v/>
      </c>
      <c r="F78" s="138">
        <f>'Cálculo dívidas'!AR121</f>
        <v/>
      </c>
      <c r="G78" s="138">
        <f>'Cálculo dívidas'!AS121</f>
        <v/>
      </c>
      <c r="H78" s="138">
        <f>'Cálculo dívidas'!AT121</f>
        <v/>
      </c>
      <c r="I78" s="138">
        <f>'Cálculo dívidas'!AG187</f>
        <v/>
      </c>
      <c r="J78" s="138">
        <f>'Cálculo dívidas'!AH187</f>
        <v/>
      </c>
      <c r="K78" s="138">
        <f>'Cálculo dívidas'!AI187</f>
        <v/>
      </c>
      <c r="L78" s="108">
        <f>'Cálculo dívidas'!AU55</f>
        <v/>
      </c>
      <c r="M78" s="108">
        <f>'Cálculo dívidas'!AU121</f>
        <v/>
      </c>
      <c r="N78" s="110">
        <f>CHOOSE(MONTH(B78),"jan","fev","mar","abr","mai","jun","jul","ago","set","out","nov","dez")&amp;"/"&amp;RIGHT(YEAR(B78),2)</f>
        <v/>
      </c>
    </row>
    <row r="79">
      <c r="A79" s="97" t="n">
        <v>32</v>
      </c>
      <c r="B79" s="96">
        <f>'Cálculo dívidas'!B56</f>
        <v/>
      </c>
      <c r="C79" s="138">
        <f>'Cálculo dívidas'!AR56</f>
        <v/>
      </c>
      <c r="D79" s="138">
        <f>'Cálculo dívidas'!AS56</f>
        <v/>
      </c>
      <c r="E79" s="138">
        <f>'Cálculo dívidas'!AT56</f>
        <v/>
      </c>
      <c r="F79" s="138">
        <f>'Cálculo dívidas'!AR122</f>
        <v/>
      </c>
      <c r="G79" s="138">
        <f>'Cálculo dívidas'!AS122</f>
        <v/>
      </c>
      <c r="H79" s="138">
        <f>'Cálculo dívidas'!AT122</f>
        <v/>
      </c>
      <c r="I79" s="138">
        <f>'Cálculo dívidas'!AG188</f>
        <v/>
      </c>
      <c r="J79" s="138">
        <f>'Cálculo dívidas'!AH188</f>
        <v/>
      </c>
      <c r="K79" s="138">
        <f>'Cálculo dívidas'!AI188</f>
        <v/>
      </c>
      <c r="L79" s="108">
        <f>'Cálculo dívidas'!AU56</f>
        <v/>
      </c>
      <c r="M79" s="108">
        <f>'Cálculo dívidas'!AU122</f>
        <v/>
      </c>
      <c r="N79" s="110">
        <f>CHOOSE(MONTH(B79),"jan","fev","mar","abr","mai","jun","jul","ago","set","out","nov","dez")&amp;"/"&amp;RIGHT(YEAR(B79),2)</f>
        <v/>
      </c>
    </row>
    <row r="80">
      <c r="A80" s="97" t="n">
        <v>33</v>
      </c>
      <c r="B80" s="96">
        <f>'Cálculo dívidas'!B57</f>
        <v/>
      </c>
      <c r="C80" s="138">
        <f>'Cálculo dívidas'!AR57</f>
        <v/>
      </c>
      <c r="D80" s="138">
        <f>'Cálculo dívidas'!AS57</f>
        <v/>
      </c>
      <c r="E80" s="138">
        <f>'Cálculo dívidas'!AT57</f>
        <v/>
      </c>
      <c r="F80" s="138">
        <f>'Cálculo dívidas'!AR123</f>
        <v/>
      </c>
      <c r="G80" s="138">
        <f>'Cálculo dívidas'!AS123</f>
        <v/>
      </c>
      <c r="H80" s="138">
        <f>'Cálculo dívidas'!AT123</f>
        <v/>
      </c>
      <c r="I80" s="138">
        <f>'Cálculo dívidas'!AG189</f>
        <v/>
      </c>
      <c r="J80" s="138">
        <f>'Cálculo dívidas'!AH189</f>
        <v/>
      </c>
      <c r="K80" s="138">
        <f>'Cálculo dívidas'!AI189</f>
        <v/>
      </c>
      <c r="L80" s="108">
        <f>'Cálculo dívidas'!AU57</f>
        <v/>
      </c>
      <c r="M80" s="108">
        <f>'Cálculo dívidas'!AU123</f>
        <v/>
      </c>
      <c r="N80" s="110">
        <f>CHOOSE(MONTH(B80),"jan","fev","mar","abr","mai","jun","jul","ago","set","out","nov","dez")&amp;"/"&amp;RIGHT(YEAR(B80),2)</f>
        <v/>
      </c>
    </row>
    <row r="81">
      <c r="A81" s="97" t="n">
        <v>34</v>
      </c>
      <c r="B81" s="96">
        <f>'Cálculo dívidas'!B58</f>
        <v/>
      </c>
      <c r="C81" s="138">
        <f>'Cálculo dívidas'!AR58</f>
        <v/>
      </c>
      <c r="D81" s="138">
        <f>'Cálculo dívidas'!AS58</f>
        <v/>
      </c>
      <c r="E81" s="138">
        <f>'Cálculo dívidas'!AT58</f>
        <v/>
      </c>
      <c r="F81" s="138">
        <f>'Cálculo dívidas'!AR124</f>
        <v/>
      </c>
      <c r="G81" s="138">
        <f>'Cálculo dívidas'!AS124</f>
        <v/>
      </c>
      <c r="H81" s="138">
        <f>'Cálculo dívidas'!AT124</f>
        <v/>
      </c>
      <c r="I81" s="138">
        <f>'Cálculo dívidas'!AG190</f>
        <v/>
      </c>
      <c r="J81" s="138">
        <f>'Cálculo dívidas'!AH190</f>
        <v/>
      </c>
      <c r="K81" s="138">
        <f>'Cálculo dívidas'!AI190</f>
        <v/>
      </c>
      <c r="L81" s="108">
        <f>'Cálculo dívidas'!AU58</f>
        <v/>
      </c>
      <c r="M81" s="108">
        <f>'Cálculo dívidas'!AU124</f>
        <v/>
      </c>
      <c r="N81" s="110">
        <f>CHOOSE(MONTH(B81),"jan","fev","mar","abr","mai","jun","jul","ago","set","out","nov","dez")&amp;"/"&amp;RIGHT(YEAR(B81),2)</f>
        <v/>
      </c>
    </row>
    <row r="82">
      <c r="A82" s="97" t="n">
        <v>35</v>
      </c>
      <c r="B82" s="96">
        <f>'Cálculo dívidas'!B59</f>
        <v/>
      </c>
      <c r="C82" s="138">
        <f>'Cálculo dívidas'!AR59</f>
        <v/>
      </c>
      <c r="D82" s="138">
        <f>'Cálculo dívidas'!AS59</f>
        <v/>
      </c>
      <c r="E82" s="138">
        <f>'Cálculo dívidas'!AT59</f>
        <v/>
      </c>
      <c r="F82" s="138">
        <f>'Cálculo dívidas'!AR125</f>
        <v/>
      </c>
      <c r="G82" s="138">
        <f>'Cálculo dívidas'!AS125</f>
        <v/>
      </c>
      <c r="H82" s="138">
        <f>'Cálculo dívidas'!AT125</f>
        <v/>
      </c>
      <c r="I82" s="138">
        <f>'Cálculo dívidas'!AG191</f>
        <v/>
      </c>
      <c r="J82" s="138">
        <f>'Cálculo dívidas'!AH191</f>
        <v/>
      </c>
      <c r="K82" s="138">
        <f>'Cálculo dívidas'!AI191</f>
        <v/>
      </c>
      <c r="L82" s="108">
        <f>'Cálculo dívidas'!AU59</f>
        <v/>
      </c>
      <c r="M82" s="108">
        <f>'Cálculo dívidas'!AU125</f>
        <v/>
      </c>
      <c r="N82" s="110">
        <f>CHOOSE(MONTH(B82),"jan","fev","mar","abr","mai","jun","jul","ago","set","out","nov","dez")&amp;"/"&amp;RIGHT(YEAR(B82),2)</f>
        <v/>
      </c>
    </row>
    <row r="83">
      <c r="A83" s="97" t="n">
        <v>36</v>
      </c>
      <c r="B83" s="96">
        <f>'Cálculo dívidas'!B60</f>
        <v/>
      </c>
      <c r="C83" s="138">
        <f>'Cálculo dívidas'!AR60</f>
        <v/>
      </c>
      <c r="D83" s="138">
        <f>'Cálculo dívidas'!AS60</f>
        <v/>
      </c>
      <c r="E83" s="138">
        <f>'Cálculo dívidas'!AT60</f>
        <v/>
      </c>
      <c r="F83" s="138">
        <f>'Cálculo dívidas'!AR126</f>
        <v/>
      </c>
      <c r="G83" s="138">
        <f>'Cálculo dívidas'!AS126</f>
        <v/>
      </c>
      <c r="H83" s="138">
        <f>'Cálculo dívidas'!AT126</f>
        <v/>
      </c>
      <c r="I83" s="138">
        <f>'Cálculo dívidas'!AG192</f>
        <v/>
      </c>
      <c r="J83" s="138">
        <f>'Cálculo dívidas'!AH192</f>
        <v/>
      </c>
      <c r="K83" s="138">
        <f>'Cálculo dívidas'!AI192</f>
        <v/>
      </c>
      <c r="L83" s="108">
        <f>'Cálculo dívidas'!AU60</f>
        <v/>
      </c>
      <c r="M83" s="108">
        <f>'Cálculo dívidas'!AU126</f>
        <v/>
      </c>
      <c r="N83" s="110">
        <f>CHOOSE(MONTH(B83),"jan","fev","mar","abr","mai","jun","jul","ago","set","out","nov","dez")&amp;"/"&amp;RIGHT(YEAR(B83),2)</f>
        <v/>
      </c>
    </row>
    <row r="84">
      <c r="A84" s="97" t="n">
        <v>37</v>
      </c>
      <c r="B84" s="96">
        <f>'Cálculo dívidas'!B61</f>
        <v/>
      </c>
      <c r="C84" s="138">
        <f>'Cálculo dívidas'!AR61</f>
        <v/>
      </c>
      <c r="D84" s="138">
        <f>'Cálculo dívidas'!AS61</f>
        <v/>
      </c>
      <c r="E84" s="138">
        <f>'Cálculo dívidas'!AT61</f>
        <v/>
      </c>
      <c r="F84" s="138">
        <f>'Cálculo dívidas'!AR127</f>
        <v/>
      </c>
      <c r="G84" s="138">
        <f>'Cálculo dívidas'!AS127</f>
        <v/>
      </c>
      <c r="H84" s="138">
        <f>'Cálculo dívidas'!AT127</f>
        <v/>
      </c>
      <c r="I84" s="138">
        <f>'Cálculo dívidas'!AG193</f>
        <v/>
      </c>
      <c r="J84" s="138">
        <f>'Cálculo dívidas'!AH193</f>
        <v/>
      </c>
      <c r="K84" s="138">
        <f>'Cálculo dívidas'!AI193</f>
        <v/>
      </c>
      <c r="L84" s="108">
        <f>'Cálculo dívidas'!AU61</f>
        <v/>
      </c>
      <c r="M84" s="108">
        <f>'Cálculo dívidas'!AU127</f>
        <v/>
      </c>
      <c r="N84" s="110">
        <f>CHOOSE(MONTH(B84),"jan","fev","mar","abr","mai","jun","jul","ago","set","out","nov","dez")&amp;"/"&amp;RIGHT(YEAR(B84),2)</f>
        <v/>
      </c>
    </row>
    <row r="85">
      <c r="A85" s="97" t="n">
        <v>38</v>
      </c>
      <c r="B85" s="96">
        <f>'Cálculo dívidas'!B62</f>
        <v/>
      </c>
      <c r="C85" s="138">
        <f>'Cálculo dívidas'!AR62</f>
        <v/>
      </c>
      <c r="D85" s="138">
        <f>'Cálculo dívidas'!AS62</f>
        <v/>
      </c>
      <c r="E85" s="138">
        <f>'Cálculo dívidas'!AT62</f>
        <v/>
      </c>
      <c r="F85" s="138">
        <f>'Cálculo dívidas'!AR128</f>
        <v/>
      </c>
      <c r="G85" s="138">
        <f>'Cálculo dívidas'!AS128</f>
        <v/>
      </c>
      <c r="H85" s="138">
        <f>'Cálculo dívidas'!AT128</f>
        <v/>
      </c>
      <c r="I85" s="138">
        <f>'Cálculo dívidas'!AG194</f>
        <v/>
      </c>
      <c r="J85" s="138">
        <f>'Cálculo dívidas'!AH194</f>
        <v/>
      </c>
      <c r="K85" s="138">
        <f>'Cálculo dívidas'!AI194</f>
        <v/>
      </c>
      <c r="L85" s="108">
        <f>'Cálculo dívidas'!AU62</f>
        <v/>
      </c>
      <c r="M85" s="108">
        <f>'Cálculo dívidas'!AU128</f>
        <v/>
      </c>
      <c r="N85" s="110">
        <f>CHOOSE(MONTH(B85),"jan","fev","mar","abr","mai","jun","jul","ago","set","out","nov","dez")&amp;"/"&amp;RIGHT(YEAR(B85),2)</f>
        <v/>
      </c>
    </row>
    <row r="86">
      <c r="A86" s="97" t="n">
        <v>39</v>
      </c>
      <c r="B86" s="96">
        <f>'Cálculo dívidas'!B63</f>
        <v/>
      </c>
      <c r="C86" s="138">
        <f>'Cálculo dívidas'!AR63</f>
        <v/>
      </c>
      <c r="D86" s="138">
        <f>'Cálculo dívidas'!AS63</f>
        <v/>
      </c>
      <c r="E86" s="138">
        <f>'Cálculo dívidas'!AT63</f>
        <v/>
      </c>
      <c r="F86" s="138">
        <f>'Cálculo dívidas'!AR129</f>
        <v/>
      </c>
      <c r="G86" s="138">
        <f>'Cálculo dívidas'!AS129</f>
        <v/>
      </c>
      <c r="H86" s="138">
        <f>'Cálculo dívidas'!AT129</f>
        <v/>
      </c>
      <c r="I86" s="138">
        <f>'Cálculo dívidas'!AG195</f>
        <v/>
      </c>
      <c r="J86" s="138">
        <f>'Cálculo dívidas'!AH195</f>
        <v/>
      </c>
      <c r="K86" s="138">
        <f>'Cálculo dívidas'!AI195</f>
        <v/>
      </c>
      <c r="L86" s="108">
        <f>'Cálculo dívidas'!AU63</f>
        <v/>
      </c>
      <c r="M86" s="108">
        <f>'Cálculo dívidas'!AU129</f>
        <v/>
      </c>
      <c r="N86" s="110">
        <f>CHOOSE(MONTH(B86),"jan","fev","mar","abr","mai","jun","jul","ago","set","out","nov","dez")&amp;"/"&amp;RIGHT(YEAR(B86),2)</f>
        <v/>
      </c>
    </row>
    <row r="87">
      <c r="A87" s="97" t="n">
        <v>40</v>
      </c>
      <c r="B87" s="96">
        <f>'Cálculo dívidas'!B64</f>
        <v/>
      </c>
      <c r="C87" s="138">
        <f>'Cálculo dívidas'!AR64</f>
        <v/>
      </c>
      <c r="D87" s="138">
        <f>'Cálculo dívidas'!AS64</f>
        <v/>
      </c>
      <c r="E87" s="138">
        <f>'Cálculo dívidas'!AT64</f>
        <v/>
      </c>
      <c r="F87" s="138">
        <f>'Cálculo dívidas'!AR130</f>
        <v/>
      </c>
      <c r="G87" s="138">
        <f>'Cálculo dívidas'!AS130</f>
        <v/>
      </c>
      <c r="H87" s="138">
        <f>'Cálculo dívidas'!AT130</f>
        <v/>
      </c>
      <c r="I87" s="138">
        <f>'Cálculo dívidas'!AG196</f>
        <v/>
      </c>
      <c r="J87" s="138">
        <f>'Cálculo dívidas'!AH196</f>
        <v/>
      </c>
      <c r="K87" s="138">
        <f>'Cálculo dívidas'!AI196</f>
        <v/>
      </c>
      <c r="L87" s="108">
        <f>'Cálculo dívidas'!AU64</f>
        <v/>
      </c>
      <c r="M87" s="108">
        <f>'Cálculo dívidas'!AU130</f>
        <v/>
      </c>
      <c r="N87" s="110">
        <f>CHOOSE(MONTH(B87),"jan","fev","mar","abr","mai","jun","jul","ago","set","out","nov","dez")&amp;"/"&amp;RIGHT(YEAR(B87),2)</f>
        <v/>
      </c>
    </row>
    <row r="88">
      <c r="A88" s="97" t="n">
        <v>41</v>
      </c>
      <c r="B88" s="96">
        <f>'Cálculo dívidas'!B65</f>
        <v/>
      </c>
      <c r="C88" s="138">
        <f>'Cálculo dívidas'!AR65</f>
        <v/>
      </c>
      <c r="D88" s="138">
        <f>'Cálculo dívidas'!AS65</f>
        <v/>
      </c>
      <c r="E88" s="138">
        <f>'Cálculo dívidas'!AT65</f>
        <v/>
      </c>
      <c r="F88" s="138">
        <f>'Cálculo dívidas'!AR131</f>
        <v/>
      </c>
      <c r="G88" s="138">
        <f>'Cálculo dívidas'!AS131</f>
        <v/>
      </c>
      <c r="H88" s="138">
        <f>'Cálculo dívidas'!AT131</f>
        <v/>
      </c>
      <c r="I88" s="138">
        <f>'Cálculo dívidas'!AG197</f>
        <v/>
      </c>
      <c r="J88" s="138">
        <f>'Cálculo dívidas'!AH197</f>
        <v/>
      </c>
      <c r="K88" s="138">
        <f>'Cálculo dívidas'!AI197</f>
        <v/>
      </c>
      <c r="L88" s="108">
        <f>'Cálculo dívidas'!AU65</f>
        <v/>
      </c>
      <c r="M88" s="108">
        <f>'Cálculo dívidas'!AU131</f>
        <v/>
      </c>
      <c r="N88" s="110">
        <f>CHOOSE(MONTH(B88),"jan","fev","mar","abr","mai","jun","jul","ago","set","out","nov","dez")&amp;"/"&amp;RIGHT(YEAR(B88),2)</f>
        <v/>
      </c>
    </row>
    <row r="89">
      <c r="A89" s="97" t="n">
        <v>42</v>
      </c>
      <c r="B89" s="96">
        <f>'Cálculo dívidas'!B66</f>
        <v/>
      </c>
      <c r="C89" s="138">
        <f>'Cálculo dívidas'!AR66</f>
        <v/>
      </c>
      <c r="D89" s="138">
        <f>'Cálculo dívidas'!AS66</f>
        <v/>
      </c>
      <c r="E89" s="138">
        <f>'Cálculo dívidas'!AT66</f>
        <v/>
      </c>
      <c r="F89" s="138">
        <f>'Cálculo dívidas'!AR132</f>
        <v/>
      </c>
      <c r="G89" s="138">
        <f>'Cálculo dívidas'!AS132</f>
        <v/>
      </c>
      <c r="H89" s="138">
        <f>'Cálculo dívidas'!AT132</f>
        <v/>
      </c>
      <c r="I89" s="138">
        <f>'Cálculo dívidas'!AG198</f>
        <v/>
      </c>
      <c r="J89" s="138">
        <f>'Cálculo dívidas'!AH198</f>
        <v/>
      </c>
      <c r="K89" s="138">
        <f>'Cálculo dívidas'!AI198</f>
        <v/>
      </c>
      <c r="L89" s="108">
        <f>'Cálculo dívidas'!AU66</f>
        <v/>
      </c>
      <c r="M89" s="108">
        <f>'Cálculo dívidas'!AU132</f>
        <v/>
      </c>
      <c r="N89" s="110">
        <f>CHOOSE(MONTH(B89),"jan","fev","mar","abr","mai","jun","jul","ago","set","out","nov","dez")&amp;"/"&amp;RIGHT(YEAR(B89),2)</f>
        <v/>
      </c>
    </row>
    <row r="90">
      <c r="A90" s="97" t="n">
        <v>43</v>
      </c>
      <c r="B90" s="96">
        <f>'Cálculo dívidas'!B67</f>
        <v/>
      </c>
      <c r="C90" s="138">
        <f>'Cálculo dívidas'!AR67</f>
        <v/>
      </c>
      <c r="D90" s="138">
        <f>'Cálculo dívidas'!AS67</f>
        <v/>
      </c>
      <c r="E90" s="138">
        <f>'Cálculo dívidas'!AT67</f>
        <v/>
      </c>
      <c r="F90" s="138">
        <f>'Cálculo dívidas'!AR133</f>
        <v/>
      </c>
      <c r="G90" s="138">
        <f>'Cálculo dívidas'!AS133</f>
        <v/>
      </c>
      <c r="H90" s="138">
        <f>'Cálculo dívidas'!AT133</f>
        <v/>
      </c>
      <c r="I90" s="138">
        <f>'Cálculo dívidas'!AG199</f>
        <v/>
      </c>
      <c r="J90" s="138">
        <f>'Cálculo dívidas'!AH199</f>
        <v/>
      </c>
      <c r="K90" s="138">
        <f>'Cálculo dívidas'!AI199</f>
        <v/>
      </c>
      <c r="L90" s="108">
        <f>'Cálculo dívidas'!AU67</f>
        <v/>
      </c>
      <c r="M90" s="108">
        <f>'Cálculo dívidas'!AU133</f>
        <v/>
      </c>
      <c r="N90" s="110">
        <f>CHOOSE(MONTH(B90),"jan","fev","mar","abr","mai","jun","jul","ago","set","out","nov","dez")&amp;"/"&amp;RIGHT(YEAR(B90),2)</f>
        <v/>
      </c>
    </row>
    <row r="91">
      <c r="A91" s="97" t="n">
        <v>44</v>
      </c>
      <c r="B91" s="96">
        <f>'Cálculo dívidas'!B68</f>
        <v/>
      </c>
      <c r="C91" s="138">
        <f>'Cálculo dívidas'!AR68</f>
        <v/>
      </c>
      <c r="D91" s="138">
        <f>'Cálculo dívidas'!AS68</f>
        <v/>
      </c>
      <c r="E91" s="138">
        <f>'Cálculo dívidas'!AT68</f>
        <v/>
      </c>
      <c r="F91" s="138">
        <f>'Cálculo dívidas'!AR134</f>
        <v/>
      </c>
      <c r="G91" s="138">
        <f>'Cálculo dívidas'!AS134</f>
        <v/>
      </c>
      <c r="H91" s="138">
        <f>'Cálculo dívidas'!AT134</f>
        <v/>
      </c>
      <c r="I91" s="138">
        <f>'Cálculo dívidas'!AG200</f>
        <v/>
      </c>
      <c r="J91" s="138">
        <f>'Cálculo dívidas'!AH200</f>
        <v/>
      </c>
      <c r="K91" s="138">
        <f>'Cálculo dívidas'!AI200</f>
        <v/>
      </c>
      <c r="L91" s="108">
        <f>'Cálculo dívidas'!AU68</f>
        <v/>
      </c>
      <c r="M91" s="108">
        <f>'Cálculo dívidas'!AU134</f>
        <v/>
      </c>
      <c r="N91" s="110">
        <f>CHOOSE(MONTH(B91),"jan","fev","mar","abr","mai","jun","jul","ago","set","out","nov","dez")&amp;"/"&amp;RIGHT(YEAR(B91),2)</f>
        <v/>
      </c>
    </row>
    <row r="92">
      <c r="A92" s="97" t="n">
        <v>45</v>
      </c>
      <c r="B92" s="96">
        <f>'Cálculo dívidas'!B69</f>
        <v/>
      </c>
      <c r="C92" s="138">
        <f>'Cálculo dívidas'!AR69</f>
        <v/>
      </c>
      <c r="D92" s="138">
        <f>'Cálculo dívidas'!AS69</f>
        <v/>
      </c>
      <c r="E92" s="138">
        <f>'Cálculo dívidas'!AT69</f>
        <v/>
      </c>
      <c r="F92" s="138">
        <f>'Cálculo dívidas'!AR135</f>
        <v/>
      </c>
      <c r="G92" s="138">
        <f>'Cálculo dívidas'!AS135</f>
        <v/>
      </c>
      <c r="H92" s="138">
        <f>'Cálculo dívidas'!AT135</f>
        <v/>
      </c>
      <c r="I92" s="138">
        <f>'Cálculo dívidas'!AG201</f>
        <v/>
      </c>
      <c r="J92" s="138">
        <f>'Cálculo dívidas'!AH201</f>
        <v/>
      </c>
      <c r="K92" s="138">
        <f>'Cálculo dívidas'!AI201</f>
        <v/>
      </c>
      <c r="L92" s="108">
        <f>'Cálculo dívidas'!AU69</f>
        <v/>
      </c>
      <c r="M92" s="108">
        <f>'Cálculo dívidas'!AU135</f>
        <v/>
      </c>
      <c r="N92" s="110">
        <f>CHOOSE(MONTH(B92),"jan","fev","mar","abr","mai","jun","jul","ago","set","out","nov","dez")&amp;"/"&amp;RIGHT(YEAR(B92),2)</f>
        <v/>
      </c>
    </row>
    <row r="93">
      <c r="A93" s="97" t="n">
        <v>46</v>
      </c>
      <c r="B93" s="96">
        <f>'Cálculo dívidas'!B70</f>
        <v/>
      </c>
      <c r="C93" s="138">
        <f>'Cálculo dívidas'!AR70</f>
        <v/>
      </c>
      <c r="D93" s="138">
        <f>'Cálculo dívidas'!AS70</f>
        <v/>
      </c>
      <c r="E93" s="138">
        <f>'Cálculo dívidas'!AT70</f>
        <v/>
      </c>
      <c r="F93" s="138">
        <f>'Cálculo dívidas'!AR136</f>
        <v/>
      </c>
      <c r="G93" s="138">
        <f>'Cálculo dívidas'!AS136</f>
        <v/>
      </c>
      <c r="H93" s="138">
        <f>'Cálculo dívidas'!AT136</f>
        <v/>
      </c>
      <c r="I93" s="138">
        <f>'Cálculo dívidas'!AG202</f>
        <v/>
      </c>
      <c r="J93" s="138">
        <f>'Cálculo dívidas'!AH202</f>
        <v/>
      </c>
      <c r="K93" s="138">
        <f>'Cálculo dívidas'!AI202</f>
        <v/>
      </c>
      <c r="L93" s="108">
        <f>'Cálculo dívidas'!AU70</f>
        <v/>
      </c>
      <c r="M93" s="108">
        <f>'Cálculo dívidas'!AU136</f>
        <v/>
      </c>
      <c r="N93" s="110">
        <f>CHOOSE(MONTH(B93),"jan","fev","mar","abr","mai","jun","jul","ago","set","out","nov","dez")&amp;"/"&amp;RIGHT(YEAR(B93),2)</f>
        <v/>
      </c>
    </row>
    <row r="94">
      <c r="A94" s="97" t="n">
        <v>47</v>
      </c>
      <c r="B94" s="96">
        <f>'Cálculo dívidas'!B71</f>
        <v/>
      </c>
      <c r="C94" s="138">
        <f>'Cálculo dívidas'!AR71</f>
        <v/>
      </c>
      <c r="D94" s="138">
        <f>'Cálculo dívidas'!AS71</f>
        <v/>
      </c>
      <c r="E94" s="138">
        <f>'Cálculo dívidas'!AT71</f>
        <v/>
      </c>
      <c r="F94" s="138">
        <f>'Cálculo dívidas'!AR137</f>
        <v/>
      </c>
      <c r="G94" s="138">
        <f>'Cálculo dívidas'!AS137</f>
        <v/>
      </c>
      <c r="H94" s="138">
        <f>'Cálculo dívidas'!AT137</f>
        <v/>
      </c>
      <c r="I94" s="138">
        <f>'Cálculo dívidas'!AG203</f>
        <v/>
      </c>
      <c r="J94" s="138">
        <f>'Cálculo dívidas'!AH203</f>
        <v/>
      </c>
      <c r="K94" s="138">
        <f>'Cálculo dívidas'!AI203</f>
        <v/>
      </c>
      <c r="L94" s="108">
        <f>'Cálculo dívidas'!AU71</f>
        <v/>
      </c>
      <c r="M94" s="108">
        <f>'Cálculo dívidas'!AU137</f>
        <v/>
      </c>
      <c r="N94" s="110">
        <f>CHOOSE(MONTH(B94),"jan","fev","mar","abr","mai","jun","jul","ago","set","out","nov","dez")&amp;"/"&amp;RIGHT(YEAR(B94),2)</f>
        <v/>
      </c>
    </row>
    <row r="95">
      <c r="A95" s="97" t="n">
        <v>48</v>
      </c>
      <c r="B95" s="96">
        <f>'Cálculo dívidas'!B72</f>
        <v/>
      </c>
      <c r="C95" s="138">
        <f>'Cálculo dívidas'!AR72</f>
        <v/>
      </c>
      <c r="D95" s="138">
        <f>'Cálculo dívidas'!AS72</f>
        <v/>
      </c>
      <c r="E95" s="138">
        <f>'Cálculo dívidas'!AT72</f>
        <v/>
      </c>
      <c r="F95" s="138">
        <f>'Cálculo dívidas'!AR138</f>
        <v/>
      </c>
      <c r="G95" s="138">
        <f>'Cálculo dívidas'!AS138</f>
        <v/>
      </c>
      <c r="H95" s="138">
        <f>'Cálculo dívidas'!AT138</f>
        <v/>
      </c>
      <c r="I95" s="138">
        <f>'Cálculo dívidas'!AG204</f>
        <v/>
      </c>
      <c r="J95" s="138">
        <f>'Cálculo dívidas'!AH204</f>
        <v/>
      </c>
      <c r="K95" s="138">
        <f>'Cálculo dívidas'!AI204</f>
        <v/>
      </c>
      <c r="L95" s="108">
        <f>'Cálculo dívidas'!AU72</f>
        <v/>
      </c>
      <c r="M95" s="108">
        <f>'Cálculo dívidas'!AU138</f>
        <v/>
      </c>
      <c r="N95" s="110">
        <f>CHOOSE(MONTH(B95),"jan","fev","mar","abr","mai","jun","jul","ago","set","out","nov","dez")&amp;"/"&amp;RIGHT(YEAR(B95),2)</f>
        <v/>
      </c>
    </row>
    <row r="96">
      <c r="A96" s="97" t="n">
        <v>49</v>
      </c>
      <c r="B96" s="96">
        <f>'Cálculo dívidas'!B73</f>
        <v/>
      </c>
      <c r="C96" s="138">
        <f>'Cálculo dívidas'!AR73</f>
        <v/>
      </c>
      <c r="D96" s="138">
        <f>'Cálculo dívidas'!AS73</f>
        <v/>
      </c>
      <c r="E96" s="138">
        <f>'Cálculo dívidas'!AT73</f>
        <v/>
      </c>
      <c r="F96" s="138">
        <f>'Cálculo dívidas'!AR139</f>
        <v/>
      </c>
      <c r="G96" s="138">
        <f>'Cálculo dívidas'!AS139</f>
        <v/>
      </c>
      <c r="H96" s="138">
        <f>'Cálculo dívidas'!AT139</f>
        <v/>
      </c>
      <c r="I96" s="138">
        <f>'Cálculo dívidas'!AG205</f>
        <v/>
      </c>
      <c r="J96" s="138">
        <f>'Cálculo dívidas'!AH205</f>
        <v/>
      </c>
      <c r="K96" s="138">
        <f>'Cálculo dívidas'!AI205</f>
        <v/>
      </c>
      <c r="L96" s="108">
        <f>'Cálculo dívidas'!AU73</f>
        <v/>
      </c>
      <c r="M96" s="108">
        <f>'Cálculo dívidas'!AU139</f>
        <v/>
      </c>
      <c r="N96" s="110">
        <f>CHOOSE(MONTH(B96),"jan","fev","mar","abr","mai","jun","jul","ago","set","out","nov","dez")&amp;"/"&amp;RIGHT(YEAR(B96),2)</f>
        <v/>
      </c>
    </row>
    <row r="97">
      <c r="A97" s="97" t="n">
        <v>50</v>
      </c>
      <c r="B97" s="96">
        <f>'Cálculo dívidas'!B74</f>
        <v/>
      </c>
      <c r="C97" s="138">
        <f>'Cálculo dívidas'!AR74</f>
        <v/>
      </c>
      <c r="D97" s="138">
        <f>'Cálculo dívidas'!AS74</f>
        <v/>
      </c>
      <c r="E97" s="138">
        <f>'Cálculo dívidas'!AT74</f>
        <v/>
      </c>
      <c r="F97" s="138">
        <f>'Cálculo dívidas'!AR140</f>
        <v/>
      </c>
      <c r="G97" s="138">
        <f>'Cálculo dívidas'!AS140</f>
        <v/>
      </c>
      <c r="H97" s="138">
        <f>'Cálculo dívidas'!AT140</f>
        <v/>
      </c>
      <c r="I97" s="138">
        <f>'Cálculo dívidas'!AG206</f>
        <v/>
      </c>
      <c r="J97" s="138">
        <f>'Cálculo dívidas'!AH206</f>
        <v/>
      </c>
      <c r="K97" s="138">
        <f>'Cálculo dívidas'!AI206</f>
        <v/>
      </c>
      <c r="L97" s="108">
        <f>'Cálculo dívidas'!AU74</f>
        <v/>
      </c>
      <c r="M97" s="108">
        <f>'Cálculo dívidas'!AU140</f>
        <v/>
      </c>
      <c r="N97" s="110">
        <f>CHOOSE(MONTH(B97),"jan","fev","mar","abr","mai","jun","jul","ago","set","out","nov","dez")&amp;"/"&amp;RIGHT(YEAR(B97),2)</f>
        <v/>
      </c>
    </row>
    <row r="98">
      <c r="A98" s="97" t="n">
        <v>51</v>
      </c>
      <c r="B98" s="96">
        <f>'Cálculo dívidas'!B75</f>
        <v/>
      </c>
      <c r="C98" s="138">
        <f>'Cálculo dívidas'!AR75</f>
        <v/>
      </c>
      <c r="D98" s="138">
        <f>'Cálculo dívidas'!AS75</f>
        <v/>
      </c>
      <c r="E98" s="138">
        <f>'Cálculo dívidas'!AT75</f>
        <v/>
      </c>
      <c r="F98" s="138">
        <f>'Cálculo dívidas'!AR141</f>
        <v/>
      </c>
      <c r="G98" s="138">
        <f>'Cálculo dívidas'!AS141</f>
        <v/>
      </c>
      <c r="H98" s="138">
        <f>'Cálculo dívidas'!AT141</f>
        <v/>
      </c>
      <c r="I98" s="138">
        <f>'Cálculo dívidas'!AG207</f>
        <v/>
      </c>
      <c r="J98" s="138">
        <f>'Cálculo dívidas'!AH207</f>
        <v/>
      </c>
      <c r="K98" s="138">
        <f>'Cálculo dívidas'!AI207</f>
        <v/>
      </c>
      <c r="L98" s="108">
        <f>'Cálculo dívidas'!AU75</f>
        <v/>
      </c>
      <c r="M98" s="108">
        <f>'Cálculo dívidas'!AU141</f>
        <v/>
      </c>
      <c r="N98" s="110">
        <f>CHOOSE(MONTH(B98),"jan","fev","mar","abr","mai","jun","jul","ago","set","out","nov","dez")&amp;"/"&amp;RIGHT(YEAR(B98),2)</f>
        <v/>
      </c>
    </row>
    <row r="99">
      <c r="A99" s="97" t="n">
        <v>52</v>
      </c>
      <c r="B99" s="96">
        <f>'Cálculo dívidas'!B76</f>
        <v/>
      </c>
      <c r="C99" s="138">
        <f>'Cálculo dívidas'!AR76</f>
        <v/>
      </c>
      <c r="D99" s="138">
        <f>'Cálculo dívidas'!AS76</f>
        <v/>
      </c>
      <c r="E99" s="138">
        <f>'Cálculo dívidas'!AT76</f>
        <v/>
      </c>
      <c r="F99" s="138">
        <f>'Cálculo dívidas'!AR142</f>
        <v/>
      </c>
      <c r="G99" s="138">
        <f>'Cálculo dívidas'!AS142</f>
        <v/>
      </c>
      <c r="H99" s="138">
        <f>'Cálculo dívidas'!AT142</f>
        <v/>
      </c>
      <c r="I99" s="138">
        <f>'Cálculo dívidas'!AG208</f>
        <v/>
      </c>
      <c r="J99" s="138">
        <f>'Cálculo dívidas'!AH208</f>
        <v/>
      </c>
      <c r="K99" s="138">
        <f>'Cálculo dívidas'!AI208</f>
        <v/>
      </c>
      <c r="L99" s="108">
        <f>'Cálculo dívidas'!AU76</f>
        <v/>
      </c>
      <c r="M99" s="108">
        <f>'Cálculo dívidas'!AU142</f>
        <v/>
      </c>
      <c r="N99" s="110">
        <f>CHOOSE(MONTH(B99),"jan","fev","mar","abr","mai","jun","jul","ago","set","out","nov","dez")&amp;"/"&amp;RIGHT(YEAR(B99),2)</f>
        <v/>
      </c>
    </row>
    <row r="100">
      <c r="A100" s="97" t="n">
        <v>53</v>
      </c>
      <c r="B100" s="96">
        <f>'Cálculo dívidas'!B77</f>
        <v/>
      </c>
      <c r="C100" s="138">
        <f>'Cálculo dívidas'!AR77</f>
        <v/>
      </c>
      <c r="D100" s="138">
        <f>'Cálculo dívidas'!AS77</f>
        <v/>
      </c>
      <c r="E100" s="138">
        <f>'Cálculo dívidas'!AT77</f>
        <v/>
      </c>
      <c r="F100" s="138">
        <f>'Cálculo dívidas'!AR143</f>
        <v/>
      </c>
      <c r="G100" s="138">
        <f>'Cálculo dívidas'!AS143</f>
        <v/>
      </c>
      <c r="H100" s="138">
        <f>'Cálculo dívidas'!AT143</f>
        <v/>
      </c>
      <c r="I100" s="138">
        <f>'Cálculo dívidas'!AG209</f>
        <v/>
      </c>
      <c r="J100" s="138">
        <f>'Cálculo dívidas'!AH209</f>
        <v/>
      </c>
      <c r="K100" s="138">
        <f>'Cálculo dívidas'!AI209</f>
        <v/>
      </c>
      <c r="L100" s="108">
        <f>'Cálculo dívidas'!AU77</f>
        <v/>
      </c>
      <c r="M100" s="108">
        <f>'Cálculo dívidas'!AU143</f>
        <v/>
      </c>
      <c r="N100" s="110">
        <f>CHOOSE(MONTH(B100),"jan","fev","mar","abr","mai","jun","jul","ago","set","out","nov","dez")&amp;"/"&amp;RIGHT(YEAR(B100),2)</f>
        <v/>
      </c>
    </row>
    <row r="101">
      <c r="A101" s="97" t="n">
        <v>54</v>
      </c>
      <c r="B101" s="96">
        <f>'Cálculo dívidas'!B78</f>
        <v/>
      </c>
      <c r="C101" s="138">
        <f>'Cálculo dívidas'!AR78</f>
        <v/>
      </c>
      <c r="D101" s="138">
        <f>'Cálculo dívidas'!AS78</f>
        <v/>
      </c>
      <c r="E101" s="138">
        <f>'Cálculo dívidas'!AT78</f>
        <v/>
      </c>
      <c r="F101" s="138">
        <f>'Cálculo dívidas'!AR144</f>
        <v/>
      </c>
      <c r="G101" s="138">
        <f>'Cálculo dívidas'!AS144</f>
        <v/>
      </c>
      <c r="H101" s="138">
        <f>'Cálculo dívidas'!AT144</f>
        <v/>
      </c>
      <c r="I101" s="138">
        <f>'Cálculo dívidas'!AG210</f>
        <v/>
      </c>
      <c r="J101" s="138">
        <f>'Cálculo dívidas'!AH210</f>
        <v/>
      </c>
      <c r="K101" s="138">
        <f>'Cálculo dívidas'!AI210</f>
        <v/>
      </c>
      <c r="L101" s="108">
        <f>'Cálculo dívidas'!AU78</f>
        <v/>
      </c>
      <c r="M101" s="108">
        <f>'Cálculo dívidas'!AU144</f>
        <v/>
      </c>
      <c r="N101" s="110">
        <f>CHOOSE(MONTH(B101),"jan","fev","mar","abr","mai","jun","jul","ago","set","out","nov","dez")&amp;"/"&amp;RIGHT(YEAR(B101),2)</f>
        <v/>
      </c>
    </row>
    <row r="102">
      <c r="A102" s="97" t="n">
        <v>55</v>
      </c>
      <c r="B102" s="96">
        <f>'Cálculo dívidas'!B79</f>
        <v/>
      </c>
      <c r="C102" s="138">
        <f>'Cálculo dívidas'!AR79</f>
        <v/>
      </c>
      <c r="D102" s="138">
        <f>'Cálculo dívidas'!AS79</f>
        <v/>
      </c>
      <c r="E102" s="138">
        <f>'Cálculo dívidas'!AT79</f>
        <v/>
      </c>
      <c r="F102" s="138">
        <f>'Cálculo dívidas'!AR145</f>
        <v/>
      </c>
      <c r="G102" s="138">
        <f>'Cálculo dívidas'!AS145</f>
        <v/>
      </c>
      <c r="H102" s="138">
        <f>'Cálculo dívidas'!AT145</f>
        <v/>
      </c>
      <c r="I102" s="138">
        <f>'Cálculo dívidas'!AG211</f>
        <v/>
      </c>
      <c r="J102" s="138">
        <f>'Cálculo dívidas'!AH211</f>
        <v/>
      </c>
      <c r="K102" s="138">
        <f>'Cálculo dívidas'!AI211</f>
        <v/>
      </c>
      <c r="L102" s="108">
        <f>'Cálculo dívidas'!AU79</f>
        <v/>
      </c>
      <c r="M102" s="108">
        <f>'Cálculo dívidas'!AU145</f>
        <v/>
      </c>
      <c r="N102" s="110">
        <f>CHOOSE(MONTH(B102),"jan","fev","mar","abr","mai","jun","jul","ago","set","out","nov","dez")&amp;"/"&amp;RIGHT(YEAR(B102),2)</f>
        <v/>
      </c>
    </row>
    <row r="103">
      <c r="A103" s="97" t="n">
        <v>56</v>
      </c>
      <c r="B103" s="96">
        <f>'Cálculo dívidas'!B80</f>
        <v/>
      </c>
      <c r="C103" s="138">
        <f>'Cálculo dívidas'!AR80</f>
        <v/>
      </c>
      <c r="D103" s="138">
        <f>'Cálculo dívidas'!AS80</f>
        <v/>
      </c>
      <c r="E103" s="138">
        <f>'Cálculo dívidas'!AT80</f>
        <v/>
      </c>
      <c r="F103" s="138">
        <f>'Cálculo dívidas'!AR146</f>
        <v/>
      </c>
      <c r="G103" s="138">
        <f>'Cálculo dívidas'!AS146</f>
        <v/>
      </c>
      <c r="H103" s="138">
        <f>'Cálculo dívidas'!AT146</f>
        <v/>
      </c>
      <c r="I103" s="138">
        <f>'Cálculo dívidas'!AG212</f>
        <v/>
      </c>
      <c r="J103" s="138">
        <f>'Cálculo dívidas'!AH212</f>
        <v/>
      </c>
      <c r="K103" s="138">
        <f>'Cálculo dívidas'!AI212</f>
        <v/>
      </c>
      <c r="L103" s="108">
        <f>'Cálculo dívidas'!AU80</f>
        <v/>
      </c>
      <c r="M103" s="108">
        <f>'Cálculo dívidas'!AU146</f>
        <v/>
      </c>
      <c r="N103" s="110">
        <f>CHOOSE(MONTH(B103),"jan","fev","mar","abr","mai","jun","jul","ago","set","out","nov","dez")&amp;"/"&amp;RIGHT(YEAR(B103),2)</f>
        <v/>
      </c>
    </row>
    <row r="104">
      <c r="A104" s="97" t="n">
        <v>57</v>
      </c>
      <c r="B104" s="96">
        <f>'Cálculo dívidas'!B81</f>
        <v/>
      </c>
      <c r="C104" s="138">
        <f>'Cálculo dívidas'!AR81</f>
        <v/>
      </c>
      <c r="D104" s="138">
        <f>'Cálculo dívidas'!AS81</f>
        <v/>
      </c>
      <c r="E104" s="138">
        <f>'Cálculo dívidas'!AT81</f>
        <v/>
      </c>
      <c r="F104" s="138">
        <f>'Cálculo dívidas'!AR147</f>
        <v/>
      </c>
      <c r="G104" s="138">
        <f>'Cálculo dívidas'!AS147</f>
        <v/>
      </c>
      <c r="H104" s="138">
        <f>'Cálculo dívidas'!AT147</f>
        <v/>
      </c>
      <c r="I104" s="138">
        <f>'Cálculo dívidas'!AG213</f>
        <v/>
      </c>
      <c r="J104" s="138">
        <f>'Cálculo dívidas'!AH213</f>
        <v/>
      </c>
      <c r="K104" s="138">
        <f>'Cálculo dívidas'!AI213</f>
        <v/>
      </c>
      <c r="L104" s="108">
        <f>'Cálculo dívidas'!AU81</f>
        <v/>
      </c>
      <c r="M104" s="108">
        <f>'Cálculo dívidas'!AU147</f>
        <v/>
      </c>
      <c r="N104" s="110">
        <f>CHOOSE(MONTH(B104),"jan","fev","mar","abr","mai","jun","jul","ago","set","out","nov","dez")&amp;"/"&amp;RIGHT(YEAR(B104),2)</f>
        <v/>
      </c>
    </row>
    <row r="105">
      <c r="A105" s="97" t="n">
        <v>58</v>
      </c>
      <c r="B105" s="96">
        <f>'Cálculo dívidas'!B82</f>
        <v/>
      </c>
      <c r="C105" s="138">
        <f>'Cálculo dívidas'!AR82</f>
        <v/>
      </c>
      <c r="D105" s="138">
        <f>'Cálculo dívidas'!AS82</f>
        <v/>
      </c>
      <c r="E105" s="138">
        <f>'Cálculo dívidas'!AT82</f>
        <v/>
      </c>
      <c r="F105" s="138">
        <f>'Cálculo dívidas'!AR148</f>
        <v/>
      </c>
      <c r="G105" s="138">
        <f>'Cálculo dívidas'!AS148</f>
        <v/>
      </c>
      <c r="H105" s="138">
        <f>'Cálculo dívidas'!AT148</f>
        <v/>
      </c>
      <c r="I105" s="138">
        <f>'Cálculo dívidas'!AG214</f>
        <v/>
      </c>
      <c r="J105" s="138">
        <f>'Cálculo dívidas'!AH214</f>
        <v/>
      </c>
      <c r="K105" s="138">
        <f>'Cálculo dívidas'!AI214</f>
        <v/>
      </c>
      <c r="L105" s="108">
        <f>'Cálculo dívidas'!AU82</f>
        <v/>
      </c>
      <c r="M105" s="108">
        <f>'Cálculo dívidas'!AU148</f>
        <v/>
      </c>
      <c r="N105" s="110">
        <f>CHOOSE(MONTH(B105),"jan","fev","mar","abr","mai","jun","jul","ago","set","out","nov","dez")&amp;"/"&amp;RIGHT(YEAR(B105),2)</f>
        <v/>
      </c>
    </row>
    <row r="106">
      <c r="A106" s="97" t="n">
        <v>59</v>
      </c>
      <c r="B106" s="96">
        <f>'Cálculo dívidas'!B83</f>
        <v/>
      </c>
      <c r="C106" s="138">
        <f>'Cálculo dívidas'!AR83</f>
        <v/>
      </c>
      <c r="D106" s="138">
        <f>'Cálculo dívidas'!AS83</f>
        <v/>
      </c>
      <c r="E106" s="138">
        <f>'Cálculo dívidas'!AT83</f>
        <v/>
      </c>
      <c r="F106" s="138">
        <f>'Cálculo dívidas'!AR149</f>
        <v/>
      </c>
      <c r="G106" s="138">
        <f>'Cálculo dívidas'!AS149</f>
        <v/>
      </c>
      <c r="H106" s="138">
        <f>'Cálculo dívidas'!AT149</f>
        <v/>
      </c>
      <c r="I106" s="138">
        <f>'Cálculo dívidas'!AG215</f>
        <v/>
      </c>
      <c r="J106" s="138">
        <f>'Cálculo dívidas'!AH215</f>
        <v/>
      </c>
      <c r="K106" s="138">
        <f>'Cálculo dívidas'!AI215</f>
        <v/>
      </c>
      <c r="L106" s="108">
        <f>'Cálculo dívidas'!AU83</f>
        <v/>
      </c>
      <c r="M106" s="108">
        <f>'Cálculo dívidas'!AU149</f>
        <v/>
      </c>
      <c r="N106" s="110">
        <f>CHOOSE(MONTH(B106),"jan","fev","mar","abr","mai","jun","jul","ago","set","out","nov","dez")&amp;"/"&amp;RIGHT(YEAR(B106),2)</f>
        <v/>
      </c>
    </row>
    <row r="107">
      <c r="A107" s="97" t="n">
        <v>60</v>
      </c>
      <c r="B107" s="96">
        <f>'Cálculo dívidas'!B84</f>
        <v/>
      </c>
      <c r="C107" s="138">
        <f>'Cálculo dívidas'!AR84</f>
        <v/>
      </c>
      <c r="D107" s="138">
        <f>'Cálculo dívidas'!AS84</f>
        <v/>
      </c>
      <c r="E107" s="138">
        <f>'Cálculo dívidas'!AT84</f>
        <v/>
      </c>
      <c r="F107" s="138">
        <f>'Cálculo dívidas'!AR150</f>
        <v/>
      </c>
      <c r="G107" s="138">
        <f>'Cálculo dívidas'!AS150</f>
        <v/>
      </c>
      <c r="H107" s="138">
        <f>'Cálculo dívidas'!AT150</f>
        <v/>
      </c>
      <c r="I107" s="138">
        <f>'Cálculo dívidas'!AG216</f>
        <v/>
      </c>
      <c r="J107" s="138">
        <f>'Cálculo dívidas'!AH216</f>
        <v/>
      </c>
      <c r="K107" s="138">
        <f>'Cálculo dívidas'!AI216</f>
        <v/>
      </c>
      <c r="L107" s="108">
        <f>'Cálculo dívidas'!AU84</f>
        <v/>
      </c>
      <c r="M107" s="108">
        <f>'Cálculo dívidas'!AU150</f>
        <v/>
      </c>
      <c r="N107" s="110">
        <f>CHOOSE(MONTH(B107),"jan","fev","mar","abr","mai","jun","jul","ago","set","out","nov","dez")&amp;"/"&amp;RIGHT(YEAR(B107),2)</f>
        <v/>
      </c>
    </row>
  </sheetData>
  <mergeCells count="4">
    <mergeCell ref="F4:G4"/>
    <mergeCell ref="D4:E4"/>
    <mergeCell ref="F5:G5"/>
    <mergeCell ref="D5:E5"/>
  </mergeCells>
  <conditionalFormatting sqref="G9:G18">
    <cfRule type="expression" priority="1" dxfId="12">
      <formula>G9&lt;&gt;""</formula>
    </cfRule>
  </conditionalFormatting>
  <conditionalFormatting sqref="E9:F18">
    <cfRule type="expression" priority="2" dxfId="22">
      <formula>E9=1</formula>
    </cfRule>
  </conditionalFormatting>
  <conditionalFormatting sqref="L48:M107">
    <cfRule type="expression" priority="3" dxfId="15">
      <formula>L48&lt;&gt;""</formula>
    </cfRule>
  </conditionalFormatting>
  <dataValidations count="5">
    <dataValidation sqref="B9:B18" showDropDown="0" showInputMessage="0" showErrorMessage="1" allowBlank="1" errorTitle="Saldo inválido" error="Digite o saldo devedor (maior ou igual a zero)." type="decimal" operator="greaterThanOrEqual">
      <formula1>0</formula1>
    </dataValidation>
    <dataValidation sqref="C9:C18" showDropDown="0" showInputMessage="0" showErrorMessage="1" allowBlank="1" errorTitle="Juros inválidos" error="Digite os juros em % ao mês (de 0 a 30). Ex.: 9,9 para 9,9% ao mês." type="decimal" operator="between">
      <formula1>0</formula1>
      <formula2>30</formula2>
    </dataValidation>
    <dataValidation sqref="D9:D18" showDropDown="0" showInputMessage="0" showErrorMessage="1" allowBlank="1" errorTitle="Parcela inválida" error="Digite a parcela mínima mensal." type="decimal" operator="greaterThanOrEqual">
      <formula1>0</formula1>
    </dataValidation>
    <dataValidation sqref="B4" showDropDown="0" showInputMessage="0" showErrorMessage="1" allowBlank="1" errorTitle="Valor inválido" error="Digite o valor extra mensal (pode ser zero)." type="decimal" operator="greaterThanOrEqual">
      <formula1>0</formula1>
    </dataValidation>
    <dataValidation sqref="B5" showDropDown="0" showInputMessage="0" showErrorMessage="1" allowBlank="1" errorTitle="Data inválida" error="Informe o primeiro mês do plano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G104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8" customWidth="1" min="3" max="3"/>
    <col width="18" customWidth="1" min="4" max="4"/>
    <col width="18" customWidth="1" min="5" max="5"/>
    <col width="20" customWidth="1" min="6" max="6"/>
    <col width="18" customWidth="1" min="7" max="7"/>
    <col width="4" customWidth="1" min="8" max="8"/>
  </cols>
  <sheetData>
    <row r="1" ht="30" customHeight="1">
      <c r="A1" s="64" t="inlineStr">
        <is>
          <t>Investimentos e patrimônio</t>
        </is>
      </c>
    </row>
    <row r="2">
      <c r="A2" s="65" t="inlineStr">
        <is>
          <t>Carteira por classe, alocação atual x alvo e patrimônio líquido (ativos - passivos), com histórico mensal e gráfico.</t>
        </is>
      </c>
    </row>
    <row r="4" ht="18" customHeight="1">
      <c r="A4" s="80" t="inlineStr">
        <is>
          <t>PATRIMÔNIO LÍQUIDO</t>
        </is>
      </c>
      <c r="B4" s="80" t="inlineStr">
        <is>
          <t>ATIVOS</t>
        </is>
      </c>
      <c r="C4" s="80" t="inlineStr">
        <is>
          <t>PASSIVOS</t>
        </is>
      </c>
      <c r="D4" s="80" t="inlineStr">
        <is>
          <t>CARTEIRA DE INVESTIMENTOS</t>
        </is>
      </c>
      <c r="E4" s="80" t="inlineStr">
        <is>
          <t>RENTABILIDADE DA CARTEIRA</t>
        </is>
      </c>
    </row>
    <row r="5" ht="30" customHeight="1">
      <c r="A5" s="120">
        <f>B77</f>
        <v/>
      </c>
      <c r="B5" s="120">
        <f>B72</f>
        <v/>
      </c>
      <c r="C5" s="120">
        <f>B76</f>
        <v/>
      </c>
      <c r="D5" s="120">
        <f>D30</f>
        <v/>
      </c>
      <c r="E5" s="139">
        <f>IF(C30=0,"",F30)</f>
        <v/>
      </c>
    </row>
    <row r="8">
      <c r="A8" s="5" t="inlineStr">
        <is>
          <t>Carteira de investimentos</t>
        </is>
      </c>
    </row>
    <row r="9" ht="34" customHeight="1">
      <c r="A9" s="44" t="inlineStr">
        <is>
          <t>Ativo</t>
        </is>
      </c>
      <c r="B9" s="44" t="inlineStr">
        <is>
          <t>Classe</t>
        </is>
      </c>
      <c r="C9" s="44" t="inlineStr">
        <is>
          <t>Total aportado (R$)</t>
        </is>
      </c>
      <c r="D9" s="44" t="inlineStr">
        <is>
          <t>Valor atual (R$)</t>
        </is>
      </c>
      <c r="E9" s="44" t="inlineStr">
        <is>
          <t>Rentabilidade (R$)</t>
        </is>
      </c>
      <c r="F9" s="44" t="inlineStr">
        <is>
          <t>Rentabilidade (%)</t>
        </is>
      </c>
      <c r="G9" s="44" t="inlineStr">
        <is>
          <t>% da carteira</t>
        </is>
      </c>
    </row>
    <row r="10">
      <c r="A10" s="74" t="inlineStr">
        <is>
          <t>Tesouro Selic 2029</t>
        </is>
      </c>
      <c r="B10" s="74" t="inlineStr">
        <is>
          <t>Renda fixa</t>
        </is>
      </c>
      <c r="C10" s="76" t="n">
        <v>9800</v>
      </c>
      <c r="D10" s="76" t="n">
        <v>11000</v>
      </c>
      <c r="E10" s="84">
        <f>IF(AND($C10="",$D10=""),"",N($D10)-N($C10))</f>
        <v/>
      </c>
      <c r="F10" s="86">
        <f>IF(N($C10)=0,"",E10/C10)</f>
        <v/>
      </c>
      <c r="G10" s="86">
        <f>IF(OR($A10="",$D$30=0),"",N($D10)/$D$30)</f>
        <v/>
      </c>
    </row>
    <row r="11">
      <c r="A11" s="74" t="inlineStr">
        <is>
          <t>CDB 110% do CDI</t>
        </is>
      </c>
      <c r="B11" s="74" t="inlineStr">
        <is>
          <t>Renda fixa</t>
        </is>
      </c>
      <c r="C11" s="76" t="n">
        <v>5400</v>
      </c>
      <c r="D11" s="76" t="n">
        <v>6000</v>
      </c>
      <c r="E11" s="84">
        <f>IF(AND($C11="",$D11=""),"",N($D11)-N($C11))</f>
        <v/>
      </c>
      <c r="F11" s="86">
        <f>IF(N($C11)=0,"",E11/C11)</f>
        <v/>
      </c>
      <c r="G11" s="86">
        <f>IF(OR($A11="",$D$30=0),"",N($D11)/$D$30)</f>
        <v/>
      </c>
    </row>
    <row r="12">
      <c r="A12" s="74" t="inlineStr">
        <is>
          <t>ITSA4 e BBAS3</t>
        </is>
      </c>
      <c r="B12" s="74" t="inlineStr">
        <is>
          <t>Ações</t>
        </is>
      </c>
      <c r="C12" s="76" t="n">
        <v>4100</v>
      </c>
      <c r="D12" s="76" t="n">
        <v>4600</v>
      </c>
      <c r="E12" s="84">
        <f>IF(AND($C12="",$D12=""),"",N($D12)-N($C12))</f>
        <v/>
      </c>
      <c r="F12" s="86">
        <f>IF(N($C12)=0,"",E12/C12)</f>
        <v/>
      </c>
      <c r="G12" s="86">
        <f>IF(OR($A12="",$D$30=0),"",N($D12)/$D$30)</f>
        <v/>
      </c>
    </row>
    <row r="13">
      <c r="A13" s="74" t="inlineStr">
        <is>
          <t>HGLG11 e KNRI11</t>
        </is>
      </c>
      <c r="B13" s="74" t="inlineStr">
        <is>
          <t>FIIs</t>
        </is>
      </c>
      <c r="C13" s="76" t="n">
        <v>3500</v>
      </c>
      <c r="D13" s="76" t="n">
        <v>3700</v>
      </c>
      <c r="E13" s="84">
        <f>IF(AND($C13="",$D13=""),"",N($D13)-N($C13))</f>
        <v/>
      </c>
      <c r="F13" s="86">
        <f>IF(N($C13)=0,"",E13/C13)</f>
        <v/>
      </c>
      <c r="G13" s="86">
        <f>IF(OR($A13="",$D$30=0),"",N($D13)/$D$30)</f>
        <v/>
      </c>
    </row>
    <row r="14">
      <c r="A14" s="74" t="inlineStr">
        <is>
          <t>Bitcoin</t>
        </is>
      </c>
      <c r="B14" s="74" t="inlineStr">
        <is>
          <t>Cripto</t>
        </is>
      </c>
      <c r="C14" s="76" t="n">
        <v>1100</v>
      </c>
      <c r="D14" s="76" t="n">
        <v>1700</v>
      </c>
      <c r="E14" s="84">
        <f>IF(AND($C14="",$D14=""),"",N($D14)-N($C14))</f>
        <v/>
      </c>
      <c r="F14" s="86">
        <f>IF(N($C14)=0,"",E14/C14)</f>
        <v/>
      </c>
      <c r="G14" s="86">
        <f>IF(OR($A14="",$D$30=0),"",N($D14)/$D$30)</f>
        <v/>
      </c>
    </row>
    <row r="15">
      <c r="A15" s="74" t="inlineStr">
        <is>
          <t>IVVB11</t>
        </is>
      </c>
      <c r="B15" s="74" t="inlineStr">
        <is>
          <t>Exterior</t>
        </is>
      </c>
      <c r="C15" s="76" t="n">
        <v>2300</v>
      </c>
      <c r="D15" s="76" t="n">
        <v>2600</v>
      </c>
      <c r="E15" s="84">
        <f>IF(AND($C15="",$D15=""),"",N($D15)-N($C15))</f>
        <v/>
      </c>
      <c r="F15" s="86">
        <f>IF(N($C15)=0,"",E15/C15)</f>
        <v/>
      </c>
      <c r="G15" s="86">
        <f>IF(OR($A15="",$D$30=0),"",N($D15)/$D$30)</f>
        <v/>
      </c>
    </row>
    <row r="16">
      <c r="A16" s="74" t="inlineStr">
        <is>
          <t>Previdência privada</t>
        </is>
      </c>
      <c r="B16" s="74" t="inlineStr">
        <is>
          <t>Outros</t>
        </is>
      </c>
      <c r="C16" s="76" t="n">
        <v>1300</v>
      </c>
      <c r="D16" s="76" t="n">
        <v>1400</v>
      </c>
      <c r="E16" s="84">
        <f>IF(AND($C16="",$D16=""),"",N($D16)-N($C16))</f>
        <v/>
      </c>
      <c r="F16" s="86">
        <f>IF(N($C16)=0,"",E16/C16)</f>
        <v/>
      </c>
      <c r="G16" s="86">
        <f>IF(OR($A16="",$D$30=0),"",N($D16)/$D$30)</f>
        <v/>
      </c>
    </row>
    <row r="17">
      <c r="A17" s="74" t="n"/>
      <c r="B17" s="74" t="n"/>
      <c r="C17" s="76" t="n"/>
      <c r="D17" s="76" t="n"/>
      <c r="E17" s="84">
        <f>IF(AND($C17="",$D17=""),"",N($D17)-N($C17))</f>
        <v/>
      </c>
      <c r="F17" s="86">
        <f>IF(N($C17)=0,"",E17/C17)</f>
        <v/>
      </c>
      <c r="G17" s="86">
        <f>IF(OR($A17="",$D$30=0),"",N($D17)/$D$30)</f>
        <v/>
      </c>
    </row>
    <row r="18">
      <c r="A18" s="74" t="n"/>
      <c r="B18" s="74" t="n"/>
      <c r="C18" s="76" t="n"/>
      <c r="D18" s="76" t="n"/>
      <c r="E18" s="84">
        <f>IF(AND($C18="",$D18=""),"",N($D18)-N($C18))</f>
        <v/>
      </c>
      <c r="F18" s="86">
        <f>IF(N($C18)=0,"",E18/C18)</f>
        <v/>
      </c>
      <c r="G18" s="86">
        <f>IF(OR($A18="",$D$30=0),"",N($D18)/$D$30)</f>
        <v/>
      </c>
    </row>
    <row r="19">
      <c r="A19" s="74" t="n"/>
      <c r="B19" s="74" t="n"/>
      <c r="C19" s="76" t="n"/>
      <c r="D19" s="76" t="n"/>
      <c r="E19" s="84">
        <f>IF(AND($C19="",$D19=""),"",N($D19)-N($C19))</f>
        <v/>
      </c>
      <c r="F19" s="86">
        <f>IF(N($C19)=0,"",E19/C19)</f>
        <v/>
      </c>
      <c r="G19" s="86">
        <f>IF(OR($A19="",$D$30=0),"",N($D19)/$D$30)</f>
        <v/>
      </c>
    </row>
    <row r="20">
      <c r="A20" s="74" t="n"/>
      <c r="B20" s="74" t="n"/>
      <c r="C20" s="76" t="n"/>
      <c r="D20" s="76" t="n"/>
      <c r="E20" s="84">
        <f>IF(AND($C20="",$D20=""),"",N($D20)-N($C20))</f>
        <v/>
      </c>
      <c r="F20" s="86">
        <f>IF(N($C20)=0,"",E20/C20)</f>
        <v/>
      </c>
      <c r="G20" s="86">
        <f>IF(OR($A20="",$D$30=0),"",N($D20)/$D$30)</f>
        <v/>
      </c>
    </row>
    <row r="21">
      <c r="A21" s="74" t="n"/>
      <c r="B21" s="74" t="n"/>
      <c r="C21" s="76" t="n"/>
      <c r="D21" s="76" t="n"/>
      <c r="E21" s="84">
        <f>IF(AND($C21="",$D21=""),"",N($D21)-N($C21))</f>
        <v/>
      </c>
      <c r="F21" s="86">
        <f>IF(N($C21)=0,"",E21/C21)</f>
        <v/>
      </c>
      <c r="G21" s="86">
        <f>IF(OR($A21="",$D$30=0),"",N($D21)/$D$30)</f>
        <v/>
      </c>
    </row>
    <row r="22">
      <c r="A22" s="74" t="n"/>
      <c r="B22" s="74" t="n"/>
      <c r="C22" s="76" t="n"/>
      <c r="D22" s="76" t="n"/>
      <c r="E22" s="84">
        <f>IF(AND($C22="",$D22=""),"",N($D22)-N($C22))</f>
        <v/>
      </c>
      <c r="F22" s="86">
        <f>IF(N($C22)=0,"",E22/C22)</f>
        <v/>
      </c>
      <c r="G22" s="86">
        <f>IF(OR($A22="",$D$30=0),"",N($D22)/$D$30)</f>
        <v/>
      </c>
    </row>
    <row r="23">
      <c r="A23" s="74" t="n"/>
      <c r="B23" s="74" t="n"/>
      <c r="C23" s="76" t="n"/>
      <c r="D23" s="76" t="n"/>
      <c r="E23" s="84">
        <f>IF(AND($C23="",$D23=""),"",N($D23)-N($C23))</f>
        <v/>
      </c>
      <c r="F23" s="86">
        <f>IF(N($C23)=0,"",E23/C23)</f>
        <v/>
      </c>
      <c r="G23" s="86">
        <f>IF(OR($A23="",$D$30=0),"",N($D23)/$D$30)</f>
        <v/>
      </c>
    </row>
    <row r="24">
      <c r="A24" s="74" t="n"/>
      <c r="B24" s="74" t="n"/>
      <c r="C24" s="76" t="n"/>
      <c r="D24" s="76" t="n"/>
      <c r="E24" s="84">
        <f>IF(AND($C24="",$D24=""),"",N($D24)-N($C24))</f>
        <v/>
      </c>
      <c r="F24" s="86">
        <f>IF(N($C24)=0,"",E24/C24)</f>
        <v/>
      </c>
      <c r="G24" s="86">
        <f>IF(OR($A24="",$D$30=0),"",N($D24)/$D$30)</f>
        <v/>
      </c>
    </row>
    <row r="25">
      <c r="A25" s="74" t="n"/>
      <c r="B25" s="74" t="n"/>
      <c r="C25" s="76" t="n"/>
      <c r="D25" s="76" t="n"/>
      <c r="E25" s="84">
        <f>IF(AND($C25="",$D25=""),"",N($D25)-N($C25))</f>
        <v/>
      </c>
      <c r="F25" s="86">
        <f>IF(N($C25)=0,"",E25/C25)</f>
        <v/>
      </c>
      <c r="G25" s="86">
        <f>IF(OR($A25="",$D$30=0),"",N($D25)/$D$30)</f>
        <v/>
      </c>
    </row>
    <row r="26">
      <c r="A26" s="74" t="n"/>
      <c r="B26" s="74" t="n"/>
      <c r="C26" s="76" t="n"/>
      <c r="D26" s="76" t="n"/>
      <c r="E26" s="84">
        <f>IF(AND($C26="",$D26=""),"",N($D26)-N($C26))</f>
        <v/>
      </c>
      <c r="F26" s="86">
        <f>IF(N($C26)=0,"",E26/C26)</f>
        <v/>
      </c>
      <c r="G26" s="86">
        <f>IF(OR($A26="",$D$30=0),"",N($D26)/$D$30)</f>
        <v/>
      </c>
    </row>
    <row r="27">
      <c r="A27" s="74" t="n"/>
      <c r="B27" s="74" t="n"/>
      <c r="C27" s="76" t="n"/>
      <c r="D27" s="76" t="n"/>
      <c r="E27" s="84">
        <f>IF(AND($C27="",$D27=""),"",N($D27)-N($C27))</f>
        <v/>
      </c>
      <c r="F27" s="86">
        <f>IF(N($C27)=0,"",E27/C27)</f>
        <v/>
      </c>
      <c r="G27" s="86">
        <f>IF(OR($A27="",$D$30=0),"",N($D27)/$D$30)</f>
        <v/>
      </c>
    </row>
    <row r="28">
      <c r="A28" s="74" t="n"/>
      <c r="B28" s="74" t="n"/>
      <c r="C28" s="76" t="n"/>
      <c r="D28" s="76" t="n"/>
      <c r="E28" s="84">
        <f>IF(AND($C28="",$D28=""),"",N($D28)-N($C28))</f>
        <v/>
      </c>
      <c r="F28" s="86">
        <f>IF(N($C28)=0,"",E28/C28)</f>
        <v/>
      </c>
      <c r="G28" s="86">
        <f>IF(OR($A28="",$D$30=0),"",N($D28)/$D$30)</f>
        <v/>
      </c>
    </row>
    <row r="29">
      <c r="A29" s="74" t="n"/>
      <c r="B29" s="74" t="n"/>
      <c r="C29" s="76" t="n"/>
      <c r="D29" s="76" t="n"/>
      <c r="E29" s="84">
        <f>IF(AND($C29="",$D29=""),"",N($D29)-N($C29))</f>
        <v/>
      </c>
      <c r="F29" s="86">
        <f>IF(N($C29)=0,"",E29/C29)</f>
        <v/>
      </c>
      <c r="G29" s="86">
        <f>IF(OR($A29="",$D$30=0),"",N($D29)/$D$30)</f>
        <v/>
      </c>
    </row>
    <row r="30">
      <c r="A30" s="87" t="inlineStr">
        <is>
          <t>Total</t>
        </is>
      </c>
      <c r="B30" s="88" t="n"/>
      <c r="C30" s="88">
        <f>SUM(C10:C29)</f>
        <v/>
      </c>
      <c r="D30" s="88">
        <f>SUM(D10:D29)</f>
        <v/>
      </c>
      <c r="E30" s="88">
        <f>SUM(E10:E29)</f>
        <v/>
      </c>
      <c r="F30" s="89">
        <f>IF(C30=0,"",E30/C30)</f>
        <v/>
      </c>
      <c r="G30" s="89">
        <f>IF(D30=0,"",SUM(G10:G29))</f>
        <v/>
      </c>
    </row>
    <row r="33">
      <c r="A33" s="5" t="inlineStr">
        <is>
          <t>Alocação por classe: atual x alvo</t>
        </is>
      </c>
    </row>
    <row r="34" ht="34" customHeight="1">
      <c r="A34" s="44" t="inlineStr">
        <is>
          <t>Classe</t>
        </is>
      </c>
      <c r="B34" s="44" t="inlineStr">
        <is>
          <t>Valor atual (R$)</t>
        </is>
      </c>
      <c r="C34" s="44" t="inlineStr">
        <is>
          <t>% atual</t>
        </is>
      </c>
      <c r="D34" s="44" t="inlineStr">
        <is>
          <t>% alvo</t>
        </is>
      </c>
      <c r="E34" s="44" t="inlineStr">
        <is>
          <t>Diferença (p.p.)</t>
        </is>
      </c>
      <c r="F34" s="44" t="inlineStr">
        <is>
          <t>Ajuste para chegar ao alvo (R$)</t>
        </is>
      </c>
      <c r="G34" s="44" t="inlineStr">
        <is>
          <t>Situação</t>
        </is>
      </c>
    </row>
    <row r="35">
      <c r="A35" s="100" t="inlineStr">
        <is>
          <t>Renda fixa</t>
        </is>
      </c>
      <c r="B35" s="84">
        <f>SUMIF($B$10:$B$29,$A35,$D$10:$D$29)</f>
        <v/>
      </c>
      <c r="C35" s="86">
        <f>IF($D$30=0,0,B35/$D$30)</f>
        <v/>
      </c>
      <c r="D35" s="140" t="n">
        <v>0.5</v>
      </c>
      <c r="E35" s="141">
        <f>(C35-N(D35))*100</f>
        <v/>
      </c>
      <c r="F35" s="84">
        <f>N(D35)*$D$30-B35</f>
        <v/>
      </c>
      <c r="G35" s="102">
        <f>IF($D$30=0,"-",IF(N($D$41)=0,"Defina o alvo",IF(ABS(E35)&lt;=5,"Em linha",IF(E35&gt;0,"Acima do alvo","Abaixo do alvo"))))</f>
        <v/>
      </c>
    </row>
    <row r="36">
      <c r="A36" s="100" t="inlineStr">
        <is>
          <t>Ações</t>
        </is>
      </c>
      <c r="B36" s="84">
        <f>SUMIF($B$10:$B$29,$A36,$D$10:$D$29)</f>
        <v/>
      </c>
      <c r="C36" s="86">
        <f>IF($D$30=0,0,B36/$D$30)</f>
        <v/>
      </c>
      <c r="D36" s="140" t="n">
        <v>0.15</v>
      </c>
      <c r="E36" s="141">
        <f>(C36-N(D36))*100</f>
        <v/>
      </c>
      <c r="F36" s="84">
        <f>N(D36)*$D$30-B36</f>
        <v/>
      </c>
      <c r="G36" s="102">
        <f>IF($D$30=0,"-",IF(N($D$41)=0,"Defina o alvo",IF(ABS(E36)&lt;=5,"Em linha",IF(E36&gt;0,"Acima do alvo","Abaixo do alvo"))))</f>
        <v/>
      </c>
    </row>
    <row r="37">
      <c r="A37" s="100" t="inlineStr">
        <is>
          <t>FIIs</t>
        </is>
      </c>
      <c r="B37" s="84">
        <f>SUMIF($B$10:$B$29,$A37,$D$10:$D$29)</f>
        <v/>
      </c>
      <c r="C37" s="86">
        <f>IF($D$30=0,0,B37/$D$30)</f>
        <v/>
      </c>
      <c r="D37" s="140" t="n">
        <v>0.12</v>
      </c>
      <c r="E37" s="141">
        <f>(C37-N(D37))*100</f>
        <v/>
      </c>
      <c r="F37" s="84">
        <f>N(D37)*$D$30-B37</f>
        <v/>
      </c>
      <c r="G37" s="102">
        <f>IF($D$30=0,"-",IF(N($D$41)=0,"Defina o alvo",IF(ABS(E37)&lt;=5,"Em linha",IF(E37&gt;0,"Acima do alvo","Abaixo do alvo"))))</f>
        <v/>
      </c>
    </row>
    <row r="38">
      <c r="A38" s="100" t="inlineStr">
        <is>
          <t>Cripto</t>
        </is>
      </c>
      <c r="B38" s="84">
        <f>SUMIF($B$10:$B$29,$A38,$D$10:$D$29)</f>
        <v/>
      </c>
      <c r="C38" s="86">
        <f>IF($D$30=0,0,B38/$D$30)</f>
        <v/>
      </c>
      <c r="D38" s="140" t="n">
        <v>0.03</v>
      </c>
      <c r="E38" s="141">
        <f>(C38-N(D38))*100</f>
        <v/>
      </c>
      <c r="F38" s="84">
        <f>N(D38)*$D$30-B38</f>
        <v/>
      </c>
      <c r="G38" s="102">
        <f>IF($D$30=0,"-",IF(N($D$41)=0,"Defina o alvo",IF(ABS(E38)&lt;=5,"Em linha",IF(E38&gt;0,"Acima do alvo","Abaixo do alvo"))))</f>
        <v/>
      </c>
    </row>
    <row r="39">
      <c r="A39" s="100" t="inlineStr">
        <is>
          <t>Exterior</t>
        </is>
      </c>
      <c r="B39" s="84">
        <f>SUMIF($B$10:$B$29,$A39,$D$10:$D$29)</f>
        <v/>
      </c>
      <c r="C39" s="86">
        <f>IF($D$30=0,0,B39/$D$30)</f>
        <v/>
      </c>
      <c r="D39" s="140" t="n">
        <v>0.15</v>
      </c>
      <c r="E39" s="141">
        <f>(C39-N(D39))*100</f>
        <v/>
      </c>
      <c r="F39" s="84">
        <f>N(D39)*$D$30-B39</f>
        <v/>
      </c>
      <c r="G39" s="102">
        <f>IF($D$30=0,"-",IF(N($D$41)=0,"Defina o alvo",IF(ABS(E39)&lt;=5,"Em linha",IF(E39&gt;0,"Acima do alvo","Abaixo do alvo"))))</f>
        <v/>
      </c>
    </row>
    <row r="40">
      <c r="A40" s="100" t="inlineStr">
        <is>
          <t>Outros</t>
        </is>
      </c>
      <c r="B40" s="84">
        <f>SUMIF($B$10:$B$29,$A40,$D$10:$D$29)</f>
        <v/>
      </c>
      <c r="C40" s="86">
        <f>IF($D$30=0,0,B40/$D$30)</f>
        <v/>
      </c>
      <c r="D40" s="140" t="n">
        <v>0.05</v>
      </c>
      <c r="E40" s="141">
        <f>(C40-N(D40))*100</f>
        <v/>
      </c>
      <c r="F40" s="84">
        <f>N(D40)*$D$30-B40</f>
        <v/>
      </c>
      <c r="G40" s="102">
        <f>IF($D$30=0,"-",IF(N($D$41)=0,"Defina o alvo",IF(ABS(E40)&lt;=5,"Em linha",IF(E40&gt;0,"Acima do alvo","Abaixo do alvo"))))</f>
        <v/>
      </c>
    </row>
    <row r="41">
      <c r="A41" s="87" t="inlineStr">
        <is>
          <t>Total</t>
        </is>
      </c>
      <c r="B41" s="88">
        <f>SUM(B35:B40)</f>
        <v/>
      </c>
      <c r="C41" s="89">
        <f>SUM(C35:C40)</f>
        <v/>
      </c>
      <c r="D41" s="103">
        <f>SUM(D35:D40)</f>
        <v/>
      </c>
      <c r="E41" s="88" t="n"/>
      <c r="F41" s="88" t="n"/>
      <c r="G41" s="88" t="n"/>
    </row>
    <row r="42">
      <c r="A42" s="59" t="inlineStr">
        <is>
          <t>Os alvos devem somar 100%. Ajuste positivo = aportar nessa classe; negativo = a classe passou do alvo (direcione os próximos aportes para outras).</t>
        </is>
      </c>
    </row>
    <row r="45">
      <c r="A45" s="5" t="inlineStr">
        <is>
          <t>Bens (imóveis, veículos, outros): valor de mercado</t>
        </is>
      </c>
    </row>
    <row r="46" ht="22" customHeight="1">
      <c r="A46" s="44" t="inlineStr">
        <is>
          <t>Bem</t>
        </is>
      </c>
      <c r="B46" s="44" t="inlineStr">
        <is>
          <t>Valor (R$)</t>
        </is>
      </c>
    </row>
    <row r="47">
      <c r="A47" s="74" t="inlineStr">
        <is>
          <t>Carro (valor de mercado)</t>
        </is>
      </c>
      <c r="B47" s="76" t="n">
        <v>38000</v>
      </c>
    </row>
    <row r="48">
      <c r="A48" s="74" t="inlineStr">
        <is>
          <t>Eletrônicos e móveis</t>
        </is>
      </c>
      <c r="B48" s="76" t="n">
        <v>9000</v>
      </c>
    </row>
    <row r="49">
      <c r="A49" s="74" t="n"/>
      <c r="B49" s="76" t="n"/>
    </row>
    <row r="50">
      <c r="A50" s="74" t="n"/>
      <c r="B50" s="76" t="n"/>
    </row>
    <row r="51">
      <c r="A51" s="74" t="n"/>
      <c r="B51" s="76" t="n"/>
    </row>
    <row r="52">
      <c r="A52" s="74" t="n"/>
      <c r="B52" s="76" t="n"/>
    </row>
    <row r="53">
      <c r="A53" s="74" t="n"/>
      <c r="B53" s="76" t="n"/>
    </row>
    <row r="54">
      <c r="A54" s="74" t="n"/>
      <c r="B54" s="76" t="n"/>
    </row>
    <row r="57">
      <c r="A57" s="5" t="inlineStr">
        <is>
          <t>Outros passivos (financiamento do imóvel, empréstimos que não estão em Dívidas)</t>
        </is>
      </c>
    </row>
    <row r="58" ht="22" customHeight="1">
      <c r="A58" s="44" t="inlineStr">
        <is>
          <t>Passivo</t>
        </is>
      </c>
      <c r="B58" s="44" t="inlineStr">
        <is>
          <t>Saldo devedor (R$)</t>
        </is>
      </c>
    </row>
    <row r="59">
      <c r="A59" s="74" t="inlineStr">
        <is>
          <t>Empréstimo familiar</t>
        </is>
      </c>
      <c r="B59" s="76" t="n">
        <v>2500</v>
      </c>
    </row>
    <row r="60">
      <c r="A60" s="74" t="n"/>
      <c r="B60" s="76" t="n"/>
    </row>
    <row r="61">
      <c r="A61" s="74" t="n"/>
      <c r="B61" s="76" t="n"/>
    </row>
    <row r="62">
      <c r="A62" s="74" t="n"/>
      <c r="B62" s="76" t="n"/>
    </row>
    <row r="63">
      <c r="A63" s="74" t="n"/>
      <c r="B63" s="76" t="n"/>
    </row>
    <row r="64">
      <c r="A64" s="74" t="n"/>
      <c r="B64" s="76" t="n"/>
    </row>
    <row r="67">
      <c r="A67" s="5" t="inlineStr">
        <is>
          <t>Patrimônio líquido hoje</t>
        </is>
      </c>
    </row>
    <row r="68">
      <c r="A68" s="75" t="inlineStr">
        <is>
          <t>Contas (saldos, sem as contas de investimento)</t>
        </is>
      </c>
      <c r="B68" s="84">
        <f>CONTAS_SEM_INV</f>
        <v/>
      </c>
    </row>
    <row r="69">
      <c r="A69" s="75" t="inlineStr">
        <is>
          <t>Carteira de investimentos (valor atual)</t>
        </is>
      </c>
      <c r="B69" s="84">
        <f>D30</f>
        <v/>
      </c>
    </row>
    <row r="70">
      <c r="A70" s="75" t="inlineStr">
        <is>
          <t>Bens</t>
        </is>
      </c>
      <c r="B70" s="84">
        <f>SUM(B47:B54)</f>
        <v/>
      </c>
    </row>
    <row r="72">
      <c r="A72" s="87" t="inlineStr">
        <is>
          <t>TOTAL DE ATIVOS</t>
        </is>
      </c>
      <c r="B72" s="88">
        <f>SUM(B68:B70)</f>
        <v/>
      </c>
    </row>
    <row r="73">
      <c r="A73" s="75" t="inlineStr">
        <is>
          <t>Dívidas cadastradas (aba Dívidas)</t>
        </is>
      </c>
      <c r="B73" s="84">
        <f>DIV_SALDO_TOTAL</f>
        <v/>
      </c>
    </row>
    <row r="74">
      <c r="A74" s="75" t="inlineStr">
        <is>
          <t>Outros passivos</t>
        </is>
      </c>
      <c r="B74" s="84">
        <f>SUM(B59:B64)</f>
        <v/>
      </c>
    </row>
    <row r="76">
      <c r="A76" s="87" t="inlineStr">
        <is>
          <t>TOTAL DE PASSIVOS</t>
        </is>
      </c>
      <c r="B76" s="88">
        <f>B73+B74</f>
        <v/>
      </c>
    </row>
    <row r="77">
      <c r="A77" s="87" t="inlineStr">
        <is>
          <t>PATRIMÔNIO LÍQUIDO (ativos - passivos)</t>
        </is>
      </c>
      <c r="B77" s="88">
        <f>B72-B76</f>
        <v/>
      </c>
    </row>
    <row r="79">
      <c r="A79" s="5" t="inlineStr">
        <is>
          <t>Histórico mensal do patrimônio (preencha no fim de cada mês: ativos e passivos)</t>
        </is>
      </c>
    </row>
    <row r="80" ht="34" customHeight="1">
      <c r="A80" s="44" t="inlineStr">
        <is>
          <t>Mês</t>
        </is>
      </c>
      <c r="B80" s="44" t="inlineStr">
        <is>
          <t>Ativos (R$)</t>
        </is>
      </c>
      <c r="C80" s="44" t="inlineStr">
        <is>
          <t>Passivos (R$)</t>
        </is>
      </c>
      <c r="D80" s="44" t="inlineStr">
        <is>
          <t>Patrimônio líquido (R$)</t>
        </is>
      </c>
      <c r="E80" s="44" t="inlineStr">
        <is>
          <t>Variação no mês (R$)</t>
        </is>
      </c>
      <c r="F80" s="44" t="inlineStr">
        <is>
          <t>rótulo</t>
        </is>
      </c>
    </row>
    <row r="81">
      <c r="A81" s="96">
        <f>DATE(ANO_INI,1,1)</f>
        <v/>
      </c>
      <c r="B81" s="76" t="n">
        <v>83500</v>
      </c>
      <c r="C81" s="76" t="n">
        <v>27900</v>
      </c>
      <c r="D81" s="142">
        <f>IF(AND($B81="",$C81=""),0,N(B81)-N(C81))</f>
        <v/>
      </c>
      <c r="E81" s="84">
        <f>""</f>
        <v/>
      </c>
      <c r="F81" s="110">
        <f>CHOOSE(MONTH(A81),"jan","fev","mar","abr","mai","jun","jul","ago","set","out","nov","dez")&amp;"/"&amp;RIGHT(YEAR(A81),2)</f>
        <v/>
      </c>
    </row>
    <row r="82">
      <c r="A82" s="96">
        <f>EDATE(A81,1)</f>
        <v/>
      </c>
      <c r="B82" s="76" t="n">
        <v>84700</v>
      </c>
      <c r="C82" s="76" t="n">
        <v>27300</v>
      </c>
      <c r="D82" s="142">
        <f>IF(AND($B82="",$C82=""),0,N(B82)-N(C82))</f>
        <v/>
      </c>
      <c r="E82" s="84">
        <f>IF(OR($B82="",$B81=""),"",D82-D81)</f>
        <v/>
      </c>
      <c r="F82" s="110">
        <f>CHOOSE(MONTH(A82),"jan","fev","mar","abr","mai","jun","jul","ago","set","out","nov","dez")&amp;"/"&amp;RIGHT(YEAR(A82),2)</f>
        <v/>
      </c>
    </row>
    <row r="83">
      <c r="A83" s="96">
        <f>EDATE(A82,1)</f>
        <v/>
      </c>
      <c r="B83" s="76" t="n">
        <v>86300</v>
      </c>
      <c r="C83" s="76" t="n">
        <v>26900</v>
      </c>
      <c r="D83" s="142">
        <f>IF(AND($B83="",$C83=""),0,N(B83)-N(C83))</f>
        <v/>
      </c>
      <c r="E83" s="84">
        <f>IF(OR($B83="",$B82=""),"",D83-D82)</f>
        <v/>
      </c>
      <c r="F83" s="110">
        <f>CHOOSE(MONTH(A83),"jan","fev","mar","abr","mai","jun","jul","ago","set","out","nov","dez")&amp;"/"&amp;RIGHT(YEAR(A83),2)</f>
        <v/>
      </c>
    </row>
    <row r="84">
      <c r="A84" s="96">
        <f>EDATE(A83,1)</f>
        <v/>
      </c>
      <c r="B84" s="76" t="n">
        <v>87500</v>
      </c>
      <c r="C84" s="76" t="n">
        <v>26500</v>
      </c>
      <c r="D84" s="142">
        <f>IF(AND($B84="",$C84=""),0,N(B84)-N(C84))</f>
        <v/>
      </c>
      <c r="E84" s="84">
        <f>IF(OR($B84="",$B83=""),"",D84-D83)</f>
        <v/>
      </c>
      <c r="F84" s="110">
        <f>CHOOSE(MONTH(A84),"jan","fev","mar","abr","mai","jun","jul","ago","set","out","nov","dez")&amp;"/"&amp;RIGHT(YEAR(A84),2)</f>
        <v/>
      </c>
    </row>
    <row r="85">
      <c r="A85" s="96">
        <f>EDATE(A84,1)</f>
        <v/>
      </c>
      <c r="B85" s="76" t="n">
        <v>88900</v>
      </c>
      <c r="C85" s="76" t="n">
        <v>26400</v>
      </c>
      <c r="D85" s="142">
        <f>IF(AND($B85="",$C85=""),0,N(B85)-N(C85))</f>
        <v/>
      </c>
      <c r="E85" s="84">
        <f>IF(OR($B85="",$B84=""),"",D85-D84)</f>
        <v/>
      </c>
      <c r="F85" s="110">
        <f>CHOOSE(MONTH(A85),"jan","fev","mar","abr","mai","jun","jul","ago","set","out","nov","dez")&amp;"/"&amp;RIGHT(YEAR(A85),2)</f>
        <v/>
      </c>
    </row>
    <row r="86">
      <c r="A86" s="96">
        <f>EDATE(A85,1)</f>
        <v/>
      </c>
      <c r="B86" s="76" t="n">
        <v>90000</v>
      </c>
      <c r="C86" s="76" t="n">
        <v>26000</v>
      </c>
      <c r="D86" s="142">
        <f>IF(AND($B86="",$C86=""),0,N(B86)-N(C86))</f>
        <v/>
      </c>
      <c r="E86" s="84">
        <f>IF(OR($B86="",$B85=""),"",D86-D85)</f>
        <v/>
      </c>
      <c r="F86" s="110">
        <f>CHOOSE(MONTH(A86),"jan","fev","mar","abr","mai","jun","jul","ago","set","out","nov","dez")&amp;"/"&amp;RIGHT(YEAR(A86),2)</f>
        <v/>
      </c>
    </row>
    <row r="87">
      <c r="A87" s="96">
        <f>EDATE(A86,1)</f>
        <v/>
      </c>
      <c r="B87" s="76" t="n">
        <v>91400</v>
      </c>
      <c r="C87" s="76" t="n">
        <v>25500</v>
      </c>
      <c r="D87" s="142">
        <f>IF(AND($B87="",$C87=""),0,N(B87)-N(C87))</f>
        <v/>
      </c>
      <c r="E87" s="84">
        <f>IF(OR($B87="",$B86=""),"",D87-D86)</f>
        <v/>
      </c>
      <c r="F87" s="110">
        <f>CHOOSE(MONTH(A87),"jan","fev","mar","abr","mai","jun","jul","ago","set","out","nov","dez")&amp;"/"&amp;RIGHT(YEAR(A87),2)</f>
        <v/>
      </c>
    </row>
    <row r="88">
      <c r="A88" s="96">
        <f>EDATE(A87,1)</f>
        <v/>
      </c>
      <c r="B88" s="76" t="n">
        <v>92600</v>
      </c>
      <c r="C88" s="76" t="n">
        <v>25100</v>
      </c>
      <c r="D88" s="142">
        <f>IF(AND($B88="",$C88=""),0,N(B88)-N(C88))</f>
        <v/>
      </c>
      <c r="E88" s="84">
        <f>IF(OR($B88="",$B87=""),"",D88-D87)</f>
        <v/>
      </c>
      <c r="F88" s="110">
        <f>CHOOSE(MONTH(A88),"jan","fev","mar","abr","mai","jun","jul","ago","set","out","nov","dez")&amp;"/"&amp;RIGHT(YEAR(A88),2)</f>
        <v/>
      </c>
    </row>
    <row r="89">
      <c r="A89" s="96">
        <f>EDATE(A88,1)</f>
        <v/>
      </c>
      <c r="B89" s="76" t="n">
        <v>94300</v>
      </c>
      <c r="C89" s="76" t="n">
        <v>25300</v>
      </c>
      <c r="D89" s="142">
        <f>IF(AND($B89="",$C89=""),0,N(B89)-N(C89))</f>
        <v/>
      </c>
      <c r="E89" s="84">
        <f>IF(OR($B89="",$B88=""),"",D89-D88)</f>
        <v/>
      </c>
      <c r="F89" s="110">
        <f>CHOOSE(MONTH(A89),"jan","fev","mar","abr","mai","jun","jul","ago","set","out","nov","dez")&amp;"/"&amp;RIGHT(YEAR(A89),2)</f>
        <v/>
      </c>
    </row>
    <row r="90">
      <c r="A90" s="96">
        <f>EDATE(A89,1)</f>
        <v/>
      </c>
      <c r="B90" s="76" t="n">
        <v>95700</v>
      </c>
      <c r="C90" s="76" t="n">
        <v>24800</v>
      </c>
      <c r="D90" s="142">
        <f>IF(AND($B90="",$C90=""),0,N(B90)-N(C90))</f>
        <v/>
      </c>
      <c r="E90" s="84">
        <f>IF(OR($B90="",$B89=""),"",D90-D89)</f>
        <v/>
      </c>
      <c r="F90" s="110">
        <f>CHOOSE(MONTH(A90),"jan","fev","mar","abr","mai","jun","jul","ago","set","out","nov","dez")&amp;"/"&amp;RIGHT(YEAR(A90),2)</f>
        <v/>
      </c>
    </row>
    <row r="91">
      <c r="A91" s="96">
        <f>EDATE(A90,1)</f>
        <v/>
      </c>
      <c r="B91" s="76" t="n">
        <v>97500</v>
      </c>
      <c r="C91" s="76" t="n">
        <v>24400</v>
      </c>
      <c r="D91" s="142">
        <f>IF(AND($B91="",$C91=""),0,N(B91)-N(C91))</f>
        <v/>
      </c>
      <c r="E91" s="84">
        <f>IF(OR($B91="",$B90=""),"",D91-D90)</f>
        <v/>
      </c>
      <c r="F91" s="110">
        <f>CHOOSE(MONTH(A91),"jan","fev","mar","abr","mai","jun","jul","ago","set","out","nov","dez")&amp;"/"&amp;RIGHT(YEAR(A91),2)</f>
        <v/>
      </c>
    </row>
    <row r="92">
      <c r="A92" s="96">
        <f>EDATE(A91,1)</f>
        <v/>
      </c>
      <c r="B92" s="76" t="n">
        <v>99300</v>
      </c>
      <c r="C92" s="76" t="n">
        <v>24000</v>
      </c>
      <c r="D92" s="142">
        <f>IF(AND($B92="",$C92=""),0,N(B92)-N(C92))</f>
        <v/>
      </c>
      <c r="E92" s="84">
        <f>IF(OR($B92="",$B91=""),"",D92-D91)</f>
        <v/>
      </c>
      <c r="F92" s="110">
        <f>CHOOSE(MONTH(A92),"jan","fev","mar","abr","mai","jun","jul","ago","set","out","nov","dez")&amp;"/"&amp;RIGHT(YEAR(A92),2)</f>
        <v/>
      </c>
    </row>
    <row r="93">
      <c r="A93" s="96">
        <f>EDATE(A92,1)</f>
        <v/>
      </c>
      <c r="B93" s="76" t="n"/>
      <c r="C93" s="76" t="n"/>
      <c r="D93" s="142">
        <f>IF(AND($B93="",$C93=""),0,N(B93)-N(C93))</f>
        <v/>
      </c>
      <c r="E93" s="84">
        <f>IF(OR($B93="",$B92=""),"",D93-D92)</f>
        <v/>
      </c>
      <c r="F93" s="110">
        <f>CHOOSE(MONTH(A93),"jan","fev","mar","abr","mai","jun","jul","ago","set","out","nov","dez")&amp;"/"&amp;RIGHT(YEAR(A93),2)</f>
        <v/>
      </c>
    </row>
    <row r="94">
      <c r="A94" s="96">
        <f>EDATE(A93,1)</f>
        <v/>
      </c>
      <c r="B94" s="76" t="n"/>
      <c r="C94" s="76" t="n"/>
      <c r="D94" s="142">
        <f>IF(AND($B94="",$C94=""),0,N(B94)-N(C94))</f>
        <v/>
      </c>
      <c r="E94" s="84">
        <f>IF(OR($B94="",$B93=""),"",D94-D93)</f>
        <v/>
      </c>
      <c r="F94" s="110">
        <f>CHOOSE(MONTH(A94),"jan","fev","mar","abr","mai","jun","jul","ago","set","out","nov","dez")&amp;"/"&amp;RIGHT(YEAR(A94),2)</f>
        <v/>
      </c>
    </row>
    <row r="95">
      <c r="A95" s="96">
        <f>EDATE(A94,1)</f>
        <v/>
      </c>
      <c r="B95" s="76" t="n"/>
      <c r="C95" s="76" t="n"/>
      <c r="D95" s="142">
        <f>IF(AND($B95="",$C95=""),0,N(B95)-N(C95))</f>
        <v/>
      </c>
      <c r="E95" s="84">
        <f>IF(OR($B95="",$B94=""),"",D95-D94)</f>
        <v/>
      </c>
      <c r="F95" s="110">
        <f>CHOOSE(MONTH(A95),"jan","fev","mar","abr","mai","jun","jul","ago","set","out","nov","dez")&amp;"/"&amp;RIGHT(YEAR(A95),2)</f>
        <v/>
      </c>
    </row>
    <row r="96">
      <c r="A96" s="96">
        <f>EDATE(A95,1)</f>
        <v/>
      </c>
      <c r="B96" s="76" t="n"/>
      <c r="C96" s="76" t="n"/>
      <c r="D96" s="142">
        <f>IF(AND($B96="",$C96=""),0,N(B96)-N(C96))</f>
        <v/>
      </c>
      <c r="E96" s="84">
        <f>IF(OR($B96="",$B95=""),"",D96-D95)</f>
        <v/>
      </c>
      <c r="F96" s="110">
        <f>CHOOSE(MONTH(A96),"jan","fev","mar","abr","mai","jun","jul","ago","set","out","nov","dez")&amp;"/"&amp;RIGHT(YEAR(A96),2)</f>
        <v/>
      </c>
    </row>
    <row r="97">
      <c r="A97" s="96">
        <f>EDATE(A96,1)</f>
        <v/>
      </c>
      <c r="B97" s="76" t="n"/>
      <c r="C97" s="76" t="n"/>
      <c r="D97" s="142">
        <f>IF(AND($B97="",$C97=""),0,N(B97)-N(C97))</f>
        <v/>
      </c>
      <c r="E97" s="84">
        <f>IF(OR($B97="",$B96=""),"",D97-D96)</f>
        <v/>
      </c>
      <c r="F97" s="110">
        <f>CHOOSE(MONTH(A97),"jan","fev","mar","abr","mai","jun","jul","ago","set","out","nov","dez")&amp;"/"&amp;RIGHT(YEAR(A97),2)</f>
        <v/>
      </c>
    </row>
    <row r="98">
      <c r="A98" s="96">
        <f>EDATE(A97,1)</f>
        <v/>
      </c>
      <c r="B98" s="76" t="n"/>
      <c r="C98" s="76" t="n"/>
      <c r="D98" s="142">
        <f>IF(AND($B98="",$C98=""),0,N(B98)-N(C98))</f>
        <v/>
      </c>
      <c r="E98" s="84">
        <f>IF(OR($B98="",$B97=""),"",D98-D97)</f>
        <v/>
      </c>
      <c r="F98" s="110">
        <f>CHOOSE(MONTH(A98),"jan","fev","mar","abr","mai","jun","jul","ago","set","out","nov","dez")&amp;"/"&amp;RIGHT(YEAR(A98),2)</f>
        <v/>
      </c>
    </row>
    <row r="99">
      <c r="A99" s="96">
        <f>EDATE(A98,1)</f>
        <v/>
      </c>
      <c r="B99" s="76" t="n"/>
      <c r="C99" s="76" t="n"/>
      <c r="D99" s="142">
        <f>IF(AND($B99="",$C99=""),0,N(B99)-N(C99))</f>
        <v/>
      </c>
      <c r="E99" s="84">
        <f>IF(OR($B99="",$B98=""),"",D99-D98)</f>
        <v/>
      </c>
      <c r="F99" s="110">
        <f>CHOOSE(MONTH(A99),"jan","fev","mar","abr","mai","jun","jul","ago","set","out","nov","dez")&amp;"/"&amp;RIGHT(YEAR(A99),2)</f>
        <v/>
      </c>
    </row>
    <row r="100">
      <c r="A100" s="96">
        <f>EDATE(A99,1)</f>
        <v/>
      </c>
      <c r="B100" s="76" t="n"/>
      <c r="C100" s="76" t="n"/>
      <c r="D100" s="142">
        <f>IF(AND($B100="",$C100=""),0,N(B100)-N(C100))</f>
        <v/>
      </c>
      <c r="E100" s="84">
        <f>IF(OR($B100="",$B99=""),"",D100-D99)</f>
        <v/>
      </c>
      <c r="F100" s="110">
        <f>CHOOSE(MONTH(A100),"jan","fev","mar","abr","mai","jun","jul","ago","set","out","nov","dez")&amp;"/"&amp;RIGHT(YEAR(A100),2)</f>
        <v/>
      </c>
    </row>
    <row r="101">
      <c r="A101" s="96">
        <f>EDATE(A100,1)</f>
        <v/>
      </c>
      <c r="B101" s="76" t="n"/>
      <c r="C101" s="76" t="n"/>
      <c r="D101" s="142">
        <f>IF(AND($B101="",$C101=""),0,N(B101)-N(C101))</f>
        <v/>
      </c>
      <c r="E101" s="84">
        <f>IF(OR($B101="",$B100=""),"",D101-D100)</f>
        <v/>
      </c>
      <c r="F101" s="110">
        <f>CHOOSE(MONTH(A101),"jan","fev","mar","abr","mai","jun","jul","ago","set","out","nov","dez")&amp;"/"&amp;RIGHT(YEAR(A101),2)</f>
        <v/>
      </c>
    </row>
    <row r="102">
      <c r="A102" s="96">
        <f>EDATE(A101,1)</f>
        <v/>
      </c>
      <c r="B102" s="76" t="n"/>
      <c r="C102" s="76" t="n"/>
      <c r="D102" s="142">
        <f>IF(AND($B102="",$C102=""),0,N(B102)-N(C102))</f>
        <v/>
      </c>
      <c r="E102" s="84">
        <f>IF(OR($B102="",$B101=""),"",D102-D101)</f>
        <v/>
      </c>
      <c r="F102" s="110">
        <f>CHOOSE(MONTH(A102),"jan","fev","mar","abr","mai","jun","jul","ago","set","out","nov","dez")&amp;"/"&amp;RIGHT(YEAR(A102),2)</f>
        <v/>
      </c>
    </row>
    <row r="103">
      <c r="A103" s="96">
        <f>EDATE(A102,1)</f>
        <v/>
      </c>
      <c r="B103" s="76" t="n"/>
      <c r="C103" s="76" t="n"/>
      <c r="D103" s="142">
        <f>IF(AND($B103="",$C103=""),0,N(B103)-N(C103))</f>
        <v/>
      </c>
      <c r="E103" s="84">
        <f>IF(OR($B103="",$B102=""),"",D103-D102)</f>
        <v/>
      </c>
      <c r="F103" s="110">
        <f>CHOOSE(MONTH(A103),"jan","fev","mar","abr","mai","jun","jul","ago","set","out","nov","dez")&amp;"/"&amp;RIGHT(YEAR(A103),2)</f>
        <v/>
      </c>
    </row>
    <row r="104">
      <c r="A104" s="96">
        <f>EDATE(A103,1)</f>
        <v/>
      </c>
      <c r="B104" s="76" t="n"/>
      <c r="C104" s="76" t="n"/>
      <c r="D104" s="142">
        <f>IF(AND($B104="",$C104=""),0,N(B104)-N(C104))</f>
        <v/>
      </c>
      <c r="E104" s="84">
        <f>IF(OR($B104="",$B103=""),"",D104-D103)</f>
        <v/>
      </c>
      <c r="F104" s="110">
        <f>CHOOSE(MONTH(A104),"jan","fev","mar","abr","mai","jun","jul","ago","set","out","nov","dez")&amp;"/"&amp;RIGHT(YEAR(A104),2)</f>
        <v/>
      </c>
    </row>
  </sheetData>
  <conditionalFormatting sqref="G35:G40">
    <cfRule type="expression" priority="1" dxfId="15">
      <formula>G35="Em linha"</formula>
    </cfRule>
    <cfRule type="expression" priority="2" dxfId="14">
      <formula>OR(G35="Acima do alvo",G35="Abaixo do alvo")</formula>
    </cfRule>
  </conditionalFormatting>
  <dataValidations count="3">
    <dataValidation sqref="B10:B29" showDropDown="0" showInputMessage="0" showErrorMessage="1" allowBlank="1" errorTitle="Classe inválida" error="Escolha uma classe da lista." type="list">
      <formula1>=$A$35:$A$40</formula1>
    </dataValidation>
    <dataValidation sqref="C10:D29" showDropDown="0" showInputMessage="0" showErrorMessage="1" allowBlank="1" errorTitle="Valor inválido" error="Digite um valor maior ou igual a zero." type="decimal" operator="greaterThanOrEqual">
      <formula1>0</formula1>
    </dataValidation>
    <dataValidation sqref="D35:D40" showDropDown="0" showInputMessage="0" showErrorMessage="1" allowBlank="1" errorTitle="Percentual inválido" error="Digite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O4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5" customWidth="1" min="3" max="3"/>
    <col width="32" customWidth="1" min="4" max="4"/>
    <col width="12" customWidth="1" min="5" max="5"/>
    <col width="17" customWidth="1" min="6" max="6"/>
    <col width="12" customWidth="1" min="7" max="7"/>
    <col width="22" customWidth="1" min="8" max="8"/>
    <col width="3" customWidth="1" min="9" max="9"/>
    <col width="4" customWidth="1" min="10" max="10"/>
    <col width="13" customWidth="1" min="11" max="11"/>
    <col width="34" customWidth="1" min="12" max="12"/>
    <col width="15" customWidth="1" min="13" max="13"/>
    <col width="14" customWidth="1" min="14" max="14"/>
    <col width="10" customWidth="1" min="15" max="15"/>
  </cols>
  <sheetData>
    <row r="1" ht="30" customHeight="1">
      <c r="A1" s="64" t="inlineStr">
        <is>
          <t>Contas a pagar e vencimentos</t>
        </is>
      </c>
    </row>
    <row r="2">
      <c r="A2" s="65" t="inlineStr">
        <is>
          <t>Liste as contas com data de vencimento. A planilha avisa o que está atrasado, o que vence nos próximos 7 dias e o total em aberto.</t>
        </is>
      </c>
    </row>
    <row r="3">
      <c r="A3" s="65" t="inlineStr">
        <is>
          <t>Status vazio conta como Pendente. Quando pagar, escolha Pago (e registre o pagamento em Lançamentos).</t>
        </is>
      </c>
    </row>
    <row r="4" ht="18" customHeight="1">
      <c r="A4" s="80" t="inlineStr">
        <is>
          <t>EM ABERTO (total)</t>
        </is>
      </c>
      <c r="B4" s="80" t="inlineStr">
        <is>
          <t>ATRASADAS</t>
        </is>
      </c>
      <c r="C4" s="81" t="n"/>
      <c r="D4" s="80" t="inlineStr">
        <is>
          <t>VENCEM EM 7 DIAS</t>
        </is>
      </c>
      <c r="E4" s="81" t="n"/>
      <c r="F4" s="80" t="inlineStr">
        <is>
          <t>PENDENTES NO MÊS ANALISADO</t>
        </is>
      </c>
      <c r="G4" s="81" t="n"/>
    </row>
    <row r="5" ht="30" customHeight="1">
      <c r="A5" s="120">
        <f>SUMIFS($C$8:$C$47,$E$8:$E$47,"&lt;&gt;Pago")</f>
        <v/>
      </c>
      <c r="B5" s="120">
        <f>SUMIFS($C$8:$C$47,$E$8:$E$47,"&lt;&gt;Pago",$B$8:$B$47,"&lt;"&amp;HOJE)</f>
        <v/>
      </c>
      <c r="C5" s="83" t="n"/>
      <c r="D5" s="120">
        <f>SUMIFS($C$8:$C$47,$E$8:$E$47,"&lt;&gt;Pago",$B$8:$B$47,"&gt;="&amp;HOJE,$B$8:$B$47,"&lt;="&amp;(HOJE+7))</f>
        <v/>
      </c>
      <c r="E5" s="83" t="n"/>
      <c r="F5" s="120">
        <f>SUMIFS($C$8:$C$47,$E$8:$E$47,"&lt;&gt;Pago",$B$8:$B$47,"&gt;="&amp;INI_MES,$B$8:$B$47,"&lt;="&amp;FIM_MES)</f>
        <v/>
      </c>
      <c r="G5" s="83" t="n"/>
    </row>
    <row r="6">
      <c r="K6" s="5" t="inlineStr">
        <is>
          <t>Próximos 5 vencimentos</t>
        </is>
      </c>
    </row>
    <row r="7" ht="34" customHeight="1">
      <c r="A7" s="44" t="inlineStr">
        <is>
          <t>Descrição</t>
        </is>
      </c>
      <c r="B7" s="44" t="inlineStr">
        <is>
          <t>Vencimento</t>
        </is>
      </c>
      <c r="C7" s="44" t="inlineStr">
        <is>
          <t>Valor (R$)</t>
        </is>
      </c>
      <c r="D7" s="44" t="inlineStr">
        <is>
          <t>Categoria</t>
        </is>
      </c>
      <c r="E7" s="44" t="inlineStr">
        <is>
          <t>Status</t>
        </is>
      </c>
      <c r="F7" s="44" t="inlineStr">
        <is>
          <t>Forma de pagamento</t>
        </is>
      </c>
      <c r="G7" s="44" t="inlineStr">
        <is>
          <t>Dias para vencer</t>
        </is>
      </c>
      <c r="H7" s="44" t="inlineStr">
        <is>
          <t>Situação</t>
        </is>
      </c>
      <c r="I7" s="72" t="inlineStr">
        <is>
          <t>chave</t>
        </is>
      </c>
      <c r="K7" s="44" t="inlineStr">
        <is>
          <t>Vence em</t>
        </is>
      </c>
      <c r="L7" s="44" t="inlineStr">
        <is>
          <t>Descrição</t>
        </is>
      </c>
      <c r="M7" s="44" t="inlineStr">
        <is>
          <t>Valor (R$)</t>
        </is>
      </c>
      <c r="N7" s="44" t="inlineStr">
        <is>
          <t>Faltam (dias)</t>
        </is>
      </c>
      <c r="O7" s="44" t="inlineStr">
        <is>
          <t>chave</t>
        </is>
      </c>
    </row>
    <row r="8">
      <c r="A8" s="74" t="inlineStr">
        <is>
          <t>Pagamento da fatura Itaú Visa</t>
        </is>
      </c>
      <c r="B8" s="123" t="n">
        <v>46008</v>
      </c>
      <c r="C8" s="76" t="n">
        <v>1658.47</v>
      </c>
      <c r="D8" s="74" t="inlineStr">
        <is>
          <t>Pagamento de fatura</t>
        </is>
      </c>
      <c r="E8" s="29" t="inlineStr">
        <is>
          <t>Pago</t>
        </is>
      </c>
      <c r="F8" s="74" t="n"/>
      <c r="G8" s="97">
        <f>IF(OR($B8="",$E8="Pago"),"",$B8-HOJE)</f>
        <v/>
      </c>
      <c r="H8" s="102">
        <f>IF($A8="","",IF($E8="Pago","Pago",IF($B8="","Sem data",IF($B8&lt;HOJE,"Atrasada",IF($B8=HOJE,"Vence hoje",IF($B8-HOJE&lt;=7,"Vence em "&amp;($B8-HOJE)&amp;" dias","Em dia"))))))</f>
        <v/>
      </c>
      <c r="I8" s="143">
        <f>IF(OR($A8="",$B8="",$E8="Pago"),"",$B8+ROW()/1000000)</f>
        <v/>
      </c>
      <c r="K8" s="91">
        <f>IF($O8="","",INT($O8))</f>
        <v/>
      </c>
      <c r="L8" s="75">
        <f>IF($O8="","",INDEX($A$8:$A$47,ROUND(($O8-INT($O8))*1000000,0)-7))</f>
        <v/>
      </c>
      <c r="M8" s="84">
        <f>IF($O8="","",INDEX($C$8:$C$47,ROUND(($O8-INT($O8))*1000000,0)-7))</f>
        <v/>
      </c>
      <c r="N8" s="97">
        <f>IF($O8="","",$K8-HOJE)</f>
        <v/>
      </c>
      <c r="O8" s="144">
        <f>IFERROR(SMALL($I$8:$I$47,1),"")</f>
        <v/>
      </c>
    </row>
    <row r="9">
      <c r="A9" s="74" t="inlineStr">
        <is>
          <t>Internet fibra</t>
        </is>
      </c>
      <c r="B9" s="123" t="n">
        <v>46011</v>
      </c>
      <c r="C9" s="76" t="n">
        <v>119.9</v>
      </c>
      <c r="D9" s="74" t="inlineStr">
        <is>
          <t>Internet e celular</t>
        </is>
      </c>
      <c r="E9" s="29" t="inlineStr">
        <is>
          <t>Pendente</t>
        </is>
      </c>
      <c r="F9" s="74" t="n"/>
      <c r="G9" s="97">
        <f>IF(OR($B9="",$E9="Pago"),"",$B9-HOJE)</f>
        <v/>
      </c>
      <c r="H9" s="102">
        <f>IF($A9="","",IF($E9="Pago","Pago",IF($B9="","Sem data",IF($B9&lt;HOJE,"Atrasada",IF($B9=HOJE,"Vence hoje",IF($B9-HOJE&lt;=7,"Vence em "&amp;($B9-HOJE)&amp;" dias","Em dia"))))))</f>
        <v/>
      </c>
      <c r="I9" s="143">
        <f>IF(OR($A9="",$B9="",$E9="Pago"),"",$B9+ROW()/1000000)</f>
        <v/>
      </c>
      <c r="K9" s="91">
        <f>IF($O9="","",INT($O9))</f>
        <v/>
      </c>
      <c r="L9" s="75">
        <f>IF($O9="","",INDEX($A$8:$A$47,ROUND(($O9-INT($O9))*1000000,0)-7))</f>
        <v/>
      </c>
      <c r="M9" s="84">
        <f>IF($O9="","",INDEX($C$8:$C$47,ROUND(($O9-INT($O9))*1000000,0)-7))</f>
        <v/>
      </c>
      <c r="N9" s="97">
        <f>IF($O9="","",$K9-HOJE)</f>
        <v/>
      </c>
      <c r="O9" s="144">
        <f>IFERROR(SMALL($I$8:$I$47,2),"")</f>
        <v/>
      </c>
    </row>
    <row r="10">
      <c r="A10" s="74" t="inlineStr">
        <is>
          <t>Plano de celular</t>
        </is>
      </c>
      <c r="B10" s="123" t="n">
        <v>46013</v>
      </c>
      <c r="C10" s="76" t="n">
        <v>59.9</v>
      </c>
      <c r="D10" s="74" t="inlineStr">
        <is>
          <t>Internet e celular</t>
        </is>
      </c>
      <c r="E10" s="29" t="inlineStr">
        <is>
          <t>Pendente</t>
        </is>
      </c>
      <c r="F10" s="74" t="n"/>
      <c r="G10" s="97">
        <f>IF(OR($B10="",$E10="Pago"),"",$B10-HOJE)</f>
        <v/>
      </c>
      <c r="H10" s="102">
        <f>IF($A10="","",IF($E10="Pago","Pago",IF($B10="","Sem data",IF($B10&lt;HOJE,"Atrasada",IF($B10=HOJE,"Vence hoje",IF($B10-HOJE&lt;=7,"Vence em "&amp;($B10-HOJE)&amp;" dias","Em dia"))))))</f>
        <v/>
      </c>
      <c r="I10" s="143">
        <f>IF(OR($A10="",$B10="",$E10="Pago"),"",$B10+ROW()/1000000)</f>
        <v/>
      </c>
      <c r="K10" s="91">
        <f>IF($O10="","",INT($O10))</f>
        <v/>
      </c>
      <c r="L10" s="75">
        <f>IF($O10="","",INDEX($A$8:$A$47,ROUND(($O10-INT($O10))*1000000,0)-7))</f>
        <v/>
      </c>
      <c r="M10" s="84">
        <f>IF($O10="","",INDEX($C$8:$C$47,ROUND(($O10-INT($O10))*1000000,0)-7))</f>
        <v/>
      </c>
      <c r="N10" s="97">
        <f>IF($O10="","",$K10-HOJE)</f>
        <v/>
      </c>
      <c r="O10" s="144">
        <f>IFERROR(SMALL($I$8:$I$47,3),"")</f>
        <v/>
      </c>
    </row>
    <row r="11">
      <c r="A11" s="74" t="inlineStr">
        <is>
          <t>Gás encanado</t>
        </is>
      </c>
      <c r="B11" s="123" t="n">
        <v>46017</v>
      </c>
      <c r="C11" s="76" t="n">
        <v>92</v>
      </c>
      <c r="D11" s="74" t="inlineStr">
        <is>
          <t>Contas da casa (luz, água, gás)</t>
        </is>
      </c>
      <c r="E11" s="29" t="inlineStr">
        <is>
          <t>Pendente</t>
        </is>
      </c>
      <c r="F11" s="74" t="n"/>
      <c r="G11" s="97">
        <f>IF(OR($B11="",$E11="Pago"),"",$B11-HOJE)</f>
        <v/>
      </c>
      <c r="H11" s="102">
        <f>IF($A11="","",IF($E11="Pago","Pago",IF($B11="","Sem data",IF($B11&lt;HOJE,"Atrasada",IF($B11=HOJE,"Vence hoje",IF($B11-HOJE&lt;=7,"Vence em "&amp;($B11-HOJE)&amp;" dias","Em dia"))))))</f>
        <v/>
      </c>
      <c r="I11" s="143">
        <f>IF(OR($A11="",$B11="",$E11="Pago"),"",$B11+ROW()/1000000)</f>
        <v/>
      </c>
      <c r="K11" s="91">
        <f>IF($O11="","",INT($O11))</f>
        <v/>
      </c>
      <c r="L11" s="75">
        <f>IF($O11="","",INDEX($A$8:$A$47,ROUND(($O11-INT($O11))*1000000,0)-7))</f>
        <v/>
      </c>
      <c r="M11" s="84">
        <f>IF($O11="","",INDEX($C$8:$C$47,ROUND(($O11-INT($O11))*1000000,0)-7))</f>
        <v/>
      </c>
      <c r="N11" s="97">
        <f>IF($O11="","",$K11-HOJE)</f>
        <v/>
      </c>
      <c r="O11" s="144">
        <f>IFERROR(SMALL($I$8:$I$47,4),"")</f>
        <v/>
      </c>
    </row>
    <row r="12">
      <c r="A12" s="74" t="inlineStr">
        <is>
          <t>Fatura Nubank Mastercard</t>
        </is>
      </c>
      <c r="B12" s="123" t="n">
        <v>46027</v>
      </c>
      <c r="C12" s="76" t="n">
        <v>1499.58</v>
      </c>
      <c r="D12" s="74" t="inlineStr">
        <is>
          <t>Pagamento de fatura</t>
        </is>
      </c>
      <c r="E12" s="29" t="inlineStr">
        <is>
          <t>Pendente</t>
        </is>
      </c>
      <c r="F12" s="74" t="n"/>
      <c r="G12" s="97">
        <f>IF(OR($B12="",$E12="Pago"),"",$B12-HOJE)</f>
        <v/>
      </c>
      <c r="H12" s="102">
        <f>IF($A12="","",IF($E12="Pago","Pago",IF($B12="","Sem data",IF($B12&lt;HOJE,"Atrasada",IF($B12=HOJE,"Vence hoje",IF($B12-HOJE&lt;=7,"Vence em "&amp;($B12-HOJE)&amp;" dias","Em dia"))))))</f>
        <v/>
      </c>
      <c r="I12" s="143">
        <f>IF(OR($A12="",$B12="",$E12="Pago"),"",$B12+ROW()/1000000)</f>
        <v/>
      </c>
      <c r="K12" s="91">
        <f>IF($O12="","",INT($O12))</f>
        <v/>
      </c>
      <c r="L12" s="75">
        <f>IF($O12="","",INDEX($A$8:$A$47,ROUND(($O12-INT($O12))*1000000,0)-7))</f>
        <v/>
      </c>
      <c r="M12" s="84">
        <f>IF($O12="","",INDEX($C$8:$C$47,ROUND(($O12-INT($O12))*1000000,0)-7))</f>
        <v/>
      </c>
      <c r="N12" s="97">
        <f>IF($O12="","",$K12-HOJE)</f>
        <v/>
      </c>
      <c r="O12" s="144">
        <f>IFERROR(SMALL($I$8:$I$47,5),"")</f>
        <v/>
      </c>
    </row>
    <row r="13">
      <c r="A13" s="74" t="inlineStr">
        <is>
          <t>Aluguel</t>
        </is>
      </c>
      <c r="B13" s="123" t="n">
        <v>46030</v>
      </c>
      <c r="C13" s="76" t="n">
        <v>1200</v>
      </c>
      <c r="D13" s="74" t="inlineStr">
        <is>
          <t>Moradia (aluguel ou financiamento)</t>
        </is>
      </c>
      <c r="E13" s="29" t="inlineStr">
        <is>
          <t>Pendente</t>
        </is>
      </c>
      <c r="F13" s="74" t="n"/>
      <c r="G13" s="97">
        <f>IF(OR($B13="",$E13="Pago"),"",$B13-HOJE)</f>
        <v/>
      </c>
      <c r="H13" s="102">
        <f>IF($A13="","",IF($E13="Pago","Pago",IF($B13="","Sem data",IF($B13&lt;HOJE,"Atrasada",IF($B13=HOJE,"Vence hoje",IF($B13-HOJE&lt;=7,"Vence em "&amp;($B13-HOJE)&amp;" dias","Em dia"))))))</f>
        <v/>
      </c>
      <c r="I13" s="143">
        <f>IF(OR($A13="",$B13="",$E13="Pago"),"",$B13+ROW()/1000000)</f>
        <v/>
      </c>
    </row>
    <row r="14">
      <c r="A14" s="74" t="inlineStr">
        <is>
          <t>Condomínio</t>
        </is>
      </c>
      <c r="B14" s="123" t="n">
        <v>46032</v>
      </c>
      <c r="C14" s="76" t="n">
        <v>300</v>
      </c>
      <c r="D14" s="74" t="inlineStr">
        <is>
          <t>Condomínio e IPTU</t>
        </is>
      </c>
      <c r="E14" s="29" t="inlineStr">
        <is>
          <t>Pendente</t>
        </is>
      </c>
      <c r="F14" s="74" t="n"/>
      <c r="G14" s="97">
        <f>IF(OR($B14="",$E14="Pago"),"",$B14-HOJE)</f>
        <v/>
      </c>
      <c r="H14" s="102">
        <f>IF($A14="","",IF($E14="Pago","Pago",IF($B14="","Sem data",IF($B14&lt;HOJE,"Atrasada",IF($B14=HOJE,"Vence hoje",IF($B14-HOJE&lt;=7,"Vence em "&amp;($B14-HOJE)&amp;" dias","Em dia"))))))</f>
        <v/>
      </c>
      <c r="I14" s="143">
        <f>IF(OR($A14="",$B14="",$E14="Pago"),"",$B14+ROW()/1000000)</f>
        <v/>
      </c>
    </row>
    <row r="15">
      <c r="A15" s="74" t="inlineStr">
        <is>
          <t>IPVA 2026 (cota única)</t>
        </is>
      </c>
      <c r="B15" s="123" t="n">
        <v>46037</v>
      </c>
      <c r="C15" s="76" t="n">
        <v>1240</v>
      </c>
      <c r="D15" s="74" t="inlineStr">
        <is>
          <t>Impostos e taxas</t>
        </is>
      </c>
      <c r="E15" s="29" t="inlineStr">
        <is>
          <t>Pendente</t>
        </is>
      </c>
      <c r="F15" s="74" t="n"/>
      <c r="G15" s="97">
        <f>IF(OR($B15="",$E15="Pago"),"",$B15-HOJE)</f>
        <v/>
      </c>
      <c r="H15" s="102">
        <f>IF($A15="","",IF($E15="Pago","Pago",IF($B15="","Sem data",IF($B15&lt;HOJE,"Atrasada",IF($B15=HOJE,"Vence hoje",IF($B15-HOJE&lt;=7,"Vence em "&amp;($B15-HOJE)&amp;" dias","Em dia"))))))</f>
        <v/>
      </c>
      <c r="I15" s="143">
        <f>IF(OR($A15="",$B15="",$E15="Pago"),"",$B15+ROW()/1000000)</f>
        <v/>
      </c>
    </row>
    <row r="16">
      <c r="A16" s="74" t="inlineStr">
        <is>
          <t>Seguro do carro</t>
        </is>
      </c>
      <c r="B16" s="123" t="n">
        <v>46003</v>
      </c>
      <c r="C16" s="76" t="n">
        <v>140</v>
      </c>
      <c r="D16" s="74" t="inlineStr">
        <is>
          <t>Seguros</t>
        </is>
      </c>
      <c r="E16" s="29" t="inlineStr">
        <is>
          <t>Pago</t>
        </is>
      </c>
      <c r="F16" s="74" t="n"/>
      <c r="G16" s="97">
        <f>IF(OR($B16="",$E16="Pago"),"",$B16-HOJE)</f>
        <v/>
      </c>
      <c r="H16" s="102">
        <f>IF($A16="","",IF($E16="Pago","Pago",IF($B16="","Sem data",IF($B16&lt;HOJE,"Atrasada",IF($B16=HOJE,"Vence hoje",IF($B16-HOJE&lt;=7,"Vence em "&amp;($B16-HOJE)&amp;" dias","Em dia"))))))</f>
        <v/>
      </c>
      <c r="I16" s="143">
        <f>IF(OR($A16="",$B16="",$E16="Pago"),"",$B16+ROW()/1000000)</f>
        <v/>
      </c>
    </row>
    <row r="17">
      <c r="A17" s="74" t="inlineStr">
        <is>
          <t>Multa de trânsito (DETRAN)</t>
        </is>
      </c>
      <c r="B17" s="123" t="n">
        <v>46003</v>
      </c>
      <c r="C17" s="76" t="n">
        <v>195.23</v>
      </c>
      <c r="D17" s="74" t="inlineStr">
        <is>
          <t>Impostos e taxas</t>
        </is>
      </c>
      <c r="E17" s="29" t="inlineStr">
        <is>
          <t>Pendente</t>
        </is>
      </c>
      <c r="F17" s="74" t="n"/>
      <c r="G17" s="97">
        <f>IF(OR($B17="",$E17="Pago"),"",$B17-HOJE)</f>
        <v/>
      </c>
      <c r="H17" s="102">
        <f>IF($A17="","",IF($E17="Pago","Pago",IF($B17="","Sem data",IF($B17&lt;HOJE,"Atrasada",IF($B17=HOJE,"Vence hoje",IF($B17-HOJE&lt;=7,"Vence em "&amp;($B17-HOJE)&amp;" dias","Em dia"))))))</f>
        <v/>
      </c>
      <c r="I17" s="143">
        <f>IF(OR($A17="",$B17="",$E17="Pago"),"",$B17+ROW()/1000000)</f>
        <v/>
      </c>
    </row>
    <row r="18">
      <c r="A18" s="74" t="n"/>
      <c r="B18" s="123" t="n"/>
      <c r="C18" s="76" t="n"/>
      <c r="D18" s="74" t="n"/>
      <c r="E18" s="29" t="n"/>
      <c r="F18" s="74" t="n"/>
      <c r="G18" s="97">
        <f>IF(OR($B18="",$E18="Pago"),"",$B18-HOJE)</f>
        <v/>
      </c>
      <c r="H18" s="102">
        <f>IF($A18="","",IF($E18="Pago","Pago",IF($B18="","Sem data",IF($B18&lt;HOJE,"Atrasada",IF($B18=HOJE,"Vence hoje",IF($B18-HOJE&lt;=7,"Vence em "&amp;($B18-HOJE)&amp;" dias","Em dia"))))))</f>
        <v/>
      </c>
      <c r="I18" s="143">
        <f>IF(OR($A18="",$B18="",$E18="Pago"),"",$B18+ROW()/1000000)</f>
        <v/>
      </c>
    </row>
    <row r="19">
      <c r="A19" s="74" t="n"/>
      <c r="B19" s="123" t="n"/>
      <c r="C19" s="76" t="n"/>
      <c r="D19" s="74" t="n"/>
      <c r="E19" s="29" t="n"/>
      <c r="F19" s="74" t="n"/>
      <c r="G19" s="97">
        <f>IF(OR($B19="",$E19="Pago"),"",$B19-HOJE)</f>
        <v/>
      </c>
      <c r="H19" s="102">
        <f>IF($A19="","",IF($E19="Pago","Pago",IF($B19="","Sem data",IF($B19&lt;HOJE,"Atrasada",IF($B19=HOJE,"Vence hoje",IF($B19-HOJE&lt;=7,"Vence em "&amp;($B19-HOJE)&amp;" dias","Em dia"))))))</f>
        <v/>
      </c>
      <c r="I19" s="143">
        <f>IF(OR($A19="",$B19="",$E19="Pago"),"",$B19+ROW()/1000000)</f>
        <v/>
      </c>
    </row>
    <row r="20">
      <c r="A20" s="74" t="n"/>
      <c r="B20" s="123" t="n"/>
      <c r="C20" s="76" t="n"/>
      <c r="D20" s="74" t="n"/>
      <c r="E20" s="29" t="n"/>
      <c r="F20" s="74" t="n"/>
      <c r="G20" s="97">
        <f>IF(OR($B20="",$E20="Pago"),"",$B20-HOJE)</f>
        <v/>
      </c>
      <c r="H20" s="102">
        <f>IF($A20="","",IF($E20="Pago","Pago",IF($B20="","Sem data",IF($B20&lt;HOJE,"Atrasada",IF($B20=HOJE,"Vence hoje",IF($B20-HOJE&lt;=7,"Vence em "&amp;($B20-HOJE)&amp;" dias","Em dia"))))))</f>
        <v/>
      </c>
      <c r="I20" s="143">
        <f>IF(OR($A20="",$B20="",$E20="Pago"),"",$B20+ROW()/1000000)</f>
        <v/>
      </c>
    </row>
    <row r="21">
      <c r="A21" s="74" t="n"/>
      <c r="B21" s="123" t="n"/>
      <c r="C21" s="76" t="n"/>
      <c r="D21" s="74" t="n"/>
      <c r="E21" s="29" t="n"/>
      <c r="F21" s="74" t="n"/>
      <c r="G21" s="97">
        <f>IF(OR($B21="",$E21="Pago"),"",$B21-HOJE)</f>
        <v/>
      </c>
      <c r="H21" s="102">
        <f>IF($A21="","",IF($E21="Pago","Pago",IF($B21="","Sem data",IF($B21&lt;HOJE,"Atrasada",IF($B21=HOJE,"Vence hoje",IF($B21-HOJE&lt;=7,"Vence em "&amp;($B21-HOJE)&amp;" dias","Em dia"))))))</f>
        <v/>
      </c>
      <c r="I21" s="143">
        <f>IF(OR($A21="",$B21="",$E21="Pago"),"",$B21+ROW()/1000000)</f>
        <v/>
      </c>
    </row>
    <row r="22">
      <c r="A22" s="74" t="n"/>
      <c r="B22" s="123" t="n"/>
      <c r="C22" s="76" t="n"/>
      <c r="D22" s="74" t="n"/>
      <c r="E22" s="29" t="n"/>
      <c r="F22" s="74" t="n"/>
      <c r="G22" s="97">
        <f>IF(OR($B22="",$E22="Pago"),"",$B22-HOJE)</f>
        <v/>
      </c>
      <c r="H22" s="102">
        <f>IF($A22="","",IF($E22="Pago","Pago",IF($B22="","Sem data",IF($B22&lt;HOJE,"Atrasada",IF($B22=HOJE,"Vence hoje",IF($B22-HOJE&lt;=7,"Vence em "&amp;($B22-HOJE)&amp;" dias","Em dia"))))))</f>
        <v/>
      </c>
      <c r="I22" s="143">
        <f>IF(OR($A22="",$B22="",$E22="Pago"),"",$B22+ROW()/1000000)</f>
        <v/>
      </c>
    </row>
    <row r="23">
      <c r="A23" s="74" t="n"/>
      <c r="B23" s="123" t="n"/>
      <c r="C23" s="76" t="n"/>
      <c r="D23" s="74" t="n"/>
      <c r="E23" s="29" t="n"/>
      <c r="F23" s="74" t="n"/>
      <c r="G23" s="97">
        <f>IF(OR($B23="",$E23="Pago"),"",$B23-HOJE)</f>
        <v/>
      </c>
      <c r="H23" s="102">
        <f>IF($A23="","",IF($E23="Pago","Pago",IF($B23="","Sem data",IF($B23&lt;HOJE,"Atrasada",IF($B23=HOJE,"Vence hoje",IF($B23-HOJE&lt;=7,"Vence em "&amp;($B23-HOJE)&amp;" dias","Em dia"))))))</f>
        <v/>
      </c>
      <c r="I23" s="143">
        <f>IF(OR($A23="",$B23="",$E23="Pago"),"",$B23+ROW()/1000000)</f>
        <v/>
      </c>
    </row>
    <row r="24">
      <c r="A24" s="74" t="n"/>
      <c r="B24" s="123" t="n"/>
      <c r="C24" s="76" t="n"/>
      <c r="D24" s="74" t="n"/>
      <c r="E24" s="29" t="n"/>
      <c r="F24" s="74" t="n"/>
      <c r="G24" s="97">
        <f>IF(OR($B24="",$E24="Pago"),"",$B24-HOJE)</f>
        <v/>
      </c>
      <c r="H24" s="102">
        <f>IF($A24="","",IF($E24="Pago","Pago",IF($B24="","Sem data",IF($B24&lt;HOJE,"Atrasada",IF($B24=HOJE,"Vence hoje",IF($B24-HOJE&lt;=7,"Vence em "&amp;($B24-HOJE)&amp;" dias","Em dia"))))))</f>
        <v/>
      </c>
      <c r="I24" s="143">
        <f>IF(OR($A24="",$B24="",$E24="Pago"),"",$B24+ROW()/1000000)</f>
        <v/>
      </c>
    </row>
    <row r="25">
      <c r="A25" s="74" t="n"/>
      <c r="B25" s="123" t="n"/>
      <c r="C25" s="76" t="n"/>
      <c r="D25" s="74" t="n"/>
      <c r="E25" s="29" t="n"/>
      <c r="F25" s="74" t="n"/>
      <c r="G25" s="97">
        <f>IF(OR($B25="",$E25="Pago"),"",$B25-HOJE)</f>
        <v/>
      </c>
      <c r="H25" s="102">
        <f>IF($A25="","",IF($E25="Pago","Pago",IF($B25="","Sem data",IF($B25&lt;HOJE,"Atrasada",IF($B25=HOJE,"Vence hoje",IF($B25-HOJE&lt;=7,"Vence em "&amp;($B25-HOJE)&amp;" dias","Em dia"))))))</f>
        <v/>
      </c>
      <c r="I25" s="143">
        <f>IF(OR($A25="",$B25="",$E25="Pago"),"",$B25+ROW()/1000000)</f>
        <v/>
      </c>
    </row>
    <row r="26">
      <c r="A26" s="74" t="n"/>
      <c r="B26" s="123" t="n"/>
      <c r="C26" s="76" t="n"/>
      <c r="D26" s="74" t="n"/>
      <c r="E26" s="29" t="n"/>
      <c r="F26" s="74" t="n"/>
      <c r="G26" s="97">
        <f>IF(OR($B26="",$E26="Pago"),"",$B26-HOJE)</f>
        <v/>
      </c>
      <c r="H26" s="102">
        <f>IF($A26="","",IF($E26="Pago","Pago",IF($B26="","Sem data",IF($B26&lt;HOJE,"Atrasada",IF($B26=HOJE,"Vence hoje",IF($B26-HOJE&lt;=7,"Vence em "&amp;($B26-HOJE)&amp;" dias","Em dia"))))))</f>
        <v/>
      </c>
      <c r="I26" s="143">
        <f>IF(OR($A26="",$B26="",$E26="Pago"),"",$B26+ROW()/1000000)</f>
        <v/>
      </c>
    </row>
    <row r="27">
      <c r="A27" s="74" t="n"/>
      <c r="B27" s="123" t="n"/>
      <c r="C27" s="76" t="n"/>
      <c r="D27" s="74" t="n"/>
      <c r="E27" s="29" t="n"/>
      <c r="F27" s="74" t="n"/>
      <c r="G27" s="97">
        <f>IF(OR($B27="",$E27="Pago"),"",$B27-HOJE)</f>
        <v/>
      </c>
      <c r="H27" s="102">
        <f>IF($A27="","",IF($E27="Pago","Pago",IF($B27="","Sem data",IF($B27&lt;HOJE,"Atrasada",IF($B27=HOJE,"Vence hoje",IF($B27-HOJE&lt;=7,"Vence em "&amp;($B27-HOJE)&amp;" dias","Em dia"))))))</f>
        <v/>
      </c>
      <c r="I27" s="143">
        <f>IF(OR($A27="",$B27="",$E27="Pago"),"",$B27+ROW()/1000000)</f>
        <v/>
      </c>
    </row>
    <row r="28">
      <c r="A28" s="74" t="n"/>
      <c r="B28" s="123" t="n"/>
      <c r="C28" s="76" t="n"/>
      <c r="D28" s="74" t="n"/>
      <c r="E28" s="29" t="n"/>
      <c r="F28" s="74" t="n"/>
      <c r="G28" s="97">
        <f>IF(OR($B28="",$E28="Pago"),"",$B28-HOJE)</f>
        <v/>
      </c>
      <c r="H28" s="102">
        <f>IF($A28="","",IF($E28="Pago","Pago",IF($B28="","Sem data",IF($B28&lt;HOJE,"Atrasada",IF($B28=HOJE,"Vence hoje",IF($B28-HOJE&lt;=7,"Vence em "&amp;($B28-HOJE)&amp;" dias","Em dia"))))))</f>
        <v/>
      </c>
      <c r="I28" s="143">
        <f>IF(OR($A28="",$B28="",$E28="Pago"),"",$B28+ROW()/1000000)</f>
        <v/>
      </c>
    </row>
    <row r="29">
      <c r="A29" s="74" t="n"/>
      <c r="B29" s="123" t="n"/>
      <c r="C29" s="76" t="n"/>
      <c r="D29" s="74" t="n"/>
      <c r="E29" s="29" t="n"/>
      <c r="F29" s="74" t="n"/>
      <c r="G29" s="97">
        <f>IF(OR($B29="",$E29="Pago"),"",$B29-HOJE)</f>
        <v/>
      </c>
      <c r="H29" s="102">
        <f>IF($A29="","",IF($E29="Pago","Pago",IF($B29="","Sem data",IF($B29&lt;HOJE,"Atrasada",IF($B29=HOJE,"Vence hoje",IF($B29-HOJE&lt;=7,"Vence em "&amp;($B29-HOJE)&amp;" dias","Em dia"))))))</f>
        <v/>
      </c>
      <c r="I29" s="143">
        <f>IF(OR($A29="",$B29="",$E29="Pago"),"",$B29+ROW()/1000000)</f>
        <v/>
      </c>
    </row>
    <row r="30">
      <c r="A30" s="74" t="n"/>
      <c r="B30" s="123" t="n"/>
      <c r="C30" s="76" t="n"/>
      <c r="D30" s="74" t="n"/>
      <c r="E30" s="29" t="n"/>
      <c r="F30" s="74" t="n"/>
      <c r="G30" s="97">
        <f>IF(OR($B30="",$E30="Pago"),"",$B30-HOJE)</f>
        <v/>
      </c>
      <c r="H30" s="102">
        <f>IF($A30="","",IF($E30="Pago","Pago",IF($B30="","Sem data",IF($B30&lt;HOJE,"Atrasada",IF($B30=HOJE,"Vence hoje",IF($B30-HOJE&lt;=7,"Vence em "&amp;($B30-HOJE)&amp;" dias","Em dia"))))))</f>
        <v/>
      </c>
      <c r="I30" s="143">
        <f>IF(OR($A30="",$B30="",$E30="Pago"),"",$B30+ROW()/1000000)</f>
        <v/>
      </c>
    </row>
    <row r="31">
      <c r="A31" s="74" t="n"/>
      <c r="B31" s="123" t="n"/>
      <c r="C31" s="76" t="n"/>
      <c r="D31" s="74" t="n"/>
      <c r="E31" s="29" t="n"/>
      <c r="F31" s="74" t="n"/>
      <c r="G31" s="97">
        <f>IF(OR($B31="",$E31="Pago"),"",$B31-HOJE)</f>
        <v/>
      </c>
      <c r="H31" s="102">
        <f>IF($A31="","",IF($E31="Pago","Pago",IF($B31="","Sem data",IF($B31&lt;HOJE,"Atrasada",IF($B31=HOJE,"Vence hoje",IF($B31-HOJE&lt;=7,"Vence em "&amp;($B31-HOJE)&amp;" dias","Em dia"))))))</f>
        <v/>
      </c>
      <c r="I31" s="143">
        <f>IF(OR($A31="",$B31="",$E31="Pago"),"",$B31+ROW()/1000000)</f>
        <v/>
      </c>
    </row>
    <row r="32">
      <c r="A32" s="74" t="n"/>
      <c r="B32" s="123" t="n"/>
      <c r="C32" s="76" t="n"/>
      <c r="D32" s="74" t="n"/>
      <c r="E32" s="29" t="n"/>
      <c r="F32" s="74" t="n"/>
      <c r="G32" s="97">
        <f>IF(OR($B32="",$E32="Pago"),"",$B32-HOJE)</f>
        <v/>
      </c>
      <c r="H32" s="102">
        <f>IF($A32="","",IF($E32="Pago","Pago",IF($B32="","Sem data",IF($B32&lt;HOJE,"Atrasada",IF($B32=HOJE,"Vence hoje",IF($B32-HOJE&lt;=7,"Vence em "&amp;($B32-HOJE)&amp;" dias","Em dia"))))))</f>
        <v/>
      </c>
      <c r="I32" s="143">
        <f>IF(OR($A32="",$B32="",$E32="Pago"),"",$B32+ROW()/1000000)</f>
        <v/>
      </c>
    </row>
    <row r="33">
      <c r="A33" s="74" t="n"/>
      <c r="B33" s="123" t="n"/>
      <c r="C33" s="76" t="n"/>
      <c r="D33" s="74" t="n"/>
      <c r="E33" s="29" t="n"/>
      <c r="F33" s="74" t="n"/>
      <c r="G33" s="97">
        <f>IF(OR($B33="",$E33="Pago"),"",$B33-HOJE)</f>
        <v/>
      </c>
      <c r="H33" s="102">
        <f>IF($A33="","",IF($E33="Pago","Pago",IF($B33="","Sem data",IF($B33&lt;HOJE,"Atrasada",IF($B33=HOJE,"Vence hoje",IF($B33-HOJE&lt;=7,"Vence em "&amp;($B33-HOJE)&amp;" dias","Em dia"))))))</f>
        <v/>
      </c>
      <c r="I33" s="143">
        <f>IF(OR($A33="",$B33="",$E33="Pago"),"",$B33+ROW()/1000000)</f>
        <v/>
      </c>
    </row>
    <row r="34">
      <c r="A34" s="74" t="n"/>
      <c r="B34" s="123" t="n"/>
      <c r="C34" s="76" t="n"/>
      <c r="D34" s="74" t="n"/>
      <c r="E34" s="29" t="n"/>
      <c r="F34" s="74" t="n"/>
      <c r="G34" s="97">
        <f>IF(OR($B34="",$E34="Pago"),"",$B34-HOJE)</f>
        <v/>
      </c>
      <c r="H34" s="102">
        <f>IF($A34="","",IF($E34="Pago","Pago",IF($B34="","Sem data",IF($B34&lt;HOJE,"Atrasada",IF($B34=HOJE,"Vence hoje",IF($B34-HOJE&lt;=7,"Vence em "&amp;($B34-HOJE)&amp;" dias","Em dia"))))))</f>
        <v/>
      </c>
      <c r="I34" s="143">
        <f>IF(OR($A34="",$B34="",$E34="Pago"),"",$B34+ROW()/1000000)</f>
        <v/>
      </c>
    </row>
    <row r="35">
      <c r="A35" s="74" t="n"/>
      <c r="B35" s="123" t="n"/>
      <c r="C35" s="76" t="n"/>
      <c r="D35" s="74" t="n"/>
      <c r="E35" s="29" t="n"/>
      <c r="F35" s="74" t="n"/>
      <c r="G35" s="97">
        <f>IF(OR($B35="",$E35="Pago"),"",$B35-HOJE)</f>
        <v/>
      </c>
      <c r="H35" s="102">
        <f>IF($A35="","",IF($E35="Pago","Pago",IF($B35="","Sem data",IF($B35&lt;HOJE,"Atrasada",IF($B35=HOJE,"Vence hoje",IF($B35-HOJE&lt;=7,"Vence em "&amp;($B35-HOJE)&amp;" dias","Em dia"))))))</f>
        <v/>
      </c>
      <c r="I35" s="143">
        <f>IF(OR($A35="",$B35="",$E35="Pago"),"",$B35+ROW()/1000000)</f>
        <v/>
      </c>
    </row>
    <row r="36">
      <c r="A36" s="74" t="n"/>
      <c r="B36" s="123" t="n"/>
      <c r="C36" s="76" t="n"/>
      <c r="D36" s="74" t="n"/>
      <c r="E36" s="29" t="n"/>
      <c r="F36" s="74" t="n"/>
      <c r="G36" s="97">
        <f>IF(OR($B36="",$E36="Pago"),"",$B36-HOJE)</f>
        <v/>
      </c>
      <c r="H36" s="102">
        <f>IF($A36="","",IF($E36="Pago","Pago",IF($B36="","Sem data",IF($B36&lt;HOJE,"Atrasada",IF($B36=HOJE,"Vence hoje",IF($B36-HOJE&lt;=7,"Vence em "&amp;($B36-HOJE)&amp;" dias","Em dia"))))))</f>
        <v/>
      </c>
      <c r="I36" s="143">
        <f>IF(OR($A36="",$B36="",$E36="Pago"),"",$B36+ROW()/1000000)</f>
        <v/>
      </c>
    </row>
    <row r="37">
      <c r="A37" s="74" t="n"/>
      <c r="B37" s="123" t="n"/>
      <c r="C37" s="76" t="n"/>
      <c r="D37" s="74" t="n"/>
      <c r="E37" s="29" t="n"/>
      <c r="F37" s="74" t="n"/>
      <c r="G37" s="97">
        <f>IF(OR($B37="",$E37="Pago"),"",$B37-HOJE)</f>
        <v/>
      </c>
      <c r="H37" s="102">
        <f>IF($A37="","",IF($E37="Pago","Pago",IF($B37="","Sem data",IF($B37&lt;HOJE,"Atrasada",IF($B37=HOJE,"Vence hoje",IF($B37-HOJE&lt;=7,"Vence em "&amp;($B37-HOJE)&amp;" dias","Em dia"))))))</f>
        <v/>
      </c>
      <c r="I37" s="143">
        <f>IF(OR($A37="",$B37="",$E37="Pago"),"",$B37+ROW()/1000000)</f>
        <v/>
      </c>
    </row>
    <row r="38">
      <c r="A38" s="74" t="n"/>
      <c r="B38" s="123" t="n"/>
      <c r="C38" s="76" t="n"/>
      <c r="D38" s="74" t="n"/>
      <c r="E38" s="29" t="n"/>
      <c r="F38" s="74" t="n"/>
      <c r="G38" s="97">
        <f>IF(OR($B38="",$E38="Pago"),"",$B38-HOJE)</f>
        <v/>
      </c>
      <c r="H38" s="102">
        <f>IF($A38="","",IF($E38="Pago","Pago",IF($B38="","Sem data",IF($B38&lt;HOJE,"Atrasada",IF($B38=HOJE,"Vence hoje",IF($B38-HOJE&lt;=7,"Vence em "&amp;($B38-HOJE)&amp;" dias","Em dia"))))))</f>
        <v/>
      </c>
      <c r="I38" s="143">
        <f>IF(OR($A38="",$B38="",$E38="Pago"),"",$B38+ROW()/1000000)</f>
        <v/>
      </c>
    </row>
    <row r="39">
      <c r="A39" s="74" t="n"/>
      <c r="B39" s="123" t="n"/>
      <c r="C39" s="76" t="n"/>
      <c r="D39" s="74" t="n"/>
      <c r="E39" s="29" t="n"/>
      <c r="F39" s="74" t="n"/>
      <c r="G39" s="97">
        <f>IF(OR($B39="",$E39="Pago"),"",$B39-HOJE)</f>
        <v/>
      </c>
      <c r="H39" s="102">
        <f>IF($A39="","",IF($E39="Pago","Pago",IF($B39="","Sem data",IF($B39&lt;HOJE,"Atrasada",IF($B39=HOJE,"Vence hoje",IF($B39-HOJE&lt;=7,"Vence em "&amp;($B39-HOJE)&amp;" dias","Em dia"))))))</f>
        <v/>
      </c>
      <c r="I39" s="143">
        <f>IF(OR($A39="",$B39="",$E39="Pago"),"",$B39+ROW()/1000000)</f>
        <v/>
      </c>
    </row>
    <row r="40">
      <c r="A40" s="74" t="n"/>
      <c r="B40" s="123" t="n"/>
      <c r="C40" s="76" t="n"/>
      <c r="D40" s="74" t="n"/>
      <c r="E40" s="29" t="n"/>
      <c r="F40" s="74" t="n"/>
      <c r="G40" s="97">
        <f>IF(OR($B40="",$E40="Pago"),"",$B40-HOJE)</f>
        <v/>
      </c>
      <c r="H40" s="102">
        <f>IF($A40="","",IF($E40="Pago","Pago",IF($B40="","Sem data",IF($B40&lt;HOJE,"Atrasada",IF($B40=HOJE,"Vence hoje",IF($B40-HOJE&lt;=7,"Vence em "&amp;($B40-HOJE)&amp;" dias","Em dia"))))))</f>
        <v/>
      </c>
      <c r="I40" s="143">
        <f>IF(OR($A40="",$B40="",$E40="Pago"),"",$B40+ROW()/1000000)</f>
        <v/>
      </c>
    </row>
    <row r="41">
      <c r="A41" s="74" t="n"/>
      <c r="B41" s="123" t="n"/>
      <c r="C41" s="76" t="n"/>
      <c r="D41" s="74" t="n"/>
      <c r="E41" s="29" t="n"/>
      <c r="F41" s="74" t="n"/>
      <c r="G41" s="97">
        <f>IF(OR($B41="",$E41="Pago"),"",$B41-HOJE)</f>
        <v/>
      </c>
      <c r="H41" s="102">
        <f>IF($A41="","",IF($E41="Pago","Pago",IF($B41="","Sem data",IF($B41&lt;HOJE,"Atrasada",IF($B41=HOJE,"Vence hoje",IF($B41-HOJE&lt;=7,"Vence em "&amp;($B41-HOJE)&amp;" dias","Em dia"))))))</f>
        <v/>
      </c>
      <c r="I41" s="143">
        <f>IF(OR($A41="",$B41="",$E41="Pago"),"",$B41+ROW()/1000000)</f>
        <v/>
      </c>
    </row>
    <row r="42">
      <c r="A42" s="74" t="n"/>
      <c r="B42" s="123" t="n"/>
      <c r="C42" s="76" t="n"/>
      <c r="D42" s="74" t="n"/>
      <c r="E42" s="29" t="n"/>
      <c r="F42" s="74" t="n"/>
      <c r="G42" s="97">
        <f>IF(OR($B42="",$E42="Pago"),"",$B42-HOJE)</f>
        <v/>
      </c>
      <c r="H42" s="102">
        <f>IF($A42="","",IF($E42="Pago","Pago",IF($B42="","Sem data",IF($B42&lt;HOJE,"Atrasada",IF($B42=HOJE,"Vence hoje",IF($B42-HOJE&lt;=7,"Vence em "&amp;($B42-HOJE)&amp;" dias","Em dia"))))))</f>
        <v/>
      </c>
      <c r="I42" s="143">
        <f>IF(OR($A42="",$B42="",$E42="Pago"),"",$B42+ROW()/1000000)</f>
        <v/>
      </c>
    </row>
    <row r="43">
      <c r="A43" s="74" t="n"/>
      <c r="B43" s="123" t="n"/>
      <c r="C43" s="76" t="n"/>
      <c r="D43" s="74" t="n"/>
      <c r="E43" s="29" t="n"/>
      <c r="F43" s="74" t="n"/>
      <c r="G43" s="97">
        <f>IF(OR($B43="",$E43="Pago"),"",$B43-HOJE)</f>
        <v/>
      </c>
      <c r="H43" s="102">
        <f>IF($A43="","",IF($E43="Pago","Pago",IF($B43="","Sem data",IF($B43&lt;HOJE,"Atrasada",IF($B43=HOJE,"Vence hoje",IF($B43-HOJE&lt;=7,"Vence em "&amp;($B43-HOJE)&amp;" dias","Em dia"))))))</f>
        <v/>
      </c>
      <c r="I43" s="143">
        <f>IF(OR($A43="",$B43="",$E43="Pago"),"",$B43+ROW()/1000000)</f>
        <v/>
      </c>
    </row>
    <row r="44">
      <c r="A44" s="74" t="n"/>
      <c r="B44" s="123" t="n"/>
      <c r="C44" s="76" t="n"/>
      <c r="D44" s="74" t="n"/>
      <c r="E44" s="29" t="n"/>
      <c r="F44" s="74" t="n"/>
      <c r="G44" s="97">
        <f>IF(OR($B44="",$E44="Pago"),"",$B44-HOJE)</f>
        <v/>
      </c>
      <c r="H44" s="102">
        <f>IF($A44="","",IF($E44="Pago","Pago",IF($B44="","Sem data",IF($B44&lt;HOJE,"Atrasada",IF($B44=HOJE,"Vence hoje",IF($B44-HOJE&lt;=7,"Vence em "&amp;($B44-HOJE)&amp;" dias","Em dia"))))))</f>
        <v/>
      </c>
      <c r="I44" s="143">
        <f>IF(OR($A44="",$B44="",$E44="Pago"),"",$B44+ROW()/1000000)</f>
        <v/>
      </c>
    </row>
    <row r="45">
      <c r="A45" s="74" t="n"/>
      <c r="B45" s="123" t="n"/>
      <c r="C45" s="76" t="n"/>
      <c r="D45" s="74" t="n"/>
      <c r="E45" s="29" t="n"/>
      <c r="F45" s="74" t="n"/>
      <c r="G45" s="97">
        <f>IF(OR($B45="",$E45="Pago"),"",$B45-HOJE)</f>
        <v/>
      </c>
      <c r="H45" s="102">
        <f>IF($A45="","",IF($E45="Pago","Pago",IF($B45="","Sem data",IF($B45&lt;HOJE,"Atrasada",IF($B45=HOJE,"Vence hoje",IF($B45-HOJE&lt;=7,"Vence em "&amp;($B45-HOJE)&amp;" dias","Em dia"))))))</f>
        <v/>
      </c>
      <c r="I45" s="143">
        <f>IF(OR($A45="",$B45="",$E45="Pago"),"",$B45+ROW()/1000000)</f>
        <v/>
      </c>
    </row>
    <row r="46">
      <c r="A46" s="74" t="n"/>
      <c r="B46" s="123" t="n"/>
      <c r="C46" s="76" t="n"/>
      <c r="D46" s="74" t="n"/>
      <c r="E46" s="29" t="n"/>
      <c r="F46" s="74" t="n"/>
      <c r="G46" s="97">
        <f>IF(OR($B46="",$E46="Pago"),"",$B46-HOJE)</f>
        <v/>
      </c>
      <c r="H46" s="102">
        <f>IF($A46="","",IF($E46="Pago","Pago",IF($B46="","Sem data",IF($B46&lt;HOJE,"Atrasada",IF($B46=HOJE,"Vence hoje",IF($B46-HOJE&lt;=7,"Vence em "&amp;($B46-HOJE)&amp;" dias","Em dia"))))))</f>
        <v/>
      </c>
      <c r="I46" s="143">
        <f>IF(OR($A46="",$B46="",$E46="Pago"),"",$B46+ROW()/1000000)</f>
        <v/>
      </c>
    </row>
    <row r="47">
      <c r="A47" s="74" t="n"/>
      <c r="B47" s="123" t="n"/>
      <c r="C47" s="76" t="n"/>
      <c r="D47" s="74" t="n"/>
      <c r="E47" s="29" t="n"/>
      <c r="F47" s="74" t="n"/>
      <c r="G47" s="97">
        <f>IF(OR($B47="",$E47="Pago"),"",$B47-HOJE)</f>
        <v/>
      </c>
      <c r="H47" s="102">
        <f>IF($A47="","",IF($E47="Pago","Pago",IF($B47="","Sem data",IF($B47&lt;HOJE,"Atrasada",IF($B47=HOJE,"Vence hoje",IF($B47-HOJE&lt;=7,"Vence em "&amp;($B47-HOJE)&amp;" dias","Em dia"))))))</f>
        <v/>
      </c>
      <c r="I47" s="143">
        <f>IF(OR($A47="",$B47="",$E47="Pago"),"",$B47+ROW()/1000000)</f>
        <v/>
      </c>
    </row>
  </sheetData>
  <mergeCells count="6">
    <mergeCell ref="F4:G4"/>
    <mergeCell ref="B5:C5"/>
    <mergeCell ref="F5:G5"/>
    <mergeCell ref="D5:E5"/>
    <mergeCell ref="D4:E4"/>
    <mergeCell ref="B4:C4"/>
  </mergeCells>
  <conditionalFormatting sqref="H8:H47">
    <cfRule type="expression" priority="1" dxfId="12">
      <formula>H8="Atrasada"</formula>
    </cfRule>
    <cfRule type="expression" priority="2" dxfId="14">
      <formula>OR(H8="Vence hoje",LEFT(H8,9)="Vence em ")</formula>
    </cfRule>
    <cfRule type="expression" priority="3" dxfId="19">
      <formula>H8="Pago"</formula>
    </cfRule>
  </conditionalFormatting>
  <conditionalFormatting sqref="A8:F47">
    <cfRule type="expression" priority="4" dxfId="23">
      <formula>$E8="Pago"</formula>
    </cfRule>
  </conditionalFormatting>
  <conditionalFormatting sqref="N8:N12">
    <cfRule type="expression" priority="5" dxfId="11">
      <formula>AND(ISNUMBER(N8),N8&lt;0)</formula>
    </cfRule>
  </conditionalFormatting>
  <dataValidations count="5">
    <dataValidation sqref="B8:B47" showDropDown="0" showInputMessage="0" showErrorMessage="1" allowBlank="1" errorTitle="Data inválida" error="Informe o vencimento (dd/mm/aaaa)." type="date" operator="greaterThan">
      <formula1>36526</formula1>
    </dataValidation>
    <dataValidation sqref="C8:C47" showDropDown="0" showInputMessage="0" showErrorMessage="1" allowBlank="1" errorTitle="Valor inválido" error="Digite o valor da conta." type="decimal" operator="greaterThanOrEqual">
      <formula1>0</formula1>
    </dataValidation>
    <dataValidation sqref="D8:D47" showDropDown="0" showInputMessage="0" showErrorMessage="1" allowBlank="1" errorTitle="Categoria fora da lista" error="Essa categoria não está em Configurações." type="list" errorStyle="warning">
      <formula1>='Configurações'!$A$14:$A$61</formula1>
    </dataValidation>
    <dataValidation sqref="E8:E47" showDropDown="0" showInputMessage="0" showErrorMessage="1" allowBlank="1" errorTitle="Status inválido" error="Escolha Pendente ou Pago." type="list">
      <formula1>"Pendente,Pago"</formula1>
    </dataValidation>
    <dataValidation sqref="F8:F47" showDropDown="0" showInputMessage="0" showErrorMessage="1" allowBlank="1" errorTitle="Forma não listada" error="Essa forma não está em Configurações." type="list" errorStyle="warning">
      <formula1>='Configurações'!$E$14:$E$25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J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30" customWidth="1" min="5" max="5"/>
    <col width="15" customWidth="1" min="6" max="6"/>
    <col width="15" customWidth="1" min="7" max="7"/>
    <col width="13" customWidth="1" min="8" max="8"/>
    <col width="24" customWidth="1" min="9" max="9"/>
    <col width="3" customWidth="1" min="10" max="10"/>
  </cols>
  <sheetData>
    <row r="1" ht="30" customHeight="1">
      <c r="A1" s="64" t="inlineStr">
        <is>
          <t>Assinaturas</t>
        </is>
      </c>
    </row>
    <row r="2">
      <c r="A2" s="65" t="inlineStr">
        <is>
          <t>Quanto você gasta por mês e por ano com assinaturas, e quando cada uma renova.</t>
        </is>
      </c>
    </row>
    <row r="3">
      <c r="A3" s="65" t="inlineStr">
        <is>
          <t>Liste streaming, academia, apps, clubes e anuidades. Se o ciclo for anual, a planilha divide por 12 para mostrar o custo mensal.</t>
        </is>
      </c>
    </row>
    <row r="4" ht="18" customHeight="1">
      <c r="A4" s="80" t="inlineStr">
        <is>
          <t>CUSTO MENSAL TOTAL</t>
        </is>
      </c>
      <c r="B4" s="80" t="inlineStr">
        <is>
          <t>QUANTO VOCÊ GASTA POR ANO</t>
        </is>
      </c>
      <c r="C4" s="81" t="n"/>
      <c r="D4" s="80" t="inlineStr">
        <is>
          <t>ASSINATURAS ATIVAS</t>
        </is>
      </c>
      <c r="E4" s="81" t="n"/>
      <c r="F4" s="80" t="inlineStr">
        <is>
          <t>PESO NA RENDA (média do ano)</t>
        </is>
      </c>
      <c r="G4" s="81" t="n"/>
    </row>
    <row r="5" ht="30" customHeight="1">
      <c r="A5" s="120">
        <f>SUM($F$8:$F$32)</f>
        <v/>
      </c>
      <c r="B5" s="120">
        <f>SUM($G$8:$G$32)</f>
        <v/>
      </c>
      <c r="C5" s="83" t="n"/>
      <c r="D5" s="122">
        <f>COUNTIF($B$8:$B$32,"&gt;0")</f>
        <v/>
      </c>
      <c r="E5" s="83" t="n"/>
      <c r="F5" s="139">
        <f>IFERROR(A5/(FLUXO_REC_ANO/SUM(FLUXO_N_MESES)),"")</f>
        <v/>
      </c>
      <c r="G5" s="83" t="n"/>
    </row>
    <row r="7" ht="34" customHeight="1">
      <c r="A7" s="44" t="inlineStr">
        <is>
          <t>Serviço</t>
        </is>
      </c>
      <c r="B7" s="44" t="inlineStr">
        <is>
          <t>Valor (R$)</t>
        </is>
      </c>
      <c r="C7" s="44" t="inlineStr">
        <is>
          <t>Ciclo</t>
        </is>
      </c>
      <c r="D7" s="44" t="inlineStr">
        <is>
          <t>Próxima renovação</t>
        </is>
      </c>
      <c r="E7" s="44" t="inlineStr">
        <is>
          <t>Categoria</t>
        </is>
      </c>
      <c r="F7" s="44" t="inlineStr">
        <is>
          <t>Custo mensal (R$)</t>
        </is>
      </c>
      <c r="G7" s="44" t="inlineStr">
        <is>
          <t>Custo anual (R$)</t>
        </is>
      </c>
      <c r="H7" s="44" t="inlineStr">
        <is>
          <t>Renova em (dias)</t>
        </is>
      </c>
      <c r="I7" s="44" t="inlineStr">
        <is>
          <t>Situação</t>
        </is>
      </c>
      <c r="J7" s="72" t="inlineStr">
        <is>
          <t>chave</t>
        </is>
      </c>
    </row>
    <row r="8">
      <c r="A8" s="74" t="inlineStr">
        <is>
          <t>Netflix</t>
        </is>
      </c>
      <c r="B8" s="76" t="n">
        <v>55.9</v>
      </c>
      <c r="C8" s="29" t="inlineStr">
        <is>
          <t>Mensal</t>
        </is>
      </c>
      <c r="D8" s="123" t="n">
        <v>46025</v>
      </c>
      <c r="E8" s="74" t="inlineStr">
        <is>
          <t>Assinaturas e streaming</t>
        </is>
      </c>
      <c r="F8" s="84">
        <f>IF(OR($A8="",N($B8)=0),"",$B8/IF($C8="Anual",12,IF($C8="Semestral",6,IF($C8="Trimestral",3,1))))</f>
        <v/>
      </c>
      <c r="G8" s="85">
        <f>IF($F8="","",$F8*12)</f>
        <v/>
      </c>
      <c r="H8" s="97">
        <f>IF(OR($A8="",$D8=""),"",$D8-HOJE)</f>
        <v/>
      </c>
      <c r="I8" s="102">
        <f>IF(OR($A8="",$D8=""),"",IF($D8&lt;HOJE,"Renovação já passou",IF($D8-HOJE&lt;=7,"Renova em "&amp;($D8-HOJE)&amp;" dias","Em dia")))</f>
        <v/>
      </c>
      <c r="J8" s="143">
        <f>IF(OR($A8="",$D8="",$D8&lt;HOJE),"",$D8+ROW()/1000000)</f>
        <v/>
      </c>
    </row>
    <row r="9">
      <c r="A9" s="74" t="inlineStr">
        <is>
          <t>Spotify</t>
        </is>
      </c>
      <c r="B9" s="76" t="n">
        <v>23.9</v>
      </c>
      <c r="C9" s="29" t="inlineStr">
        <is>
          <t>Mensal</t>
        </is>
      </c>
      <c r="D9" s="123" t="n">
        <v>46026</v>
      </c>
      <c r="E9" s="74" t="inlineStr">
        <is>
          <t>Assinaturas e streaming</t>
        </is>
      </c>
      <c r="F9" s="84">
        <f>IF(OR($A9="",N($B9)=0),"",$B9/IF($C9="Anual",12,IF($C9="Semestral",6,IF($C9="Trimestral",3,1))))</f>
        <v/>
      </c>
      <c r="G9" s="85">
        <f>IF($F9="","",$F9*12)</f>
        <v/>
      </c>
      <c r="H9" s="97">
        <f>IF(OR($A9="",$D9=""),"",$D9-HOJE)</f>
        <v/>
      </c>
      <c r="I9" s="102">
        <f>IF(OR($A9="",$D9=""),"",IF($D9&lt;HOJE,"Renovação já passou",IF($D9-HOJE&lt;=7,"Renova em "&amp;($D9-HOJE)&amp;" dias","Em dia")))</f>
        <v/>
      </c>
      <c r="J9" s="143">
        <f>IF(OR($A9="",$D9="",$D9&lt;HOJE),"",$D9+ROW()/1000000)</f>
        <v/>
      </c>
    </row>
    <row r="10">
      <c r="A10" s="74" t="inlineStr">
        <is>
          <t>Academia</t>
        </is>
      </c>
      <c r="B10" s="76" t="n">
        <v>119.9</v>
      </c>
      <c r="C10" s="29" t="inlineStr">
        <is>
          <t>Mensal</t>
        </is>
      </c>
      <c r="D10" s="123" t="n">
        <v>46027</v>
      </c>
      <c r="E10" s="74" t="inlineStr">
        <is>
          <t>Saúde e farmácia</t>
        </is>
      </c>
      <c r="F10" s="84">
        <f>IF(OR($A10="",N($B10)=0),"",$B10/IF($C10="Anual",12,IF($C10="Semestral",6,IF($C10="Trimestral",3,1))))</f>
        <v/>
      </c>
      <c r="G10" s="85">
        <f>IF($F10="","",$F10*12)</f>
        <v/>
      </c>
      <c r="H10" s="97">
        <f>IF(OR($A10="",$D10=""),"",$D10-HOJE)</f>
        <v/>
      </c>
      <c r="I10" s="102">
        <f>IF(OR($A10="",$D10=""),"",IF($D10&lt;HOJE,"Renovação já passou",IF($D10-HOJE&lt;=7,"Renova em "&amp;($D10-HOJE)&amp;" dias","Em dia")))</f>
        <v/>
      </c>
      <c r="J10" s="143">
        <f>IF(OR($A10="",$D10="",$D10&lt;HOJE),"",$D10+ROW()/1000000)</f>
        <v/>
      </c>
    </row>
    <row r="11">
      <c r="A11" s="74" t="inlineStr">
        <is>
          <t>iCloud 200 GB</t>
        </is>
      </c>
      <c r="B11" s="76" t="n">
        <v>14.9</v>
      </c>
      <c r="C11" s="29" t="inlineStr">
        <is>
          <t>Mensal</t>
        </is>
      </c>
      <c r="D11" s="123" t="n">
        <v>46039</v>
      </c>
      <c r="E11" s="74" t="inlineStr">
        <is>
          <t>Assinaturas e streaming</t>
        </is>
      </c>
      <c r="F11" s="84">
        <f>IF(OR($A11="",N($B11)=0),"",$B11/IF($C11="Anual",12,IF($C11="Semestral",6,IF($C11="Trimestral",3,1))))</f>
        <v/>
      </c>
      <c r="G11" s="85">
        <f>IF($F11="","",$F11*12)</f>
        <v/>
      </c>
      <c r="H11" s="97">
        <f>IF(OR($A11="",$D11=""),"",$D11-HOJE)</f>
        <v/>
      </c>
      <c r="I11" s="102">
        <f>IF(OR($A11="",$D11=""),"",IF($D11&lt;HOJE,"Renovação já passou",IF($D11-HOJE&lt;=7,"Renova em "&amp;($D11-HOJE)&amp;" dias","Em dia")))</f>
        <v/>
      </c>
      <c r="J11" s="143">
        <f>IF(OR($A11="",$D11="",$D11&lt;HOJE),"",$D11+ROW()/1000000)</f>
        <v/>
      </c>
    </row>
    <row r="12">
      <c r="A12" s="74" t="inlineStr">
        <is>
          <t>YouTube Premium</t>
        </is>
      </c>
      <c r="B12" s="76" t="n">
        <v>24.9</v>
      </c>
      <c r="C12" s="29" t="inlineStr">
        <is>
          <t>Mensal</t>
        </is>
      </c>
      <c r="D12" s="123" t="n">
        <v>46013</v>
      </c>
      <c r="E12" s="74" t="inlineStr">
        <is>
          <t>Assinaturas e streaming</t>
        </is>
      </c>
      <c r="F12" s="84">
        <f>IF(OR($A12="",N($B12)=0),"",$B12/IF($C12="Anual",12,IF($C12="Semestral",6,IF($C12="Trimestral",3,1))))</f>
        <v/>
      </c>
      <c r="G12" s="85">
        <f>IF($F12="","",$F12*12)</f>
        <v/>
      </c>
      <c r="H12" s="97">
        <f>IF(OR($A12="",$D12=""),"",$D12-HOJE)</f>
        <v/>
      </c>
      <c r="I12" s="102">
        <f>IF(OR($A12="",$D12=""),"",IF($D12&lt;HOJE,"Renovação já passou",IF($D12-HOJE&lt;=7,"Renova em "&amp;($D12-HOJE)&amp;" dias","Em dia")))</f>
        <v/>
      </c>
      <c r="J12" s="143">
        <f>IF(OR($A12="",$D12="",$D12&lt;HOJE),"",$D12+ROW()/1000000)</f>
        <v/>
      </c>
    </row>
    <row r="13">
      <c r="A13" s="74" t="inlineStr">
        <is>
          <t>Amazon Prime</t>
        </is>
      </c>
      <c r="B13" s="76" t="n">
        <v>166.8</v>
      </c>
      <c r="C13" s="29" t="inlineStr">
        <is>
          <t>Anual</t>
        </is>
      </c>
      <c r="D13" s="123" t="n">
        <v>46093</v>
      </c>
      <c r="E13" s="74" t="inlineStr">
        <is>
          <t>Assinaturas e streaming</t>
        </is>
      </c>
      <c r="F13" s="84">
        <f>IF(OR($A13="",N($B13)=0),"",$B13/IF($C13="Anual",12,IF($C13="Semestral",6,IF($C13="Trimestral",3,1))))</f>
        <v/>
      </c>
      <c r="G13" s="85">
        <f>IF($F13="","",$F13*12)</f>
        <v/>
      </c>
      <c r="H13" s="97">
        <f>IF(OR($A13="",$D13=""),"",$D13-HOJE)</f>
        <v/>
      </c>
      <c r="I13" s="102">
        <f>IF(OR($A13="",$D13=""),"",IF($D13&lt;HOJE,"Renovação já passou",IF($D13-HOJE&lt;=7,"Renova em "&amp;($D13-HOJE)&amp;" dias","Em dia")))</f>
        <v/>
      </c>
      <c r="J13" s="143">
        <f>IF(OR($A13="",$D13="",$D13&lt;HOJE),"",$D13+ROW()/1000000)</f>
        <v/>
      </c>
    </row>
    <row r="14">
      <c r="A14" s="74" t="inlineStr">
        <is>
          <t>Domínio e hospedagem do site</t>
        </is>
      </c>
      <c r="B14" s="76" t="n">
        <v>289</v>
      </c>
      <c r="C14" s="29" t="inlineStr">
        <is>
          <t>Anual</t>
        </is>
      </c>
      <c r="D14" s="123" t="n">
        <v>46254</v>
      </c>
      <c r="E14" s="74" t="inlineStr">
        <is>
          <t>Outros gastos</t>
        </is>
      </c>
      <c r="F14" s="84">
        <f>IF(OR($A14="",N($B14)=0),"",$B14/IF($C14="Anual",12,IF($C14="Semestral",6,IF($C14="Trimestral",3,1))))</f>
        <v/>
      </c>
      <c r="G14" s="85">
        <f>IF($F14="","",$F14*12)</f>
        <v/>
      </c>
      <c r="H14" s="97">
        <f>IF(OR($A14="",$D14=""),"",$D14-HOJE)</f>
        <v/>
      </c>
      <c r="I14" s="102">
        <f>IF(OR($A14="",$D14=""),"",IF($D14&lt;HOJE,"Renovação já passou",IF($D14-HOJE&lt;=7,"Renova em "&amp;($D14-HOJE)&amp;" dias","Em dia")))</f>
        <v/>
      </c>
      <c r="J14" s="143">
        <f>IF(OR($A14="",$D14="",$D14&lt;HOJE),"",$D14+ROW()/1000000)</f>
        <v/>
      </c>
    </row>
    <row r="15">
      <c r="A15" s="74" t="n"/>
      <c r="B15" s="76" t="n"/>
      <c r="C15" s="29" t="n"/>
      <c r="D15" s="123" t="n"/>
      <c r="E15" s="74" t="n"/>
      <c r="F15" s="84">
        <f>IF(OR($A15="",N($B15)=0),"",$B15/IF($C15="Anual",12,IF($C15="Semestral",6,IF($C15="Trimestral",3,1))))</f>
        <v/>
      </c>
      <c r="G15" s="85">
        <f>IF($F15="","",$F15*12)</f>
        <v/>
      </c>
      <c r="H15" s="97">
        <f>IF(OR($A15="",$D15=""),"",$D15-HOJE)</f>
        <v/>
      </c>
      <c r="I15" s="102">
        <f>IF(OR($A15="",$D15=""),"",IF($D15&lt;HOJE,"Renovação já passou",IF($D15-HOJE&lt;=7,"Renova em "&amp;($D15-HOJE)&amp;" dias","Em dia")))</f>
        <v/>
      </c>
      <c r="J15" s="143">
        <f>IF(OR($A15="",$D15="",$D15&lt;HOJE),"",$D15+ROW()/1000000)</f>
        <v/>
      </c>
    </row>
    <row r="16">
      <c r="A16" s="74" t="n"/>
      <c r="B16" s="76" t="n"/>
      <c r="C16" s="29" t="n"/>
      <c r="D16" s="123" t="n"/>
      <c r="E16" s="74" t="n"/>
      <c r="F16" s="84">
        <f>IF(OR($A16="",N($B16)=0),"",$B16/IF($C16="Anual",12,IF($C16="Semestral",6,IF($C16="Trimestral",3,1))))</f>
        <v/>
      </c>
      <c r="G16" s="85">
        <f>IF($F16="","",$F16*12)</f>
        <v/>
      </c>
      <c r="H16" s="97">
        <f>IF(OR($A16="",$D16=""),"",$D16-HOJE)</f>
        <v/>
      </c>
      <c r="I16" s="102">
        <f>IF(OR($A16="",$D16=""),"",IF($D16&lt;HOJE,"Renovação já passou",IF($D16-HOJE&lt;=7,"Renova em "&amp;($D16-HOJE)&amp;" dias","Em dia")))</f>
        <v/>
      </c>
      <c r="J16" s="143">
        <f>IF(OR($A16="",$D16="",$D16&lt;HOJE),"",$D16+ROW()/1000000)</f>
        <v/>
      </c>
    </row>
    <row r="17">
      <c r="A17" s="74" t="n"/>
      <c r="B17" s="76" t="n"/>
      <c r="C17" s="29" t="n"/>
      <c r="D17" s="123" t="n"/>
      <c r="E17" s="74" t="n"/>
      <c r="F17" s="84">
        <f>IF(OR($A17="",N($B17)=0),"",$B17/IF($C17="Anual",12,IF($C17="Semestral",6,IF($C17="Trimestral",3,1))))</f>
        <v/>
      </c>
      <c r="G17" s="85">
        <f>IF($F17="","",$F17*12)</f>
        <v/>
      </c>
      <c r="H17" s="97">
        <f>IF(OR($A17="",$D17=""),"",$D17-HOJE)</f>
        <v/>
      </c>
      <c r="I17" s="102">
        <f>IF(OR($A17="",$D17=""),"",IF($D17&lt;HOJE,"Renovação já passou",IF($D17-HOJE&lt;=7,"Renova em "&amp;($D17-HOJE)&amp;" dias","Em dia")))</f>
        <v/>
      </c>
      <c r="J17" s="143">
        <f>IF(OR($A17="",$D17="",$D17&lt;HOJE),"",$D17+ROW()/1000000)</f>
        <v/>
      </c>
    </row>
    <row r="18">
      <c r="A18" s="74" t="n"/>
      <c r="B18" s="76" t="n"/>
      <c r="C18" s="29" t="n"/>
      <c r="D18" s="123" t="n"/>
      <c r="E18" s="74" t="n"/>
      <c r="F18" s="84">
        <f>IF(OR($A18="",N($B18)=0),"",$B18/IF($C18="Anual",12,IF($C18="Semestral",6,IF($C18="Trimestral",3,1))))</f>
        <v/>
      </c>
      <c r="G18" s="85">
        <f>IF($F18="","",$F18*12)</f>
        <v/>
      </c>
      <c r="H18" s="97">
        <f>IF(OR($A18="",$D18=""),"",$D18-HOJE)</f>
        <v/>
      </c>
      <c r="I18" s="102">
        <f>IF(OR($A18="",$D18=""),"",IF($D18&lt;HOJE,"Renovação já passou",IF($D18-HOJE&lt;=7,"Renova em "&amp;($D18-HOJE)&amp;" dias","Em dia")))</f>
        <v/>
      </c>
      <c r="J18" s="143">
        <f>IF(OR($A18="",$D18="",$D18&lt;HOJE),"",$D18+ROW()/1000000)</f>
        <v/>
      </c>
    </row>
    <row r="19">
      <c r="A19" s="74" t="n"/>
      <c r="B19" s="76" t="n"/>
      <c r="C19" s="29" t="n"/>
      <c r="D19" s="123" t="n"/>
      <c r="E19" s="74" t="n"/>
      <c r="F19" s="84">
        <f>IF(OR($A19="",N($B19)=0),"",$B19/IF($C19="Anual",12,IF($C19="Semestral",6,IF($C19="Trimestral",3,1))))</f>
        <v/>
      </c>
      <c r="G19" s="85">
        <f>IF($F19="","",$F19*12)</f>
        <v/>
      </c>
      <c r="H19" s="97">
        <f>IF(OR($A19="",$D19=""),"",$D19-HOJE)</f>
        <v/>
      </c>
      <c r="I19" s="102">
        <f>IF(OR($A19="",$D19=""),"",IF($D19&lt;HOJE,"Renovação já passou",IF($D19-HOJE&lt;=7,"Renova em "&amp;($D19-HOJE)&amp;" dias","Em dia")))</f>
        <v/>
      </c>
      <c r="J19" s="143">
        <f>IF(OR($A19="",$D19="",$D19&lt;HOJE),"",$D19+ROW()/1000000)</f>
        <v/>
      </c>
    </row>
    <row r="20">
      <c r="A20" s="74" t="n"/>
      <c r="B20" s="76" t="n"/>
      <c r="C20" s="29" t="n"/>
      <c r="D20" s="123" t="n"/>
      <c r="E20" s="74" t="n"/>
      <c r="F20" s="84">
        <f>IF(OR($A20="",N($B20)=0),"",$B20/IF($C20="Anual",12,IF($C20="Semestral",6,IF($C20="Trimestral",3,1))))</f>
        <v/>
      </c>
      <c r="G20" s="85">
        <f>IF($F20="","",$F20*12)</f>
        <v/>
      </c>
      <c r="H20" s="97">
        <f>IF(OR($A20="",$D20=""),"",$D20-HOJE)</f>
        <v/>
      </c>
      <c r="I20" s="102">
        <f>IF(OR($A20="",$D20=""),"",IF($D20&lt;HOJE,"Renovação já passou",IF($D20-HOJE&lt;=7,"Renova em "&amp;($D20-HOJE)&amp;" dias","Em dia")))</f>
        <v/>
      </c>
      <c r="J20" s="143">
        <f>IF(OR($A20="",$D20="",$D20&lt;HOJE),"",$D20+ROW()/1000000)</f>
        <v/>
      </c>
    </row>
    <row r="21">
      <c r="A21" s="74" t="n"/>
      <c r="B21" s="76" t="n"/>
      <c r="C21" s="29" t="n"/>
      <c r="D21" s="123" t="n"/>
      <c r="E21" s="74" t="n"/>
      <c r="F21" s="84">
        <f>IF(OR($A21="",N($B21)=0),"",$B21/IF($C21="Anual",12,IF($C21="Semestral",6,IF($C21="Trimestral",3,1))))</f>
        <v/>
      </c>
      <c r="G21" s="85">
        <f>IF($F21="","",$F21*12)</f>
        <v/>
      </c>
      <c r="H21" s="97">
        <f>IF(OR($A21="",$D21=""),"",$D21-HOJE)</f>
        <v/>
      </c>
      <c r="I21" s="102">
        <f>IF(OR($A21="",$D21=""),"",IF($D21&lt;HOJE,"Renovação já passou",IF($D21-HOJE&lt;=7,"Renova em "&amp;($D21-HOJE)&amp;" dias","Em dia")))</f>
        <v/>
      </c>
      <c r="J21" s="143">
        <f>IF(OR($A21="",$D21="",$D21&lt;HOJE),"",$D21+ROW()/1000000)</f>
        <v/>
      </c>
    </row>
    <row r="22">
      <c r="A22" s="74" t="n"/>
      <c r="B22" s="76" t="n"/>
      <c r="C22" s="29" t="n"/>
      <c r="D22" s="123" t="n"/>
      <c r="E22" s="74" t="n"/>
      <c r="F22" s="84">
        <f>IF(OR($A22="",N($B22)=0),"",$B22/IF($C22="Anual",12,IF($C22="Semestral",6,IF($C22="Trimestral",3,1))))</f>
        <v/>
      </c>
      <c r="G22" s="85">
        <f>IF($F22="","",$F22*12)</f>
        <v/>
      </c>
      <c r="H22" s="97">
        <f>IF(OR($A22="",$D22=""),"",$D22-HOJE)</f>
        <v/>
      </c>
      <c r="I22" s="102">
        <f>IF(OR($A22="",$D22=""),"",IF($D22&lt;HOJE,"Renovação já passou",IF($D22-HOJE&lt;=7,"Renova em "&amp;($D22-HOJE)&amp;" dias","Em dia")))</f>
        <v/>
      </c>
      <c r="J22" s="143">
        <f>IF(OR($A22="",$D22="",$D22&lt;HOJE),"",$D22+ROW()/1000000)</f>
        <v/>
      </c>
    </row>
    <row r="23">
      <c r="A23" s="74" t="n"/>
      <c r="B23" s="76" t="n"/>
      <c r="C23" s="29" t="n"/>
      <c r="D23" s="123" t="n"/>
      <c r="E23" s="74" t="n"/>
      <c r="F23" s="84">
        <f>IF(OR($A23="",N($B23)=0),"",$B23/IF($C23="Anual",12,IF($C23="Semestral",6,IF($C23="Trimestral",3,1))))</f>
        <v/>
      </c>
      <c r="G23" s="85">
        <f>IF($F23="","",$F23*12)</f>
        <v/>
      </c>
      <c r="H23" s="97">
        <f>IF(OR($A23="",$D23=""),"",$D23-HOJE)</f>
        <v/>
      </c>
      <c r="I23" s="102">
        <f>IF(OR($A23="",$D23=""),"",IF($D23&lt;HOJE,"Renovação já passou",IF($D23-HOJE&lt;=7,"Renova em "&amp;($D23-HOJE)&amp;" dias","Em dia")))</f>
        <v/>
      </c>
      <c r="J23" s="143">
        <f>IF(OR($A23="",$D23="",$D23&lt;HOJE),"",$D23+ROW()/1000000)</f>
        <v/>
      </c>
    </row>
    <row r="24">
      <c r="A24" s="74" t="n"/>
      <c r="B24" s="76" t="n"/>
      <c r="C24" s="29" t="n"/>
      <c r="D24" s="123" t="n"/>
      <c r="E24" s="74" t="n"/>
      <c r="F24" s="84">
        <f>IF(OR($A24="",N($B24)=0),"",$B24/IF($C24="Anual",12,IF($C24="Semestral",6,IF($C24="Trimestral",3,1))))</f>
        <v/>
      </c>
      <c r="G24" s="85">
        <f>IF($F24="","",$F24*12)</f>
        <v/>
      </c>
      <c r="H24" s="97">
        <f>IF(OR($A24="",$D24=""),"",$D24-HOJE)</f>
        <v/>
      </c>
      <c r="I24" s="102">
        <f>IF(OR($A24="",$D24=""),"",IF($D24&lt;HOJE,"Renovação já passou",IF($D24-HOJE&lt;=7,"Renova em "&amp;($D24-HOJE)&amp;" dias","Em dia")))</f>
        <v/>
      </c>
      <c r="J24" s="143">
        <f>IF(OR($A24="",$D24="",$D24&lt;HOJE),"",$D24+ROW()/1000000)</f>
        <v/>
      </c>
    </row>
    <row r="25">
      <c r="A25" s="74" t="n"/>
      <c r="B25" s="76" t="n"/>
      <c r="C25" s="29" t="n"/>
      <c r="D25" s="123" t="n"/>
      <c r="E25" s="74" t="n"/>
      <c r="F25" s="84">
        <f>IF(OR($A25="",N($B25)=0),"",$B25/IF($C25="Anual",12,IF($C25="Semestral",6,IF($C25="Trimestral",3,1))))</f>
        <v/>
      </c>
      <c r="G25" s="85">
        <f>IF($F25="","",$F25*12)</f>
        <v/>
      </c>
      <c r="H25" s="97">
        <f>IF(OR($A25="",$D25=""),"",$D25-HOJE)</f>
        <v/>
      </c>
      <c r="I25" s="102">
        <f>IF(OR($A25="",$D25=""),"",IF($D25&lt;HOJE,"Renovação já passou",IF($D25-HOJE&lt;=7,"Renova em "&amp;($D25-HOJE)&amp;" dias","Em dia")))</f>
        <v/>
      </c>
      <c r="J25" s="143">
        <f>IF(OR($A25="",$D25="",$D25&lt;HOJE),"",$D25+ROW()/1000000)</f>
        <v/>
      </c>
    </row>
    <row r="26">
      <c r="A26" s="74" t="n"/>
      <c r="B26" s="76" t="n"/>
      <c r="C26" s="29" t="n"/>
      <c r="D26" s="123" t="n"/>
      <c r="E26" s="74" t="n"/>
      <c r="F26" s="84">
        <f>IF(OR($A26="",N($B26)=0),"",$B26/IF($C26="Anual",12,IF($C26="Semestral",6,IF($C26="Trimestral",3,1))))</f>
        <v/>
      </c>
      <c r="G26" s="85">
        <f>IF($F26="","",$F26*12)</f>
        <v/>
      </c>
      <c r="H26" s="97">
        <f>IF(OR($A26="",$D26=""),"",$D26-HOJE)</f>
        <v/>
      </c>
      <c r="I26" s="102">
        <f>IF(OR($A26="",$D26=""),"",IF($D26&lt;HOJE,"Renovação já passou",IF($D26-HOJE&lt;=7,"Renova em "&amp;($D26-HOJE)&amp;" dias","Em dia")))</f>
        <v/>
      </c>
      <c r="J26" s="143">
        <f>IF(OR($A26="",$D26="",$D26&lt;HOJE),"",$D26+ROW()/1000000)</f>
        <v/>
      </c>
    </row>
    <row r="27">
      <c r="A27" s="74" t="n"/>
      <c r="B27" s="76" t="n"/>
      <c r="C27" s="29" t="n"/>
      <c r="D27" s="123" t="n"/>
      <c r="E27" s="74" t="n"/>
      <c r="F27" s="84">
        <f>IF(OR($A27="",N($B27)=0),"",$B27/IF($C27="Anual",12,IF($C27="Semestral",6,IF($C27="Trimestral",3,1))))</f>
        <v/>
      </c>
      <c r="G27" s="85">
        <f>IF($F27="","",$F27*12)</f>
        <v/>
      </c>
      <c r="H27" s="97">
        <f>IF(OR($A27="",$D27=""),"",$D27-HOJE)</f>
        <v/>
      </c>
      <c r="I27" s="102">
        <f>IF(OR($A27="",$D27=""),"",IF($D27&lt;HOJE,"Renovação já passou",IF($D27-HOJE&lt;=7,"Renova em "&amp;($D27-HOJE)&amp;" dias","Em dia")))</f>
        <v/>
      </c>
      <c r="J27" s="143">
        <f>IF(OR($A27="",$D27="",$D27&lt;HOJE),"",$D27+ROW()/1000000)</f>
        <v/>
      </c>
    </row>
    <row r="28">
      <c r="A28" s="74" t="n"/>
      <c r="B28" s="76" t="n"/>
      <c r="C28" s="29" t="n"/>
      <c r="D28" s="123" t="n"/>
      <c r="E28" s="74" t="n"/>
      <c r="F28" s="84">
        <f>IF(OR($A28="",N($B28)=0),"",$B28/IF($C28="Anual",12,IF($C28="Semestral",6,IF($C28="Trimestral",3,1))))</f>
        <v/>
      </c>
      <c r="G28" s="85">
        <f>IF($F28="","",$F28*12)</f>
        <v/>
      </c>
      <c r="H28" s="97">
        <f>IF(OR($A28="",$D28=""),"",$D28-HOJE)</f>
        <v/>
      </c>
      <c r="I28" s="102">
        <f>IF(OR($A28="",$D28=""),"",IF($D28&lt;HOJE,"Renovação já passou",IF($D28-HOJE&lt;=7,"Renova em "&amp;($D28-HOJE)&amp;" dias","Em dia")))</f>
        <v/>
      </c>
      <c r="J28" s="143">
        <f>IF(OR($A28="",$D28="",$D28&lt;HOJE),"",$D28+ROW()/1000000)</f>
        <v/>
      </c>
    </row>
    <row r="29">
      <c r="A29" s="74" t="n"/>
      <c r="B29" s="76" t="n"/>
      <c r="C29" s="29" t="n"/>
      <c r="D29" s="123" t="n"/>
      <c r="E29" s="74" t="n"/>
      <c r="F29" s="84">
        <f>IF(OR($A29="",N($B29)=0),"",$B29/IF($C29="Anual",12,IF($C29="Semestral",6,IF($C29="Trimestral",3,1))))</f>
        <v/>
      </c>
      <c r="G29" s="85">
        <f>IF($F29="","",$F29*12)</f>
        <v/>
      </c>
      <c r="H29" s="97">
        <f>IF(OR($A29="",$D29=""),"",$D29-HOJE)</f>
        <v/>
      </c>
      <c r="I29" s="102">
        <f>IF(OR($A29="",$D29=""),"",IF($D29&lt;HOJE,"Renovação já passou",IF($D29-HOJE&lt;=7,"Renova em "&amp;($D29-HOJE)&amp;" dias","Em dia")))</f>
        <v/>
      </c>
      <c r="J29" s="143">
        <f>IF(OR($A29="",$D29="",$D29&lt;HOJE),"",$D29+ROW()/1000000)</f>
        <v/>
      </c>
    </row>
    <row r="30">
      <c r="A30" s="74" t="n"/>
      <c r="B30" s="76" t="n"/>
      <c r="C30" s="29" t="n"/>
      <c r="D30" s="123" t="n"/>
      <c r="E30" s="74" t="n"/>
      <c r="F30" s="84">
        <f>IF(OR($A30="",N($B30)=0),"",$B30/IF($C30="Anual",12,IF($C30="Semestral",6,IF($C30="Trimestral",3,1))))</f>
        <v/>
      </c>
      <c r="G30" s="85">
        <f>IF($F30="","",$F30*12)</f>
        <v/>
      </c>
      <c r="H30" s="97">
        <f>IF(OR($A30="",$D30=""),"",$D30-HOJE)</f>
        <v/>
      </c>
      <c r="I30" s="102">
        <f>IF(OR($A30="",$D30=""),"",IF($D30&lt;HOJE,"Renovação já passou",IF($D30-HOJE&lt;=7,"Renova em "&amp;($D30-HOJE)&amp;" dias","Em dia")))</f>
        <v/>
      </c>
      <c r="J30" s="143">
        <f>IF(OR($A30="",$D30="",$D30&lt;HOJE),"",$D30+ROW()/1000000)</f>
        <v/>
      </c>
    </row>
    <row r="31">
      <c r="A31" s="74" t="n"/>
      <c r="B31" s="76" t="n"/>
      <c r="C31" s="29" t="n"/>
      <c r="D31" s="123" t="n"/>
      <c r="E31" s="74" t="n"/>
      <c r="F31" s="84">
        <f>IF(OR($A31="",N($B31)=0),"",$B31/IF($C31="Anual",12,IF($C31="Semestral",6,IF($C31="Trimestral",3,1))))</f>
        <v/>
      </c>
      <c r="G31" s="85">
        <f>IF($F31="","",$F31*12)</f>
        <v/>
      </c>
      <c r="H31" s="97">
        <f>IF(OR($A31="",$D31=""),"",$D31-HOJE)</f>
        <v/>
      </c>
      <c r="I31" s="102">
        <f>IF(OR($A31="",$D31=""),"",IF($D31&lt;HOJE,"Renovação já passou",IF($D31-HOJE&lt;=7,"Renova em "&amp;($D31-HOJE)&amp;" dias","Em dia")))</f>
        <v/>
      </c>
      <c r="J31" s="143">
        <f>IF(OR($A31="",$D31="",$D31&lt;HOJE),"",$D31+ROW()/1000000)</f>
        <v/>
      </c>
    </row>
    <row r="32">
      <c r="A32" s="74" t="n"/>
      <c r="B32" s="76" t="n"/>
      <c r="C32" s="29" t="n"/>
      <c r="D32" s="123" t="n"/>
      <c r="E32" s="74" t="n"/>
      <c r="F32" s="84">
        <f>IF(OR($A32="",N($B32)=0),"",$B32/IF($C32="Anual",12,IF($C32="Semestral",6,IF($C32="Trimestral",3,1))))</f>
        <v/>
      </c>
      <c r="G32" s="85">
        <f>IF($F32="","",$F32*12)</f>
        <v/>
      </c>
      <c r="H32" s="97">
        <f>IF(OR($A32="",$D32=""),"",$D32-HOJE)</f>
        <v/>
      </c>
      <c r="I32" s="102">
        <f>IF(OR($A32="",$D32=""),"",IF($D32&lt;HOJE,"Renovação já passou",IF($D32-HOJE&lt;=7,"Renova em "&amp;($D32-HOJE)&amp;" dias","Em dia")))</f>
        <v/>
      </c>
      <c r="J32" s="143">
        <f>IF(OR($A32="",$D32="",$D32&lt;HOJE),"",$D32+ROW()/1000000)</f>
        <v/>
      </c>
    </row>
    <row r="33">
      <c r="A33" s="87" t="inlineStr">
        <is>
          <t>Total</t>
        </is>
      </c>
      <c r="B33" s="88" t="n"/>
      <c r="C33" s="88" t="n"/>
      <c r="D33" s="88" t="n"/>
      <c r="E33" s="88" t="n"/>
      <c r="F33" s="88">
        <f>SUM(F8:F32)</f>
        <v/>
      </c>
      <c r="G33" s="88">
        <f>SUM(G8:G32)</f>
        <v/>
      </c>
      <c r="H33" s="88" t="n"/>
      <c r="I33" s="88" t="n"/>
    </row>
    <row r="35">
      <c r="A35" s="12" t="inlineStr">
        <is>
          <t>Próxima renovação</t>
        </is>
      </c>
      <c r="B35" s="91">
        <f>IFERROR(INT(SMALL($J$8:$J$32,1)),"")</f>
        <v/>
      </c>
      <c r="C35" s="75">
        <f>IFERROR(INDEX($A$8:$A$32,ROUND((SMALL($J$8:$J$32,1)-INT(SMALL($J$8:$J$32,1)))*1000000,0)-7),"")</f>
        <v/>
      </c>
    </row>
    <row r="37">
      <c r="A37" s="59" t="inlineStr">
        <is>
          <t>Dica: revise todo trimestre. Uma assinatura de R$ 30 por mês custa R$ 360 por ano, e o valor investido em 10 anos passa de R$ 5.500.</t>
        </is>
      </c>
    </row>
  </sheetData>
  <mergeCells count="6">
    <mergeCell ref="F4:G4"/>
    <mergeCell ref="B5:C5"/>
    <mergeCell ref="F5:G5"/>
    <mergeCell ref="D5:E5"/>
    <mergeCell ref="D4:E4"/>
    <mergeCell ref="B4:C4"/>
  </mergeCells>
  <conditionalFormatting sqref="I8:I32">
    <cfRule type="expression" priority="1" dxfId="14">
      <formula>LEFT(I8,9)="Renova em"</formula>
    </cfRule>
    <cfRule type="expression" priority="2" dxfId="12">
      <formula>I8="Renovação já passou"</formula>
    </cfRule>
  </conditionalFormatting>
  <dataValidations count="3">
    <dataValidation sqref="B8:B32" showDropDown="0" showInputMessage="0" showErrorMessage="1" allowBlank="1" errorTitle="Valor inválido" error="Digite o valor cobrado em cada ciclo." type="decimal" operator="greaterThanOrEqual">
      <formula1>0</formula1>
    </dataValidation>
    <dataValidation sqref="C8:C32" showDropDown="0" showInputMessage="0" showErrorMessage="1" allowBlank="1" errorTitle="Ciclo inválido" error="Escolha Mensal, Trimestral, Semestral ou Anual." type="list">
      <formula1>"Mensal,Trimestral,Semestral,Anual"</formula1>
    </dataValidation>
    <dataValidation sqref="D8:D32" showDropDown="0" showInputMessage="0" showErrorMessage="1" allowBlank="1" errorTitle="Data inválida" error="Informe a próxima renovação (dd/mm/aaaa)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H44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3" customWidth="1" min="3" max="3"/>
    <col width="3" customWidth="1" min="4" max="4"/>
    <col width="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64" t="inlineStr">
        <is>
          <t>Simuladores</t>
        </is>
      </c>
    </row>
    <row r="2">
      <c r="A2" s="65" t="inlineStr">
        <is>
          <t>Três contas rápidas: juros compostos, independência financeira e o custo de um hábito. Amarelo = você muda; cinza = resultado.</t>
        </is>
      </c>
    </row>
    <row r="4">
      <c r="A4" s="5" t="inlineStr">
        <is>
          <t>1. Juros compostos com aporte mensal</t>
        </is>
      </c>
    </row>
    <row r="5" ht="30" customHeight="1">
      <c r="A5" s="12" t="inlineStr">
        <is>
          <t>Valor inicial (R$)</t>
        </is>
      </c>
      <c r="B5" s="76" t="n">
        <v>10000</v>
      </c>
      <c r="E5" s="44" t="inlineStr">
        <is>
          <t>Ano</t>
        </is>
      </c>
      <c r="F5" s="44" t="inlineStr">
        <is>
          <t>Saldo (R$)</t>
        </is>
      </c>
      <c r="G5" s="44" t="inlineStr">
        <is>
          <t>Total aportado (R$)</t>
        </is>
      </c>
      <c r="H5" s="44" t="inlineStr">
        <is>
          <t>Juros (R$)</t>
        </is>
      </c>
    </row>
    <row r="6">
      <c r="A6" s="12" t="inlineStr">
        <is>
          <t>Aporte mensal (R$)</t>
        </is>
      </c>
      <c r="B6" s="76" t="n">
        <v>500</v>
      </c>
      <c r="E6" s="97" t="n">
        <v>1</v>
      </c>
      <c r="F6" s="84">
        <f>FV($B$10,12*E6,-$B$6,-$B$5)</f>
        <v/>
      </c>
      <c r="G6" s="84">
        <f>$B$5+$B$6*12*E6</f>
        <v/>
      </c>
      <c r="H6" s="84">
        <f>F6-G6</f>
        <v/>
      </c>
    </row>
    <row r="7">
      <c r="A7" s="12" t="inlineStr">
        <is>
          <t>Rendimento esperado (% ao ano)</t>
        </is>
      </c>
      <c r="B7" s="124">
        <f>REND_AA</f>
        <v/>
      </c>
      <c r="E7" s="97" t="n">
        <v>2</v>
      </c>
      <c r="F7" s="84">
        <f>FV($B$10,12*E7,-$B$6,-$B$5)</f>
        <v/>
      </c>
      <c r="G7" s="84">
        <f>$B$5+$B$6*12*E7</f>
        <v/>
      </c>
      <c r="H7" s="84">
        <f>F7-G7</f>
        <v/>
      </c>
    </row>
    <row r="8">
      <c r="A8" s="12" t="inlineStr">
        <is>
          <t>Prazo (anos)</t>
        </is>
      </c>
      <c r="B8" s="129" t="n">
        <v>10</v>
      </c>
      <c r="E8" s="97" t="n">
        <v>3</v>
      </c>
      <c r="F8" s="84">
        <f>FV($B$10,12*E8,-$B$6,-$B$5)</f>
        <v/>
      </c>
      <c r="G8" s="84">
        <f>$B$5+$B$6*12*E8</f>
        <v/>
      </c>
      <c r="H8" s="84">
        <f>F8-G8</f>
        <v/>
      </c>
    </row>
    <row r="9">
      <c r="A9" s="12" t="inlineStr">
        <is>
          <t>Inflação esperada (% ao ano)</t>
        </is>
      </c>
      <c r="B9" s="124">
        <f>INFL_AA</f>
        <v/>
      </c>
      <c r="E9" s="97" t="n">
        <v>4</v>
      </c>
      <c r="F9" s="84">
        <f>FV($B$10,12*E9,-$B$6,-$B$5)</f>
        <v/>
      </c>
      <c r="G9" s="84">
        <f>$B$5+$B$6*12*E9</f>
        <v/>
      </c>
      <c r="H9" s="84">
        <f>F9-G9</f>
        <v/>
      </c>
    </row>
    <row r="10">
      <c r="A10" s="12" t="inlineStr">
        <is>
          <t>Taxa mensal equivalente</t>
        </is>
      </c>
      <c r="B10" s="145">
        <f>(1+B7)^(1/12)-1</f>
        <v/>
      </c>
      <c r="E10" s="97" t="n">
        <v>5</v>
      </c>
      <c r="F10" s="84">
        <f>FV($B$10,12*E10,-$B$6,-$B$5)</f>
        <v/>
      </c>
      <c r="G10" s="84">
        <f>$B$5+$B$6*12*E10</f>
        <v/>
      </c>
      <c r="H10" s="84">
        <f>F10-G10</f>
        <v/>
      </c>
    </row>
    <row r="11">
      <c r="A11" s="12" t="inlineStr">
        <is>
          <t>Valor futuro (R$)</t>
        </is>
      </c>
      <c r="B11" s="85">
        <f>FV(B10,B8*12,-B6,-B5)</f>
        <v/>
      </c>
      <c r="E11" s="97" t="n">
        <v>6</v>
      </c>
      <c r="F11" s="84">
        <f>FV($B$10,12*E11,-$B$6,-$B$5)</f>
        <v/>
      </c>
      <c r="G11" s="84">
        <f>$B$5+$B$6*12*E11</f>
        <v/>
      </c>
      <c r="H11" s="84">
        <f>F11-G11</f>
        <v/>
      </c>
    </row>
    <row r="12">
      <c r="A12" s="12" t="inlineStr">
        <is>
          <t>Total aportado (R$)</t>
        </is>
      </c>
      <c r="B12" s="85">
        <f>B5+B6*B8*12</f>
        <v/>
      </c>
      <c r="E12" s="97" t="n">
        <v>7</v>
      </c>
      <c r="F12" s="84">
        <f>FV($B$10,12*E12,-$B$6,-$B$5)</f>
        <v/>
      </c>
      <c r="G12" s="84">
        <f>$B$5+$B$6*12*E12</f>
        <v/>
      </c>
      <c r="H12" s="84">
        <f>F12-G12</f>
        <v/>
      </c>
    </row>
    <row r="13">
      <c r="A13" s="12" t="inlineStr">
        <is>
          <t>Juros ganhos (R$)</t>
        </is>
      </c>
      <c r="B13" s="85">
        <f>B11-B12</f>
        <v/>
      </c>
      <c r="E13" s="97" t="n">
        <v>8</v>
      </c>
      <c r="F13" s="84">
        <f>FV($B$10,12*E13,-$B$6,-$B$5)</f>
        <v/>
      </c>
      <c r="G13" s="84">
        <f>$B$5+$B$6*12*E13</f>
        <v/>
      </c>
      <c r="H13" s="84">
        <f>F13-G13</f>
        <v/>
      </c>
    </row>
    <row r="14">
      <c r="A14" s="12" t="inlineStr">
        <is>
          <t>Parte do resultado que vem dos juros</t>
        </is>
      </c>
      <c r="B14" s="114">
        <f>IF(B11=0,"",B13/B11)</f>
        <v/>
      </c>
      <c r="E14" s="97" t="n">
        <v>9</v>
      </c>
      <c r="F14" s="84">
        <f>FV($B$10,12*E14,-$B$6,-$B$5)</f>
        <v/>
      </c>
      <c r="G14" s="84">
        <f>$B$5+$B$6*12*E14</f>
        <v/>
      </c>
      <c r="H14" s="84">
        <f>F14-G14</f>
        <v/>
      </c>
    </row>
    <row r="15">
      <c r="A15" s="12" t="inlineStr">
        <is>
          <t>Valor futuro em poder de compra de hoje (R$)</t>
        </is>
      </c>
      <c r="B15" s="85">
        <f>B11/(1+B9)^B8</f>
        <v/>
      </c>
      <c r="E15" s="97" t="n">
        <v>10</v>
      </c>
      <c r="F15" s="84">
        <f>FV($B$10,12*E15,-$B$6,-$B$5)</f>
        <v/>
      </c>
      <c r="G15" s="84">
        <f>$B$5+$B$6*12*E15</f>
        <v/>
      </c>
      <c r="H15" s="84">
        <f>F15-G15</f>
        <v/>
      </c>
    </row>
    <row r="16">
      <c r="A16" s="59" t="inlineStr">
        <is>
          <t>Tabela e gráfico ao lado mostram o saldo ano a ano. Rendimento nominal: desconte a inflação na última linha.</t>
        </is>
      </c>
      <c r="E16" s="97" t="n">
        <v>11</v>
      </c>
      <c r="F16" s="84">
        <f>FV($B$10,12*E16,-$B$6,-$B$5)</f>
        <v/>
      </c>
      <c r="G16" s="84">
        <f>$B$5+$B$6*12*E16</f>
        <v/>
      </c>
      <c r="H16" s="84">
        <f>F16-G16</f>
        <v/>
      </c>
    </row>
    <row r="17">
      <c r="E17" s="97" t="n">
        <v>12</v>
      </c>
      <c r="F17" s="84">
        <f>FV($B$10,12*E17,-$B$6,-$B$5)</f>
        <v/>
      </c>
      <c r="G17" s="84">
        <f>$B$5+$B$6*12*E17</f>
        <v/>
      </c>
      <c r="H17" s="84">
        <f>F17-G17</f>
        <v/>
      </c>
    </row>
    <row r="18">
      <c r="E18" s="97" t="n">
        <v>13</v>
      </c>
      <c r="F18" s="84">
        <f>FV($B$10,12*E18,-$B$6,-$B$5)</f>
        <v/>
      </c>
      <c r="G18" s="84">
        <f>$B$5+$B$6*12*E18</f>
        <v/>
      </c>
      <c r="H18" s="84">
        <f>F18-G18</f>
        <v/>
      </c>
    </row>
    <row r="19">
      <c r="A19" s="5" t="inlineStr">
        <is>
          <t>2. Independência financeira (regra dos 25 anos / 4% ao ano)</t>
        </is>
      </c>
      <c r="E19" s="97" t="n">
        <v>14</v>
      </c>
      <c r="F19" s="84">
        <f>FV($B$10,12*E19,-$B$6,-$B$5)</f>
        <v/>
      </c>
      <c r="G19" s="84">
        <f>$B$5+$B$6*12*E19</f>
        <v/>
      </c>
      <c r="H19" s="84">
        <f>F19-G19</f>
        <v/>
      </c>
    </row>
    <row r="20">
      <c r="A20" s="12" t="inlineStr">
        <is>
          <t>Renda mensal desejada (R$)</t>
        </is>
      </c>
      <c r="B20" s="76" t="n">
        <v>8000</v>
      </c>
      <c r="E20" s="97" t="n">
        <v>15</v>
      </c>
      <c r="F20" s="84">
        <f>FV($B$10,12*E20,-$B$6,-$B$5)</f>
        <v/>
      </c>
      <c r="G20" s="84">
        <f>$B$5+$B$6*12*E20</f>
        <v/>
      </c>
      <c r="H20" s="84">
        <f>F20-G20</f>
        <v/>
      </c>
    </row>
    <row r="21">
      <c r="A21" s="12" t="inlineStr">
        <is>
          <t>Patrimônio investido hoje (R$)</t>
        </is>
      </c>
      <c r="B21" s="76">
        <f>INV_TOTAL_ATUAL</f>
        <v/>
      </c>
      <c r="E21" s="97" t="n">
        <v>16</v>
      </c>
      <c r="F21" s="84">
        <f>FV($B$10,12*E21,-$B$6,-$B$5)</f>
        <v/>
      </c>
      <c r="G21" s="84">
        <f>$B$5+$B$6*12*E21</f>
        <v/>
      </c>
      <c r="H21" s="84">
        <f>F21-G21</f>
        <v/>
      </c>
    </row>
    <row r="22">
      <c r="A22" s="12" t="inlineStr">
        <is>
          <t>Aporte mensal (R$)</t>
        </is>
      </c>
      <c r="B22" s="76" t="n">
        <v>1500</v>
      </c>
      <c r="E22" s="97" t="n">
        <v>17</v>
      </c>
      <c r="F22" s="84">
        <f>FV($B$10,12*E22,-$B$6,-$B$5)</f>
        <v/>
      </c>
      <c r="G22" s="84">
        <f>$B$5+$B$6*12*E22</f>
        <v/>
      </c>
      <c r="H22" s="84">
        <f>F22-G22</f>
        <v/>
      </c>
    </row>
    <row r="23">
      <c r="A23" s="12" t="inlineStr">
        <is>
          <t>Rendimento real esperado (% ao ano, acima da inflação)</t>
        </is>
      </c>
      <c r="B23" s="124">
        <f>(1+REND_AA)/(1+INFL_AA)-1</f>
        <v/>
      </c>
      <c r="E23" s="97" t="n">
        <v>18</v>
      </c>
      <c r="F23" s="84">
        <f>FV($B$10,12*E23,-$B$6,-$B$5)</f>
        <v/>
      </c>
      <c r="G23" s="84">
        <f>$B$5+$B$6*12*E23</f>
        <v/>
      </c>
      <c r="H23" s="84">
        <f>F23-G23</f>
        <v/>
      </c>
    </row>
    <row r="24">
      <c r="A24" s="12" t="inlineStr">
        <is>
          <t>Prazo desejado para chegar lá (anos)</t>
        </is>
      </c>
      <c r="B24" s="129" t="n">
        <v>20</v>
      </c>
      <c r="E24" s="97" t="n">
        <v>19</v>
      </c>
      <c r="F24" s="84">
        <f>FV($B$10,12*E24,-$B$6,-$B$5)</f>
        <v/>
      </c>
      <c r="G24" s="84">
        <f>$B$5+$B$6*12*E24</f>
        <v/>
      </c>
      <c r="H24" s="84">
        <f>F24-G24</f>
        <v/>
      </c>
    </row>
    <row r="25">
      <c r="A25" s="12" t="inlineStr">
        <is>
          <t>Taxa real mensal equivalente</t>
        </is>
      </c>
      <c r="B25" s="145">
        <f>(1+B23)^(1/12)-1</f>
        <v/>
      </c>
      <c r="E25" s="97" t="n">
        <v>20</v>
      </c>
      <c r="F25" s="84">
        <f>FV($B$10,12*E25,-$B$6,-$B$5)</f>
        <v/>
      </c>
      <c r="G25" s="84">
        <f>$B$5+$B$6*12*E25</f>
        <v/>
      </c>
      <c r="H25" s="84">
        <f>F25-G25</f>
        <v/>
      </c>
    </row>
    <row r="26">
      <c r="A26" s="12" t="inlineStr">
        <is>
          <t>Patrimônio necessário (renda x 12 x 25) (R$)</t>
        </is>
      </c>
      <c r="B26" s="85">
        <f>B20*12*25</f>
        <v/>
      </c>
      <c r="E26" s="97" t="n">
        <v>21</v>
      </c>
      <c r="F26" s="84">
        <f>FV($B$10,12*E26,-$B$6,-$B$5)</f>
        <v/>
      </c>
      <c r="G26" s="84">
        <f>$B$5+$B$6*12*E26</f>
        <v/>
      </c>
      <c r="H26" s="84">
        <f>F26-G26</f>
        <v/>
      </c>
    </row>
    <row r="27">
      <c r="A27" s="12" t="inlineStr">
        <is>
          <t>Quanto falta (R$)</t>
        </is>
      </c>
      <c r="B27" s="85">
        <f>MAX(0,B26-B21)</f>
        <v/>
      </c>
      <c r="E27" s="97" t="n">
        <v>22</v>
      </c>
      <c r="F27" s="84">
        <f>FV($B$10,12*E27,-$B$6,-$B$5)</f>
        <v/>
      </c>
      <c r="G27" s="84">
        <f>$B$5+$B$6*12*E27</f>
        <v/>
      </c>
      <c r="H27" s="84">
        <f>F27-G27</f>
        <v/>
      </c>
    </row>
    <row r="28">
      <c r="A28" s="12" t="inlineStr">
        <is>
          <t>Já percorrido do caminho</t>
        </is>
      </c>
      <c r="B28" s="114">
        <f>IF(B26=0,"",B21/B26)</f>
        <v/>
      </c>
      <c r="E28" s="97" t="n">
        <v>23</v>
      </c>
      <c r="F28" s="84">
        <f>FV($B$10,12*E28,-$B$6,-$B$5)</f>
        <v/>
      </c>
      <c r="G28" s="84">
        <f>$B$5+$B$6*12*E28</f>
        <v/>
      </c>
      <c r="H28" s="84">
        <f>F28-G28</f>
        <v/>
      </c>
    </row>
    <row r="29">
      <c r="A29" s="12" t="inlineStr">
        <is>
          <t>Renda passiva do patrimônio de hoje (R$/mês, a 4% ao ano)</t>
        </is>
      </c>
      <c r="B29" s="85">
        <f>B21*0.04/12</f>
        <v/>
      </c>
      <c r="E29" s="97" t="n">
        <v>24</v>
      </c>
      <c r="F29" s="84">
        <f>FV($B$10,12*E29,-$B$6,-$B$5)</f>
        <v/>
      </c>
      <c r="G29" s="84">
        <f>$B$5+$B$6*12*E29</f>
        <v/>
      </c>
      <c r="H29" s="84">
        <f>F29-G29</f>
        <v/>
      </c>
    </row>
    <row r="30">
      <c r="A30" s="12" t="inlineStr">
        <is>
          <t>Anos para chegar com o aporte atual</t>
        </is>
      </c>
      <c r="B30" s="146">
        <f>IF(B21&gt;=B26,0,IFERROR(NPER(B25,-B22,-B21,B26)/12,"Sem aporte"))</f>
        <v/>
      </c>
      <c r="E30" s="97" t="n">
        <v>25</v>
      </c>
      <c r="F30" s="84">
        <f>FV($B$10,12*E30,-$B$6,-$B$5)</f>
        <v/>
      </c>
      <c r="G30" s="84">
        <f>$B$5+$B$6*12*E30</f>
        <v/>
      </c>
      <c r="H30" s="84">
        <f>F30-G30</f>
        <v/>
      </c>
    </row>
    <row r="31">
      <c r="A31" s="12" t="inlineStr">
        <is>
          <t>Aporte mensal necessário para chegar no prazo (R$)</t>
        </is>
      </c>
      <c r="B31" s="85">
        <f>IF(B21&gt;=B26,0,MAX(0,PMT(B25,B24*12,B21,-B26)))</f>
        <v/>
      </c>
      <c r="E31" s="97" t="n">
        <v>26</v>
      </c>
      <c r="F31" s="84">
        <f>FV($B$10,12*E31,-$B$6,-$B$5)</f>
        <v/>
      </c>
      <c r="G31" s="84">
        <f>$B$5+$B$6*12*E31</f>
        <v/>
      </c>
      <c r="H31" s="84">
        <f>F31-G31</f>
        <v/>
      </c>
    </row>
    <row r="32">
      <c r="A32" s="59" t="inlineStr">
        <is>
          <t>A regra dos 4% supõe retirar 4% do patrimônio por ano sem esgotá-lo em décadas. É uma referência, não uma garantia.</t>
        </is>
      </c>
      <c r="E32" s="97" t="n">
        <v>27</v>
      </c>
      <c r="F32" s="84">
        <f>FV($B$10,12*E32,-$B$6,-$B$5)</f>
        <v/>
      </c>
      <c r="G32" s="84">
        <f>$B$5+$B$6*12*E32</f>
        <v/>
      </c>
      <c r="H32" s="84">
        <f>F32-G32</f>
        <v/>
      </c>
    </row>
    <row r="33">
      <c r="E33" s="97" t="n">
        <v>28</v>
      </c>
      <c r="F33" s="84">
        <f>FV($B$10,12*E33,-$B$6,-$B$5)</f>
        <v/>
      </c>
      <c r="G33" s="84">
        <f>$B$5+$B$6*12*E33</f>
        <v/>
      </c>
      <c r="H33" s="84">
        <f>F33-G33</f>
        <v/>
      </c>
    </row>
    <row r="34">
      <c r="E34" s="97" t="n">
        <v>29</v>
      </c>
      <c r="F34" s="84">
        <f>FV($B$10,12*E34,-$B$6,-$B$5)</f>
        <v/>
      </c>
      <c r="G34" s="84">
        <f>$B$5+$B$6*12*E34</f>
        <v/>
      </c>
      <c r="H34" s="84">
        <f>F34-G34</f>
        <v/>
      </c>
    </row>
    <row r="35">
      <c r="A35" s="5" t="inlineStr">
        <is>
          <t>3. Quanto custa o seu hábito</t>
        </is>
      </c>
      <c r="E35" s="97" t="n">
        <v>30</v>
      </c>
      <c r="F35" s="84">
        <f>FV($B$10,12*E35,-$B$6,-$B$5)</f>
        <v/>
      </c>
      <c r="G35" s="84">
        <f>$B$5+$B$6*12*E35</f>
        <v/>
      </c>
      <c r="H35" s="84">
        <f>F35-G35</f>
        <v/>
      </c>
    </row>
    <row r="36">
      <c r="A36" s="12" t="inlineStr">
        <is>
          <t>Gasto por vez (R$)</t>
        </is>
      </c>
      <c r="B36" s="76" t="n">
        <v>25</v>
      </c>
    </row>
    <row r="37">
      <c r="A37" s="12" t="inlineStr">
        <is>
          <t>Vezes por mês</t>
        </is>
      </c>
      <c r="B37" s="129" t="n">
        <v>30</v>
      </c>
    </row>
    <row r="38">
      <c r="A38" s="12" t="inlineStr">
        <is>
          <t>Prazo (anos)</t>
        </is>
      </c>
      <c r="B38" s="129" t="n">
        <v>10</v>
      </c>
    </row>
    <row r="39">
      <c r="A39" s="12" t="inlineStr">
        <is>
          <t>Rendimento esperado (% ao ano)</t>
        </is>
      </c>
      <c r="B39" s="124">
        <f>REND_AA</f>
        <v/>
      </c>
    </row>
    <row r="40">
      <c r="A40" s="12" t="inlineStr">
        <is>
          <t>Gasto por mês (R$)</t>
        </is>
      </c>
      <c r="B40" s="85">
        <f>B36*B37</f>
        <v/>
      </c>
    </row>
    <row r="41">
      <c r="A41" s="12" t="inlineStr">
        <is>
          <t>Total gasto no período (R$)</t>
        </is>
      </c>
      <c r="B41" s="85">
        <f>B40*12*B38</f>
        <v/>
      </c>
    </row>
    <row r="42">
      <c r="A42" s="12" t="inlineStr">
        <is>
          <t>Se esse valor fosse investido todo mês (R$)</t>
        </is>
      </c>
      <c r="B42" s="85">
        <f>FV((1+B39)^(1/12)-1,B38*12,-B40,0)</f>
        <v/>
      </c>
    </row>
    <row r="43">
      <c r="A43" s="12" t="inlineStr">
        <is>
          <t>Diferença: o que o hábito deixa de render (R$)</t>
        </is>
      </c>
      <c r="B43" s="85">
        <f>B42-B41</f>
        <v/>
      </c>
    </row>
    <row r="44">
      <c r="A44" s="59" t="inlineStr">
        <is>
          <t>Não é para cortar tudo: é para escolher conscientemente. Se o hábito vale o preço, ótimo; se não, esse é o valor da troca.</t>
        </is>
      </c>
    </row>
  </sheetData>
  <conditionalFormatting sqref="E6:H35">
    <cfRule type="expression" priority="1" dxfId="21">
      <formula>$E6=$B$8</formula>
    </cfRule>
  </conditionalFormatting>
  <dataValidations count="10">
    <dataValidation sqref="B5:B6" showDropDown="0" showInputMessage="0" showErrorMessage="1" allowBlank="0" errorTitle="Valor inválido" error="Digite um valor maior ou igual a zero." type="decimal" operator="greaterThanOrEqual">
      <formula1>0</formula1>
    </dataValidation>
    <dataValidation sqref="B7" showDropDown="0" showInputMessage="0" showErrorMessage="1" allowBlank="0" errorTitle="Taxa inválida" error="Digite entre 0% e 100%." type="decimal" operator="between">
      <formula1>0</formula1>
      <formula2>1</formula2>
    </dataValidation>
    <dataValidation sqref="B9" showDropDown="0" showInputMessage="0" showErrorMessage="1" allowBlank="0" errorTitle="Taxa inválida" error="Digite entre 0% e 100%." type="decimal" operator="between">
      <formula1>0</formula1>
      <formula2>1</formula2>
    </dataValidation>
    <dataValidation sqref="B8" showDropDown="0" showInputMessage="0" showErrorMessage="1" allowBlank="0" errorTitle="Prazo inválido" error="Digite de 1 a 30 anos." type="whole" operator="between">
      <formula1>1</formula1>
      <formula2>30</formula2>
    </dataValidation>
    <dataValidation sqref="B20:B22" showDropDown="0" showInputMessage="0" showErrorMessage="1" allowBlank="0" errorTitle="Valor inválido" error="Digite um valor maior ou igual a zero." type="decimal" operator="greaterThanOrEqual">
      <formula1>0</formula1>
    </dataValidation>
    <dataValidation sqref="B23" showDropDown="0" showInputMessage="0" showErrorMessage="1" allowBlank="0" errorTitle="Taxa inválida" error="Digite uma taxa entre -50% e 100%." type="decimal" operator="between">
      <formula1>-0.5</formula1>
      <formula2>1</formula2>
    </dataValidation>
    <dataValidation sqref="B24" showDropDown="0" showInputMessage="0" showErrorMessage="1" allowBlank="0" errorTitle="Prazo inválido" error="Digite de 1 a 60 anos." type="whole" operator="between">
      <formula1>1</formula1>
      <formula2>60</formula2>
    </dataValidation>
    <dataValidation sqref="B36:B37" showDropDown="0" showInputMessage="0" showErrorMessage="1" allowBlank="0" errorTitle="Valor inválido" error="Digite um valor maior ou igual a zero." type="decimal" operator="greaterThanOrEqual">
      <formula1>0</formula1>
    </dataValidation>
    <dataValidation sqref="B38" showDropDown="0" showInputMessage="0" showErrorMessage="1" allowBlank="0" errorTitle="Prazo inválido" error="Digite de 1 a 60 anos." type="whole" operator="between">
      <formula1>1</formula1>
      <formula2>60</formula2>
    </dataValidation>
    <dataValidation sqref="B39" showDropDown="0" showInputMessage="0" showErrorMessage="1" allowBlank="0" errorTitle="Taxa inválida" error="Digite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tabColor rgb="007A7A7A"/>
    <outlinePr summaryBelow="1" summaryRight="1"/>
    <pageSetUpPr fitToPage="1"/>
  </sheetPr>
  <dimension ref="A1:Y64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5" customWidth="1" min="3" max="3"/>
    <col width="3" customWidth="1" min="4" max="4"/>
    <col width="30" customWidth="1" min="5" max="5"/>
    <col width="20" customWidth="1" min="6" max="6"/>
    <col width="16" customWidth="1" min="7" max="7"/>
    <col width="3" customWidth="1" min="8" max="8"/>
    <col width="11" customWidth="1" min="9" max="9"/>
    <col width="3" customWidth="1" min="10" max="10"/>
    <col width="16" customWidth="1" min="11" max="11"/>
    <col width="3" customWidth="1" min="12" max="12"/>
    <col width="12" customWidth="1" min="13" max="13"/>
    <col width="3" customWidth="1" min="14" max="14"/>
    <col width="13" customWidth="1" min="15" max="15"/>
    <col width="3" customWidth="1" min="16" max="16"/>
    <col width="14" customWidth="1" min="17" max="17"/>
    <col width="3" customWidth="1" min="18" max="18"/>
    <col width="30" customWidth="1" min="19" max="19"/>
    <col width="13" customWidth="1" min="20" max="20"/>
    <col width="11" customWidth="1" min="21" max="21"/>
    <col width="11" customWidth="1" min="22" max="22"/>
    <col width="3" customWidth="1" min="23" max="23"/>
    <col width="30" customWidth="1" min="24" max="24"/>
    <col width="12" customWidth="1" min="25" max="25"/>
  </cols>
  <sheetData>
    <row r="1" ht="30" customHeight="1">
      <c r="A1" s="64" t="inlineStr">
        <is>
          <t>Configurações</t>
        </is>
      </c>
    </row>
    <row r="2">
      <c r="A2" s="65" t="inlineStr">
        <is>
          <t>Premissas, período de referência, categorias e listas. Amarelo = você edita; cinza = automático.</t>
        </is>
      </c>
    </row>
    <row r="4">
      <c r="A4" s="5" t="inlineStr">
        <is>
          <t>Premissas gerais</t>
        </is>
      </c>
      <c r="E4" s="5" t="inlineStr">
        <is>
          <t>Período do Painel (automático)</t>
        </is>
      </c>
    </row>
    <row r="5">
      <c r="A5" s="12" t="inlineStr">
        <is>
          <t>Ano inicial da planilha</t>
        </is>
      </c>
      <c r="B5" s="129" t="n">
        <v>2025</v>
      </c>
      <c r="E5" s="12" t="inlineStr">
        <is>
          <t>Última data lançada</t>
        </is>
      </c>
      <c r="F5" s="147">
        <f>MAX(L_DATA)</f>
        <v/>
      </c>
    </row>
    <row r="6">
      <c r="A6" s="12" t="inlineStr">
        <is>
          <t>Seu nome (aparece no Painel)</t>
        </is>
      </c>
      <c r="B6" s="74" t="inlineStr">
        <is>
          <t>Exemplo Silva</t>
        </is>
      </c>
      <c r="E6" s="12" t="inlineStr">
        <is>
          <t>Ano analisado</t>
        </is>
      </c>
      <c r="F6" s="128">
        <f>IF(OR('Painel'!$C$4="",'Painel'!$C$4="Automático"),IF(F5=0,B5,YEAR(F5)),'Painel'!$C$4)</f>
        <v/>
      </c>
    </row>
    <row r="7">
      <c r="A7" s="12" t="inlineStr">
        <is>
          <t>Rendimento esperado dos investimentos (% ao ano)</t>
        </is>
      </c>
      <c r="B7" s="124" t="n">
        <v>0.105</v>
      </c>
      <c r="E7" s="12" t="inlineStr">
        <is>
          <t>Mês analisado (1 a 12)</t>
        </is>
      </c>
      <c r="F7" s="128">
        <f>IF(OR('Painel'!$F$4="",'Painel'!$F$4="Automático"),IF(F5=0,1,IF(F6=YEAR(F5),MONTH(F5),IF(F6&lt;YEAR(F5),12,1))),MATCH('Painel'!$F$4,LISTA_MESES,0))</f>
        <v/>
      </c>
    </row>
    <row r="8">
      <c r="A8" s="12" t="inlineStr">
        <is>
          <t>Inflação esperada (% ao ano)</t>
        </is>
      </c>
      <c r="B8" s="124" t="n">
        <v>0.045</v>
      </c>
      <c r="E8" s="12" t="inlineStr">
        <is>
          <t>Primeiro dia do mês</t>
        </is>
      </c>
      <c r="F8" s="147">
        <f>DATE(F6,F7,1)</f>
        <v/>
      </c>
    </row>
    <row r="9">
      <c r="A9" s="12" t="inlineStr">
        <is>
          <t>Rendimento mensal equivalente</t>
        </is>
      </c>
      <c r="B9" s="148">
        <f>(1+B7)^(1/12)-1</f>
        <v/>
      </c>
      <c r="E9" s="12" t="inlineStr">
        <is>
          <t>Último dia do mês</t>
        </is>
      </c>
      <c r="F9" s="147">
        <f>EOMONTH(F8,0)</f>
        <v/>
      </c>
    </row>
    <row r="10">
      <c r="A10" s="12" t="inlineStr">
        <is>
          <t>Hoje (para prazos e "quanto sobra por dia")</t>
        </is>
      </c>
      <c r="B10" s="73" t="n">
        <v>46009</v>
      </c>
      <c r="E10" s="12" t="inlineStr">
        <is>
          <t>Chave do mês (AAAAMM)</t>
        </is>
      </c>
      <c r="F10" s="128">
        <f>F6*100+F7</f>
        <v/>
      </c>
    </row>
    <row r="11">
      <c r="E11" s="12" t="inlineStr">
        <is>
          <t>Dias no mês</t>
        </is>
      </c>
      <c r="F11" s="128">
        <f>DAY(F9)</f>
        <v/>
      </c>
    </row>
    <row r="12">
      <c r="A12" s="5" t="inlineStr">
        <is>
          <t>Categorias (edite os nomes; mantenha o grupo de cada uma)</t>
        </is>
      </c>
      <c r="E12" s="12" t="inlineStr">
        <is>
          <t>Período</t>
        </is>
      </c>
      <c r="F12" s="100">
        <f>INDEX(LISTA_MESES,F7)&amp;" de "&amp;F6</f>
        <v/>
      </c>
    </row>
    <row r="13" ht="30" customHeight="1">
      <c r="A13" s="44" t="inlineStr">
        <is>
          <t>Categoria</t>
        </is>
      </c>
      <c r="B13" s="44" t="inlineStr">
        <is>
          <t>Grupo</t>
        </is>
      </c>
      <c r="C13" s="44" t="inlineStr">
        <is>
          <t>Tipo (automático)</t>
        </is>
      </c>
      <c r="E13" s="44" t="inlineStr">
        <is>
          <t>Formas de pagamento</t>
        </is>
      </c>
      <c r="G13" s="44" t="inlineStr">
        <is>
          <t>Grupos</t>
        </is>
      </c>
      <c r="I13" s="44" t="inlineStr">
        <is>
          <t>Status</t>
        </is>
      </c>
      <c r="K13" s="44" t="inlineStr">
        <is>
          <t>Tipos de conta</t>
        </is>
      </c>
      <c r="M13" s="44" t="inlineStr">
        <is>
          <t>Meses</t>
        </is>
      </c>
      <c r="O13" s="44" t="inlineStr">
        <is>
          <t>Anos</t>
        </is>
      </c>
      <c r="Q13" s="44" t="inlineStr">
        <is>
          <t>Mês (seleção)</t>
        </is>
      </c>
      <c r="S13" s="44" t="inlineStr">
        <is>
          <t>Atalhos do orçamento</t>
        </is>
      </c>
      <c r="T13" s="44" t="inlineStr">
        <is>
          <t>Necessidade</t>
        </is>
      </c>
      <c r="U13" s="44" t="inlineStr">
        <is>
          <t>Desejo</t>
        </is>
      </c>
      <c r="V13" s="44" t="inlineStr">
        <is>
          <t>Poupança</t>
        </is>
      </c>
      <c r="X13" s="44" t="inlineStr">
        <is>
          <t>Perfil (reserva de emergência)</t>
        </is>
      </c>
      <c r="Y13" s="44" t="inlineStr">
        <is>
          <t>Meses de reserva</t>
        </is>
      </c>
    </row>
    <row r="14">
      <c r="A14" s="74" t="inlineStr">
        <is>
          <t>Salário</t>
        </is>
      </c>
      <c r="B14" s="74" t="inlineStr">
        <is>
          <t>Receita</t>
        </is>
      </c>
      <c r="C14" s="75">
        <f>IF(B14="","",IF(B14="Receita","Receita",IF(B14="Poupança","Poupança",IF(B14="Transferência","Transferência","Despesa"))))</f>
        <v/>
      </c>
      <c r="E14" s="74" t="inlineStr">
        <is>
          <t>Pix</t>
        </is>
      </c>
      <c r="G14" s="75" t="inlineStr">
        <is>
          <t>Necessidade</t>
        </is>
      </c>
      <c r="I14" s="75" t="inlineStr">
        <is>
          <t>Pago</t>
        </is>
      </c>
      <c r="K14" s="75" t="inlineStr">
        <is>
          <t>Corrente</t>
        </is>
      </c>
      <c r="M14" s="75" t="inlineStr">
        <is>
          <t>Janeiro</t>
        </is>
      </c>
      <c r="O14" s="75" t="inlineStr">
        <is>
          <t>Automático</t>
        </is>
      </c>
      <c r="Q14" s="75" t="inlineStr">
        <is>
          <t>Automático</t>
        </is>
      </c>
      <c r="S14" s="75" t="inlineStr">
        <is>
          <t>50/30/20 (clássico)</t>
        </is>
      </c>
      <c r="T14" s="140" t="n">
        <v>0.5</v>
      </c>
      <c r="U14" s="140" t="n">
        <v>0.3</v>
      </c>
      <c r="V14" s="140" t="n">
        <v>0.2</v>
      </c>
      <c r="X14" s="75" t="inlineStr">
        <is>
          <t>CLT (emprego estável)</t>
        </is>
      </c>
      <c r="Y14" s="74" t="n">
        <v>6</v>
      </c>
    </row>
    <row r="15">
      <c r="A15" s="74" t="inlineStr">
        <is>
          <t>13º e férias</t>
        </is>
      </c>
      <c r="B15" s="74" t="inlineStr">
        <is>
          <t>Receita</t>
        </is>
      </c>
      <c r="C15" s="75">
        <f>IF(B15="","",IF(B15="Receita","Receita",IF(B15="Poupança","Poupança",IF(B15="Transferência","Transferência","Despesa"))))</f>
        <v/>
      </c>
      <c r="E15" s="74" t="inlineStr">
        <is>
          <t>Débito</t>
        </is>
      </c>
      <c r="G15" s="75" t="inlineStr">
        <is>
          <t>Desejo</t>
        </is>
      </c>
      <c r="I15" s="75" t="inlineStr">
        <is>
          <t>Pendente</t>
        </is>
      </c>
      <c r="K15" s="75" t="inlineStr">
        <is>
          <t>Poupança</t>
        </is>
      </c>
      <c r="M15" s="75" t="inlineStr">
        <is>
          <t>Fevereiro</t>
        </is>
      </c>
      <c r="O15" s="75">
        <f>ANO_INI+0</f>
        <v/>
      </c>
      <c r="Q15" s="75" t="inlineStr">
        <is>
          <t>Janeiro</t>
        </is>
      </c>
      <c r="S15" s="75" t="inlineStr">
        <is>
          <t>60/30/10</t>
        </is>
      </c>
      <c r="T15" s="140" t="n">
        <v>0.6</v>
      </c>
      <c r="U15" s="140" t="n">
        <v>0.3</v>
      </c>
      <c r="V15" s="140" t="n">
        <v>0.1</v>
      </c>
      <c r="X15" s="75" t="inlineStr">
        <is>
          <t>Servidor público / concurso</t>
        </is>
      </c>
      <c r="Y15" s="74" t="n">
        <v>3</v>
      </c>
    </row>
    <row r="16">
      <c r="A16" s="74" t="inlineStr">
        <is>
          <t>Renda extra e freelance</t>
        </is>
      </c>
      <c r="B16" s="74" t="inlineStr">
        <is>
          <t>Receita</t>
        </is>
      </c>
      <c r="C16" s="75">
        <f>IF(B16="","",IF(B16="Receita","Receita",IF(B16="Poupança","Poupança",IF(B16="Transferência","Transferência","Despesa"))))</f>
        <v/>
      </c>
      <c r="E16" s="74" t="inlineStr">
        <is>
          <t>Crédito</t>
        </is>
      </c>
      <c r="G16" s="75" t="inlineStr">
        <is>
          <t>Poupança</t>
        </is>
      </c>
      <c r="K16" s="75" t="inlineStr">
        <is>
          <t>Carteira</t>
        </is>
      </c>
      <c r="M16" s="75" t="inlineStr">
        <is>
          <t>Março</t>
        </is>
      </c>
      <c r="O16" s="75">
        <f>ANO_INI+1</f>
        <v/>
      </c>
      <c r="Q16" s="75" t="inlineStr">
        <is>
          <t>Fevereiro</t>
        </is>
      </c>
      <c r="S16" s="75" t="inlineStr">
        <is>
          <t>70/20/10</t>
        </is>
      </c>
      <c r="T16" s="140" t="n">
        <v>0.7</v>
      </c>
      <c r="U16" s="140" t="n">
        <v>0.2</v>
      </c>
      <c r="V16" s="140" t="n">
        <v>0.1</v>
      </c>
      <c r="X16" s="75" t="inlineStr">
        <is>
          <t>Autônomo, MEI ou PJ</t>
        </is>
      </c>
      <c r="Y16" s="74" t="n">
        <v>12</v>
      </c>
    </row>
    <row r="17">
      <c r="A17" s="74" t="inlineStr">
        <is>
          <t>Rendimentos de investimentos</t>
        </is>
      </c>
      <c r="B17" s="74" t="inlineStr">
        <is>
          <t>Receita</t>
        </is>
      </c>
      <c r="C17" s="75">
        <f>IF(B17="","",IF(B17="Receita","Receita",IF(B17="Poupança","Poupança",IF(B17="Transferência","Transferência","Despesa"))))</f>
        <v/>
      </c>
      <c r="E17" s="74" t="inlineStr">
        <is>
          <t>Dinheiro</t>
        </is>
      </c>
      <c r="G17" s="75" t="inlineStr">
        <is>
          <t>Receita</t>
        </is>
      </c>
      <c r="K17" s="75" t="inlineStr">
        <is>
          <t>Investimentos</t>
        </is>
      </c>
      <c r="M17" s="75" t="inlineStr">
        <is>
          <t>Abril</t>
        </is>
      </c>
      <c r="O17" s="75">
        <f>ANO_INI+2</f>
        <v/>
      </c>
      <c r="Q17" s="75" t="inlineStr">
        <is>
          <t>Março</t>
        </is>
      </c>
      <c r="S17" s="75" t="inlineStr">
        <is>
          <t>50/20/30 (foco em poupar)</t>
        </is>
      </c>
      <c r="T17" s="140" t="n">
        <v>0.5</v>
      </c>
      <c r="U17" s="140" t="n">
        <v>0.2</v>
      </c>
      <c r="V17" s="140" t="n">
        <v>0.3</v>
      </c>
      <c r="X17" s="75" t="inlineStr">
        <is>
          <t>Empresário ou renda variável</t>
        </is>
      </c>
      <c r="Y17" s="74" t="n">
        <v>12</v>
      </c>
    </row>
    <row r="18">
      <c r="A18" s="74" t="inlineStr">
        <is>
          <t>Reembolsos</t>
        </is>
      </c>
      <c r="B18" s="74" t="inlineStr">
        <is>
          <t>Receita</t>
        </is>
      </c>
      <c r="C18" s="75">
        <f>IF(B18="","",IF(B18="Receita","Receita",IF(B18="Poupança","Poupança",IF(B18="Transferência","Transferência","Despesa"))))</f>
        <v/>
      </c>
      <c r="E18" s="74" t="inlineStr">
        <is>
          <t>Boleto</t>
        </is>
      </c>
      <c r="G18" s="75" t="inlineStr">
        <is>
          <t>Transferência</t>
        </is>
      </c>
      <c r="K18" s="75" t="inlineStr">
        <is>
          <t>Dinheiro</t>
        </is>
      </c>
      <c r="M18" s="75" t="inlineStr">
        <is>
          <t>Maio</t>
        </is>
      </c>
      <c r="O18" s="75">
        <f>ANO_INI+3</f>
        <v/>
      </c>
      <c r="Q18" s="75" t="inlineStr">
        <is>
          <t>Abril</t>
        </is>
      </c>
      <c r="S18" s="75" t="inlineStr">
        <is>
          <t>40/30/30 (foco em investir)</t>
        </is>
      </c>
      <c r="T18" s="140" t="n">
        <v>0.4</v>
      </c>
      <c r="U18" s="140" t="n">
        <v>0.3</v>
      </c>
      <c r="V18" s="140" t="n">
        <v>0.3</v>
      </c>
      <c r="X18" s="75" t="inlineStr">
        <is>
          <t>Personalizado</t>
        </is>
      </c>
      <c r="Y18" s="74" t="n">
        <v>6</v>
      </c>
    </row>
    <row r="19">
      <c r="A19" s="74" t="inlineStr">
        <is>
          <t>Outras receitas</t>
        </is>
      </c>
      <c r="B19" s="74" t="inlineStr">
        <is>
          <t>Receita</t>
        </is>
      </c>
      <c r="C19" s="75">
        <f>IF(B19="","",IF(B19="Receita","Receita",IF(B19="Poupança","Poupança",IF(B19="Transferência","Transferência","Despesa"))))</f>
        <v/>
      </c>
      <c r="E19" s="74" t="inlineStr">
        <is>
          <t>Transferência</t>
        </is>
      </c>
      <c r="K19" s="75" t="inlineStr">
        <is>
          <t>Outro</t>
        </is>
      </c>
      <c r="M19" s="75" t="inlineStr">
        <is>
          <t>Junho</t>
        </is>
      </c>
      <c r="O19" s="75">
        <f>ANO_INI+4</f>
        <v/>
      </c>
      <c r="Q19" s="75" t="inlineStr">
        <is>
          <t>Maio</t>
        </is>
      </c>
      <c r="S19" s="74" t="inlineStr">
        <is>
          <t>Personalizado</t>
        </is>
      </c>
      <c r="T19" s="140" t="n">
        <v>0.5</v>
      </c>
      <c r="U19" s="140" t="n">
        <v>0.3</v>
      </c>
      <c r="V19" s="140" t="n">
        <v>0.2</v>
      </c>
    </row>
    <row r="20">
      <c r="A20" s="74" t="inlineStr">
        <is>
          <t>Moradia (aluguel ou financiamento)</t>
        </is>
      </c>
      <c r="B20" s="74" t="inlineStr">
        <is>
          <t>Necessidade</t>
        </is>
      </c>
      <c r="C20" s="75">
        <f>IF(B20="","",IF(B20="Receita","Receita",IF(B20="Poupança","Poupança",IF(B20="Transferência","Transferência","Despesa"))))</f>
        <v/>
      </c>
      <c r="E20" s="74" t="inlineStr">
        <is>
          <t>Débito automático</t>
        </is>
      </c>
      <c r="M20" s="75" t="inlineStr">
        <is>
          <t>Julho</t>
        </is>
      </c>
      <c r="O20" s="75">
        <f>ANO_INI+5</f>
        <v/>
      </c>
      <c r="Q20" s="75" t="inlineStr">
        <is>
          <t>Junho</t>
        </is>
      </c>
    </row>
    <row r="21">
      <c r="A21" s="74" t="inlineStr">
        <is>
          <t>Condomínio e IPTU</t>
        </is>
      </c>
      <c r="B21" s="74" t="inlineStr">
        <is>
          <t>Necessidade</t>
        </is>
      </c>
      <c r="C21" s="75">
        <f>IF(B21="","",IF(B21="Receita","Receita",IF(B21="Poupança","Poupança",IF(B21="Transferência","Transferência","Despesa"))))</f>
        <v/>
      </c>
      <c r="E21" s="74" t="inlineStr">
        <is>
          <t>Outro</t>
        </is>
      </c>
      <c r="M21" s="75" t="inlineStr">
        <is>
          <t>Agosto</t>
        </is>
      </c>
      <c r="O21" s="75">
        <f>ANO_INI+6</f>
        <v/>
      </c>
      <c r="Q21" s="75" t="inlineStr">
        <is>
          <t>Julho</t>
        </is>
      </c>
    </row>
    <row r="22">
      <c r="A22" s="74" t="inlineStr">
        <is>
          <t>Contas da casa (luz, água, gás)</t>
        </is>
      </c>
      <c r="B22" s="74" t="inlineStr">
        <is>
          <t>Necessidade</t>
        </is>
      </c>
      <c r="C22" s="75">
        <f>IF(B22="","",IF(B22="Receita","Receita",IF(B22="Poupança","Poupança",IF(B22="Transferência","Transferência","Despesa"))))</f>
        <v/>
      </c>
      <c r="E22" s="74" t="n"/>
      <c r="M22" s="75" t="inlineStr">
        <is>
          <t>Setembro</t>
        </is>
      </c>
      <c r="Q22" s="75" t="inlineStr">
        <is>
          <t>Agosto</t>
        </is>
      </c>
    </row>
    <row r="23">
      <c r="A23" s="74" t="inlineStr">
        <is>
          <t>Internet e celular</t>
        </is>
      </c>
      <c r="B23" s="74" t="inlineStr">
        <is>
          <t>Necessidade</t>
        </is>
      </c>
      <c r="C23" s="75">
        <f>IF(B23="","",IF(B23="Receita","Receita",IF(B23="Poupança","Poupança",IF(B23="Transferência","Transferência","Despesa"))))</f>
        <v/>
      </c>
      <c r="E23" s="74" t="n"/>
      <c r="M23" s="75" t="inlineStr">
        <is>
          <t>Outubro</t>
        </is>
      </c>
      <c r="Q23" s="75" t="inlineStr">
        <is>
          <t>Setembro</t>
        </is>
      </c>
    </row>
    <row r="24">
      <c r="A24" s="74" t="inlineStr">
        <is>
          <t>Mercado</t>
        </is>
      </c>
      <c r="B24" s="74" t="inlineStr">
        <is>
          <t>Necessidade</t>
        </is>
      </c>
      <c r="C24" s="75">
        <f>IF(B24="","",IF(B24="Receita","Receita",IF(B24="Poupança","Poupança",IF(B24="Transferência","Transferência","Despesa"))))</f>
        <v/>
      </c>
      <c r="E24" s="74" t="n"/>
      <c r="M24" s="75" t="inlineStr">
        <is>
          <t>Novembro</t>
        </is>
      </c>
      <c r="Q24" s="75" t="inlineStr">
        <is>
          <t>Outubro</t>
        </is>
      </c>
    </row>
    <row r="25">
      <c r="A25" s="74" t="inlineStr">
        <is>
          <t>Transporte</t>
        </is>
      </c>
      <c r="B25" s="74" t="inlineStr">
        <is>
          <t>Necessidade</t>
        </is>
      </c>
      <c r="C25" s="75">
        <f>IF(B25="","",IF(B25="Receita","Receita",IF(B25="Poupança","Poupança",IF(B25="Transferência","Transferência","Despesa"))))</f>
        <v/>
      </c>
      <c r="E25" s="74" t="n"/>
      <c r="M25" s="75" t="inlineStr">
        <is>
          <t>Dezembro</t>
        </is>
      </c>
      <c r="Q25" s="75" t="inlineStr">
        <is>
          <t>Novembro</t>
        </is>
      </c>
    </row>
    <row r="26">
      <c r="A26" s="74" t="inlineStr">
        <is>
          <t>Saúde e farmácia</t>
        </is>
      </c>
      <c r="B26" s="74" t="inlineStr">
        <is>
          <t>Necessidade</t>
        </is>
      </c>
      <c r="C26" s="75">
        <f>IF(B26="","",IF(B26="Receita","Receita",IF(B26="Poupança","Poupança",IF(B26="Transferência","Transferência","Despesa"))))</f>
        <v/>
      </c>
      <c r="Q26" s="75" t="inlineStr">
        <is>
          <t>Dezembro</t>
        </is>
      </c>
    </row>
    <row r="27">
      <c r="A27" s="74" t="inlineStr">
        <is>
          <t>Educação</t>
        </is>
      </c>
      <c r="B27" s="74" t="inlineStr">
        <is>
          <t>Necessidade</t>
        </is>
      </c>
      <c r="C27" s="75">
        <f>IF(B27="","",IF(B27="Receita","Receita",IF(B27="Poupança","Poupança",IF(B27="Transferência","Transferência","Despesa"))))</f>
        <v/>
      </c>
    </row>
    <row r="28">
      <c r="A28" s="74" t="inlineStr">
        <is>
          <t>Seguros</t>
        </is>
      </c>
      <c r="B28" s="74" t="inlineStr">
        <is>
          <t>Necessidade</t>
        </is>
      </c>
      <c r="C28" s="75">
        <f>IF(B28="","",IF(B28="Receita","Receita",IF(B28="Poupança","Poupança",IF(B28="Transferência","Transferência","Despesa"))))</f>
        <v/>
      </c>
    </row>
    <row r="29">
      <c r="A29" s="74" t="inlineStr">
        <is>
          <t>Impostos e taxas</t>
        </is>
      </c>
      <c r="B29" s="74" t="inlineStr">
        <is>
          <t>Necessidade</t>
        </is>
      </c>
      <c r="C29" s="75">
        <f>IF(B29="","",IF(B29="Receita","Receita",IF(B29="Poupança","Poupança",IF(B29="Transferência","Transferência","Despesa"))))</f>
        <v/>
      </c>
    </row>
    <row r="30">
      <c r="A30" s="74" t="inlineStr">
        <is>
          <t>Dívidas e parcelas</t>
        </is>
      </c>
      <c r="B30" s="74" t="inlineStr">
        <is>
          <t>Necessidade</t>
        </is>
      </c>
      <c r="C30" s="75">
        <f>IF(B30="","",IF(B30="Receita","Receita",IF(B30="Poupança","Poupança",IF(B30="Transferência","Transferência","Despesa"))))</f>
        <v/>
      </c>
    </row>
    <row r="31">
      <c r="A31" s="74" t="inlineStr">
        <is>
          <t>Filhos e família</t>
        </is>
      </c>
      <c r="B31" s="74" t="inlineStr">
        <is>
          <t>Necessidade</t>
        </is>
      </c>
      <c r="C31" s="75">
        <f>IF(B31="","",IF(B31="Receita","Receita",IF(B31="Poupança","Poupança",IF(B31="Transferência","Transferência","Despesa"))))</f>
        <v/>
      </c>
    </row>
    <row r="32">
      <c r="A32" s="74" t="inlineStr">
        <is>
          <t>Pets</t>
        </is>
      </c>
      <c r="B32" s="74" t="inlineStr">
        <is>
          <t>Necessidade</t>
        </is>
      </c>
      <c r="C32" s="75">
        <f>IF(B32="","",IF(B32="Receita","Receita",IF(B32="Poupança","Poupança",IF(B32="Transferência","Transferência","Despesa"))))</f>
        <v/>
      </c>
    </row>
    <row r="33">
      <c r="A33" s="74" t="inlineStr">
        <is>
          <t>Restaurantes e delivery</t>
        </is>
      </c>
      <c r="B33" s="74" t="inlineStr">
        <is>
          <t>Desejo</t>
        </is>
      </c>
      <c r="C33" s="75">
        <f>IF(B33="","",IF(B33="Receita","Receita",IF(B33="Poupança","Poupança",IF(B33="Transferência","Transferência","Despesa"))))</f>
        <v/>
      </c>
    </row>
    <row r="34">
      <c r="A34" s="74" t="inlineStr">
        <is>
          <t>Lazer e entretenimento</t>
        </is>
      </c>
      <c r="B34" s="74" t="inlineStr">
        <is>
          <t>Desejo</t>
        </is>
      </c>
      <c r="C34" s="75">
        <f>IF(B34="","",IF(B34="Receita","Receita",IF(B34="Poupança","Poupança",IF(B34="Transferência","Transferência","Despesa"))))</f>
        <v/>
      </c>
    </row>
    <row r="35">
      <c r="A35" s="74" t="inlineStr">
        <is>
          <t>Viagens</t>
        </is>
      </c>
      <c r="B35" s="74" t="inlineStr">
        <is>
          <t>Desejo</t>
        </is>
      </c>
      <c r="C35" s="75">
        <f>IF(B35="","",IF(B35="Receita","Receita",IF(B35="Poupança","Poupança",IF(B35="Transferência","Transferência","Despesa"))))</f>
        <v/>
      </c>
    </row>
    <row r="36">
      <c r="A36" s="74" t="inlineStr">
        <is>
          <t>Assinaturas e streaming</t>
        </is>
      </c>
      <c r="B36" s="74" t="inlineStr">
        <is>
          <t>Desejo</t>
        </is>
      </c>
      <c r="C36" s="75">
        <f>IF(B36="","",IF(B36="Receita","Receita",IF(B36="Poupança","Poupança",IF(B36="Transferência","Transferência","Despesa"))))</f>
        <v/>
      </c>
    </row>
    <row r="37">
      <c r="A37" s="74" t="inlineStr">
        <is>
          <t>Compras pessoais</t>
        </is>
      </c>
      <c r="B37" s="74" t="inlineStr">
        <is>
          <t>Desejo</t>
        </is>
      </c>
      <c r="C37" s="75">
        <f>IF(B37="","",IF(B37="Receita","Receita",IF(B37="Poupança","Poupança",IF(B37="Transferência","Transferência","Despesa"))))</f>
        <v/>
      </c>
    </row>
    <row r="38">
      <c r="A38" s="74" t="inlineStr">
        <is>
          <t>Beleza e cuidados</t>
        </is>
      </c>
      <c r="B38" s="74" t="inlineStr">
        <is>
          <t>Desejo</t>
        </is>
      </c>
      <c r="C38" s="75">
        <f>IF(B38="","",IF(B38="Receita","Receita",IF(B38="Poupança","Poupança",IF(B38="Transferência","Transferência","Despesa"))))</f>
        <v/>
      </c>
    </row>
    <row r="39">
      <c r="A39" s="74" t="inlineStr">
        <is>
          <t>Presentes e doações</t>
        </is>
      </c>
      <c r="B39" s="74" t="inlineStr">
        <is>
          <t>Desejo</t>
        </is>
      </c>
      <c r="C39" s="75">
        <f>IF(B39="","",IF(B39="Receita","Receita",IF(B39="Poupança","Poupança",IF(B39="Transferência","Transferência","Despesa"))))</f>
        <v/>
      </c>
    </row>
    <row r="40">
      <c r="A40" s="74" t="inlineStr">
        <is>
          <t>Outros gastos</t>
        </is>
      </c>
      <c r="B40" s="74" t="inlineStr">
        <is>
          <t>Desejo</t>
        </is>
      </c>
      <c r="C40" s="75">
        <f>IF(B40="","",IF(B40="Receita","Receita",IF(B40="Poupança","Poupança",IF(B40="Transferência","Transferência","Despesa"))))</f>
        <v/>
      </c>
    </row>
    <row r="41">
      <c r="A41" s="74" t="inlineStr">
        <is>
          <t>Reserva de emergência</t>
        </is>
      </c>
      <c r="B41" s="74" t="inlineStr">
        <is>
          <t>Poupança</t>
        </is>
      </c>
      <c r="C41" s="75">
        <f>IF(B41="","",IF(B41="Receita","Receita",IF(B41="Poupança","Poupança",IF(B41="Transferência","Transferência","Despesa"))))</f>
        <v/>
      </c>
    </row>
    <row r="42">
      <c r="A42" s="74" t="inlineStr">
        <is>
          <t>Investimentos</t>
        </is>
      </c>
      <c r="B42" s="74" t="inlineStr">
        <is>
          <t>Poupança</t>
        </is>
      </c>
      <c r="C42" s="75">
        <f>IF(B42="","",IF(B42="Receita","Receita",IF(B42="Poupança","Poupança",IF(B42="Transferência","Transferência","Despesa"))))</f>
        <v/>
      </c>
    </row>
    <row r="43">
      <c r="A43" s="74" t="inlineStr">
        <is>
          <t>Metas e sonhos</t>
        </is>
      </c>
      <c r="B43" s="74" t="inlineStr">
        <is>
          <t>Poupança</t>
        </is>
      </c>
      <c r="C43" s="75">
        <f>IF(B43="","",IF(B43="Receita","Receita",IF(B43="Poupança","Poupança",IF(B43="Transferência","Transferência","Despesa"))))</f>
        <v/>
      </c>
    </row>
    <row r="44">
      <c r="A44" s="74" t="inlineStr">
        <is>
          <t>Aposentadoria</t>
        </is>
      </c>
      <c r="B44" s="74" t="inlineStr">
        <is>
          <t>Poupança</t>
        </is>
      </c>
      <c r="C44" s="75">
        <f>IF(B44="","",IF(B44="Receita","Receita",IF(B44="Poupança","Poupança",IF(B44="Transferência","Transferência","Despesa"))))</f>
        <v/>
      </c>
    </row>
    <row r="45">
      <c r="A45" s="74" t="inlineStr">
        <is>
          <t>Transferência entre contas</t>
        </is>
      </c>
      <c r="B45" s="74" t="inlineStr">
        <is>
          <t>Transferência</t>
        </is>
      </c>
      <c r="C45" s="75">
        <f>IF(B45="","",IF(B45="Receita","Receita",IF(B45="Poupança","Poupança",IF(B45="Transferência","Transferência","Despesa"))))</f>
        <v/>
      </c>
    </row>
    <row r="46">
      <c r="A46" s="74" t="inlineStr">
        <is>
          <t>Pagamento de fatura</t>
        </is>
      </c>
      <c r="B46" s="74" t="inlineStr">
        <is>
          <t>Transferência</t>
        </is>
      </c>
      <c r="C46" s="75">
        <f>IF(B46="","",IF(B46="Receita","Receita",IF(B46="Poupança","Poupança",IF(B46="Transferência","Transferência","Despesa"))))</f>
        <v/>
      </c>
    </row>
    <row r="47">
      <c r="A47" s="74" t="n"/>
      <c r="B47" s="74" t="n"/>
      <c r="C47" s="75">
        <f>IF(B47="","",IF(B47="Receita","Receita",IF(B47="Poupança","Poupança",IF(B47="Transferência","Transferência","Despesa"))))</f>
        <v/>
      </c>
    </row>
    <row r="48">
      <c r="A48" s="74" t="n"/>
      <c r="B48" s="74" t="n"/>
      <c r="C48" s="75">
        <f>IF(B48="","",IF(B48="Receita","Receita",IF(B48="Poupança","Poupança",IF(B48="Transferência","Transferência","Despesa"))))</f>
        <v/>
      </c>
    </row>
    <row r="49">
      <c r="A49" s="74" t="n"/>
      <c r="B49" s="74" t="n"/>
      <c r="C49" s="75">
        <f>IF(B49="","",IF(B49="Receita","Receita",IF(B49="Poupança","Poupança",IF(B49="Transferência","Transferência","Despesa"))))</f>
        <v/>
      </c>
    </row>
    <row r="50">
      <c r="A50" s="74" t="n"/>
      <c r="B50" s="74" t="n"/>
      <c r="C50" s="75">
        <f>IF(B50="","",IF(B50="Receita","Receita",IF(B50="Poupança","Poupança",IF(B50="Transferência","Transferência","Despesa"))))</f>
        <v/>
      </c>
    </row>
    <row r="51">
      <c r="A51" s="74" t="n"/>
      <c r="B51" s="74" t="n"/>
      <c r="C51" s="75">
        <f>IF(B51="","",IF(B51="Receita","Receita",IF(B51="Poupança","Poupança",IF(B51="Transferência","Transferência","Despesa"))))</f>
        <v/>
      </c>
    </row>
    <row r="52">
      <c r="A52" s="74" t="n"/>
      <c r="B52" s="74" t="n"/>
      <c r="C52" s="75">
        <f>IF(B52="","",IF(B52="Receita","Receita",IF(B52="Poupança","Poupança",IF(B52="Transferência","Transferência","Despesa"))))</f>
        <v/>
      </c>
    </row>
    <row r="53">
      <c r="A53" s="74" t="n"/>
      <c r="B53" s="74" t="n"/>
      <c r="C53" s="75">
        <f>IF(B53="","",IF(B53="Receita","Receita",IF(B53="Poupança","Poupança",IF(B53="Transferência","Transferência","Despesa"))))</f>
        <v/>
      </c>
    </row>
    <row r="54">
      <c r="A54" s="74" t="n"/>
      <c r="B54" s="74" t="n"/>
      <c r="C54" s="75">
        <f>IF(B54="","",IF(B54="Receita","Receita",IF(B54="Poupança","Poupança",IF(B54="Transferência","Transferência","Despesa"))))</f>
        <v/>
      </c>
    </row>
    <row r="55">
      <c r="A55" s="74" t="n"/>
      <c r="B55" s="74" t="n"/>
      <c r="C55" s="75">
        <f>IF(B55="","",IF(B55="Receita","Receita",IF(B55="Poupança","Poupança",IF(B55="Transferência","Transferência","Despesa"))))</f>
        <v/>
      </c>
    </row>
    <row r="56">
      <c r="A56" s="74" t="n"/>
      <c r="B56" s="74" t="n"/>
      <c r="C56" s="75">
        <f>IF(B56="","",IF(B56="Receita","Receita",IF(B56="Poupança","Poupança",IF(B56="Transferência","Transferência","Despesa"))))</f>
        <v/>
      </c>
    </row>
    <row r="57">
      <c r="A57" s="74" t="n"/>
      <c r="B57" s="74" t="n"/>
      <c r="C57" s="75">
        <f>IF(B57="","",IF(B57="Receita","Receita",IF(B57="Poupança","Poupança",IF(B57="Transferência","Transferência","Despesa"))))</f>
        <v/>
      </c>
    </row>
    <row r="58">
      <c r="A58" s="74" t="n"/>
      <c r="B58" s="74" t="n"/>
      <c r="C58" s="75">
        <f>IF(B58="","",IF(B58="Receita","Receita",IF(B58="Poupança","Poupança",IF(B58="Transferência","Transferência","Despesa"))))</f>
        <v/>
      </c>
    </row>
    <row r="59">
      <c r="A59" s="74" t="n"/>
      <c r="B59" s="74" t="n"/>
      <c r="C59" s="75">
        <f>IF(B59="","",IF(B59="Receita","Receita",IF(B59="Poupança","Poupança",IF(B59="Transferência","Transferência","Despesa"))))</f>
        <v/>
      </c>
    </row>
    <row r="60">
      <c r="A60" s="74" t="n"/>
      <c r="B60" s="74" t="n"/>
      <c r="C60" s="75">
        <f>IF(B60="","",IF(B60="Receita","Receita",IF(B60="Poupança","Poupança",IF(B60="Transferência","Transferência","Despesa"))))</f>
        <v/>
      </c>
    </row>
    <row r="61">
      <c r="A61" s="74" t="n"/>
      <c r="B61" s="74" t="n"/>
      <c r="C61" s="75">
        <f>IF(B61="","",IF(B61="Receita","Receita",IF(B61="Poupança","Poupança",IF(B61="Transferência","Transferência","Despesa"))))</f>
        <v/>
      </c>
    </row>
    <row r="63">
      <c r="A63" s="59" t="inlineStr">
        <is>
          <t>Dica: ao RENOMEAR uma categoria já usada, troque também o nome nos lançamentos (Ctrl+H, coluna Categoria).</t>
        </is>
      </c>
    </row>
    <row r="64">
      <c r="A64" s="59" t="inlineStr">
        <is>
          <t>Para criar uma nova, use uma linha vazia acima e escolha o grupo: ela já aparece nas listas e nos relatórios.</t>
        </is>
      </c>
    </row>
  </sheetData>
  <dataValidations count="2">
    <dataValidation sqref="B14:B61" showDropDown="0" showInputMessage="0" showErrorMessage="1" allowBlank="1" errorTitle="Grupo inválido" error="Escolha um grupo da lista: Necessidade, Desejo, Poupança, Receita ou Transferência." type="list">
      <formula1>=LISTA_GRUPOS</formula1>
    </dataValidation>
    <dataValidation sqref="B7:B8" showDropDown="0" showInputMessage="0" showErrorMessage="1" allowBlank="1" errorTitle="Percentual inválido" error="Digite um percentual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tabColor rgb="007A7A7A"/>
    <outlinePr summaryBelow="1" summaryRight="1"/>
    <pageSetUpPr fitToPage="1"/>
  </sheetPr>
  <dimension ref="A1:C39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0" customWidth="1" min="3" max="3"/>
  </cols>
  <sheetData>
    <row r="1" ht="30" customHeight="1">
      <c r="A1" s="64" t="inlineStr">
        <is>
          <t>Sobre esta planilha</t>
        </is>
      </c>
    </row>
    <row r="2">
      <c r="A2" s="65" t="inlineStr">
        <is>
          <t>Versão 2.0 · 05/10/2026 · feita pelo Theros</t>
        </is>
      </c>
    </row>
    <row r="4" ht="34" customHeight="1">
      <c r="B4" s="149" t="inlineStr">
        <is>
          <t>Versão</t>
        </is>
      </c>
      <c r="C4" s="150" t="inlineStr">
        <is>
          <t>2.0 (05/10/2026) · versão com dados de exemplo (fictícios)</t>
        </is>
      </c>
    </row>
    <row r="5" ht="34" customHeight="1">
      <c r="B5" s="149" t="inlineStr">
        <is>
          <t>Para quem é</t>
        </is>
      </c>
      <c r="C5" s="150" t="inlineStr">
        <is>
          <t>Pessoas que querem controlar o dinheiro sem depender de aplicativo: contas, cartões com parcelas, orçamento, metas, dívidas e patrimônio em um só arquivo.</t>
        </is>
      </c>
    </row>
    <row r="6" ht="34" customHeight="1">
      <c r="B6" s="149" t="inlineStr">
        <is>
          <t>Compatibilidade</t>
        </is>
      </c>
      <c r="C6" s="150" t="inlineStr">
        <is>
          <t>Feita para Excel 2016 ou mais novo, Google Planilhas, Numbers e LibreOffice, só com funções comuns aos quatro, sem macros e sem links para outros arquivos. Conferida no Excel; nos demais, gráficos e barras de dados podem ficar diferentes.</t>
        </is>
      </c>
    </row>
    <row r="7" ht="34" customHeight="1">
      <c r="B7" s="149" t="inlineStr">
        <is>
          <t>Limites</t>
        </is>
      </c>
      <c r="C7" s="150" t="inlineStr">
        <is>
          <t>Até 5.000 lançamentos, 12 contas, 6 cartões, 60 compras parceladas, 10 dívidas, 12 metas, 20 ativos de investimento e 48 categorias.</t>
        </is>
      </c>
    </row>
    <row r="9">
      <c r="B9" s="5" t="inlineStr">
        <is>
          <t>O que mudou na versão 2.0</t>
        </is>
      </c>
    </row>
    <row r="10" ht="22" customHeight="1">
      <c r="B10" s="151" t="inlineStr">
        <is>
          <t>• Painel com 8 indicadores, nota de saúde financeira de 0 a 100 (regras abertas), 6 gráficos e 3 destaques do mês.</t>
        </is>
      </c>
    </row>
    <row r="11" ht="22" customHeight="1">
      <c r="B11" s="151" t="inlineStr">
        <is>
          <t>• Contas com saldo calculado dos lançamentos e conferência com o extrato; Cartões com fatura por dia de fechamento.</t>
        </is>
      </c>
    </row>
    <row r="12" ht="22" customHeight="1">
      <c r="B12" s="151" t="inlineStr">
        <is>
          <t>• Compras parceladas cadastradas uma única vez, com projeção das próximas faturas mês a mês.</t>
        </is>
      </c>
    </row>
    <row r="13" ht="22" customHeight="1">
      <c r="B13" s="151" t="inlineStr">
        <is>
          <t>• Orçamento planejado x realizado por categoria e mês, com atalhos 50/30/20, 60/30/10, 70/20/10 e base zero.</t>
        </is>
      </c>
    </row>
    <row r="14" ht="22" customHeight="1">
      <c r="B14" s="151" t="inlineStr">
        <is>
          <t>• Fluxo de caixa anual com mapa de calor, melhor e pior mês; Dia a dia com "quanto posso gastar por dia".</t>
        </is>
      </c>
    </row>
    <row r="15" ht="22" customHeight="1">
      <c r="B15" s="151" t="inlineStr">
        <is>
          <t>• Metas com aporte necessário (PMT) e data de conclusão (NPER); Reserva de emergência por perfil profissional.</t>
        </is>
      </c>
    </row>
    <row r="16" ht="22" customHeight="1">
      <c r="B16" s="151" t="inlineStr">
        <is>
          <t>• Dívidas: bola de neve x avalanche x só o mínimo, cronograma de 60 meses por fórmulas (sem macro).</t>
        </is>
      </c>
    </row>
    <row r="17" ht="22" customHeight="1">
      <c r="B17" s="151" t="inlineStr">
        <is>
          <t>• Investimentos: alocação atual x alvo e patrimônio líquido com histórico; Contas a pagar; Assinaturas; Recorrentes e previsão.</t>
        </is>
      </c>
    </row>
    <row r="18" ht="22" customHeight="1">
      <c r="B18" s="151" t="inlineStr">
        <is>
          <t>• Simuladores: juros compostos, independência financeira (regra dos 25x) e o custo do seu hábito.</t>
        </is>
      </c>
    </row>
    <row r="19" ht="22" customHeight="1">
      <c r="B19" s="151" t="inlineStr">
        <is>
          <t>• Versão 1.0 (outubro de 2026): lançamentos, resumo mensal, gastos por categoria, orçamento 50/30/20 e plano de dívidas.</t>
        </is>
      </c>
    </row>
    <row r="21">
      <c r="B21" s="5" t="inlineStr">
        <is>
          <t>Feedback e sugestões</t>
        </is>
      </c>
    </row>
    <row r="22">
      <c r="B22" s="12" t="inlineStr">
        <is>
          <t>Fale com a gente</t>
        </is>
      </c>
      <c r="C22" s="19" t="inlineStr">
        <is>
          <t>rafaelfurlan@lunanexgen.com</t>
        </is>
      </c>
    </row>
    <row r="23" ht="30" customHeight="1">
      <c r="C23" s="152" t="inlineStr">
        <is>
          <t>Achou um erro, quer uma categoria, aba ou fórmula nova? Escreva contando qual versão do Excel ou Google Planilhas você usa.</t>
        </is>
      </c>
    </row>
    <row r="24">
      <c r="B24" s="12" t="inlineStr">
        <is>
          <t>Conheça o Theros</t>
        </is>
      </c>
      <c r="C24" s="19" t="inlineStr">
        <is>
          <t>https://therosapp.com/controle-financeiro?utm_source=planilha&amp;utm_medium=xlsx&amp;utm_campaign=download</t>
        </is>
      </c>
    </row>
    <row r="26">
      <c r="B26" s="5" t="inlineStr">
        <is>
          <t>Avisos</t>
        </is>
      </c>
    </row>
    <row r="27" ht="22" customHeight="1">
      <c r="B27" s="151" t="inlineStr">
        <is>
          <t>• Esta planilha é uma ferramenta de organização e não é consultoria financeira, contábil, tributária ou de investimentos.</t>
        </is>
      </c>
    </row>
    <row r="28" ht="22" customHeight="1">
      <c r="B28" s="151" t="inlineStr">
        <is>
          <t>• Simuladores, previsões e metas usam premissas que você informa e juros compostos mensais: são estimativas, não garantia de resultado.</t>
        </is>
      </c>
    </row>
    <row r="29" ht="22" customHeight="1">
      <c r="B29" s="151" t="inlineStr">
        <is>
          <t>• Confira os saldos com os extratos do banco (coluna "Saldo no extrato" da aba Contas). Os dados ficam só no seu arquivo.</t>
        </is>
      </c>
    </row>
    <row r="30" ht="22" customHeight="1">
      <c r="B30" s="151" t="inlineStr">
        <is>
          <t>• Se algo aparecer diferente no seu Excel ou Google Planilhas (gráficos, barras de dados, cores), avise pelo e-mail acima.</t>
        </is>
      </c>
    </row>
    <row r="32">
      <c r="B32" s="5" t="inlineStr">
        <is>
          <t>Termos de uso</t>
        </is>
      </c>
    </row>
    <row r="33" ht="34" customHeight="1">
      <c r="B33" s="151" t="inlineStr">
        <is>
          <t>• Uso livre e gratuito: você pode usar esta planilha nas suas finanças pessoais e no seu negócio (inclusive como MEI), sem pagar nada e sem cadastro.</t>
        </is>
      </c>
    </row>
    <row r="34" ht="34" customHeight="1">
      <c r="B34" s="151" t="inlineStr">
        <is>
          <t>• Pode adaptar: altere, apague abas e faça cópias para você, sua família ou sua empresa.</t>
        </is>
      </c>
    </row>
    <row r="35" ht="34" customHeight="1">
      <c r="B35" s="151" t="inlineStr">
        <is>
          <t>• Pode compartilhar o arquivo original, de graça e sem alterações, com o nome Theros e estes termos mantidos. Para indicar a amigos, o melhor é mandar o link: https://therosapp.com/planilha-de-controle-financeiro</t>
        </is>
      </c>
    </row>
    <row r="36" ht="34" customHeight="1">
      <c r="B36" s="151" t="inlineStr">
        <is>
          <t>• Não pode: vender, alugar ou cobrar pelo arquivo (original ou modificado), distribuí-lo como se fosse de outra pessoa ou usar o nome e a marca Theros para promover outro produto.</t>
        </is>
      </c>
    </row>
    <row r="37" ht="34" customHeight="1">
      <c r="B37" s="151" t="inlineStr">
        <is>
          <t>• Sem garantia: a planilha é oferecida "como está", sem garantia de resultado, de adequação a um fim específico ou de ausência de erros. Você a usa por sua conta e risco e deve conferir os números importantes.</t>
        </is>
      </c>
    </row>
    <row r="38" ht="34" customHeight="1">
      <c r="B38" s="151" t="inlineStr">
        <is>
          <t>• Seus dados ficam só no seu arquivo: a planilha não envia nada ao Theros. Cuide da cópia como de qualquer documento financeiro.</t>
        </is>
      </c>
    </row>
    <row r="39" ht="34" customHeight="1">
      <c r="B39" s="151" t="inlineStr">
        <is>
          <t>• © 2026 Theros (therosapp.com). Todos os direitos reservados, exceto o que estes termos concedem. Termos da versão 2.0; podem mudar em versões futuras.</t>
        </is>
      </c>
    </row>
  </sheetData>
  <mergeCells count="21">
    <mergeCell ref="B16:C16"/>
    <mergeCell ref="B27:C27"/>
    <mergeCell ref="B18:C18"/>
    <mergeCell ref="B12:C12"/>
    <mergeCell ref="B39:C39"/>
    <mergeCell ref="B11:C11"/>
    <mergeCell ref="B14:C14"/>
    <mergeCell ref="B17:C17"/>
    <mergeCell ref="B13:C13"/>
    <mergeCell ref="B38:C38"/>
    <mergeCell ref="B29:C29"/>
    <mergeCell ref="B19:C19"/>
    <mergeCell ref="B34:C34"/>
    <mergeCell ref="B37:C37"/>
    <mergeCell ref="B10:C10"/>
    <mergeCell ref="B28:C28"/>
    <mergeCell ref="B30:C30"/>
    <mergeCell ref="B15:C15"/>
    <mergeCell ref="B33:C33"/>
    <mergeCell ref="B36:C36"/>
    <mergeCell ref="B35:C35"/>
  </mergeCells>
  <hyperlinks>
    <hyperlink xmlns:r="http://schemas.openxmlformats.org/officeDocument/2006/relationships" ref="C22" r:id="rId1"/>
    <hyperlink xmlns:r="http://schemas.openxmlformats.org/officeDocument/2006/relationships" ref="C24" r:id="rId2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9A9A9A"/>
    <outlinePr summaryBelow="1" summaryRight="1"/>
    <pageSetUpPr fitToPage="1"/>
  </sheetPr>
  <dimension ref="A1:AU216"/>
  <sheetViews>
    <sheetView showGridLines="0" zoomScale="10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</cols>
  <sheetData>
    <row r="1" ht="30" customHeight="1">
      <c r="A1" s="64" t="inlineStr">
        <is>
          <t>Cálculo das dívidas (motor)</t>
        </is>
      </c>
    </row>
    <row r="2">
      <c r="A2" s="65" t="inlineStr">
        <is>
          <t>Aba de apoio da aba Dívidas: não precisa mexer aqui. Cada linha é um mês do plano; os juros são arredondados em centavos, como no banco.</t>
        </is>
      </c>
    </row>
    <row r="3" ht="30" customHeight="1">
      <c r="G3" s="44" t="inlineStr">
        <is>
          <t>Método</t>
        </is>
      </c>
      <c r="H3" s="44" t="inlineStr">
        <is>
          <t>Meses para quitar</t>
        </is>
      </c>
      <c r="I3" s="44" t="inlineStr">
        <is>
          <t>Data de quitação</t>
        </is>
      </c>
      <c r="J3" s="44" t="inlineStr">
        <is>
          <t>Total pago (R$)</t>
        </is>
      </c>
      <c r="K3" s="44" t="inlineStr">
        <is>
          <t>Juros totais (R$)</t>
        </is>
      </c>
      <c r="L3" s="44" t="inlineStr">
        <is>
          <t>Quita em 60 meses?</t>
        </is>
      </c>
    </row>
    <row r="4">
      <c r="A4" s="12" t="inlineStr">
        <is>
          <t>Extra por mês</t>
        </is>
      </c>
      <c r="B4" s="84">
        <f>N('Dívidas'!$B$4)</f>
        <v/>
      </c>
      <c r="G4" s="100" t="inlineStr">
        <is>
          <t>Só o mínimo</t>
        </is>
      </c>
      <c r="H4" s="97">
        <f>IF($B$7=0,0,IFERROR(MATCH(0,AI157:AI216,0),0))</f>
        <v/>
      </c>
      <c r="I4" s="96">
        <f>IF(H4=0,"",EDATE($B$5,H4-1))</f>
        <v/>
      </c>
      <c r="J4" s="84">
        <f>SUM(AG157:AG216)</f>
        <v/>
      </c>
      <c r="K4" s="84">
        <f>SUM(AH157:AH216)</f>
        <v/>
      </c>
      <c r="L4" s="102">
        <f>IF($B$7=0,"-",IF(H4&gt;0,"Sim","Não"))</f>
        <v/>
      </c>
    </row>
    <row r="5">
      <c r="A5" s="12" t="inlineStr">
        <is>
          <t>Início do plano</t>
        </is>
      </c>
      <c r="B5" s="147">
        <f>'Dívidas'!$B$5</f>
        <v/>
      </c>
      <c r="G5" s="100" t="inlineStr">
        <is>
          <t>Bola de neve</t>
        </is>
      </c>
      <c r="H5" s="97">
        <f>IF($B$7=0,0,IFERROR(MATCH(0,AT25:AT84,0),0))</f>
        <v/>
      </c>
      <c r="I5" s="96">
        <f>IF(H5=0,"",EDATE($B$5,H5-1))</f>
        <v/>
      </c>
      <c r="J5" s="84">
        <f>SUM(AR25:AR84)</f>
        <v/>
      </c>
      <c r="K5" s="84">
        <f>SUM(AS25:AS84)</f>
        <v/>
      </c>
      <c r="L5" s="102">
        <f>IF($B$7=0,"-",IF(H5&gt;0,"Sim","Não"))</f>
        <v/>
      </c>
    </row>
    <row r="6">
      <c r="A6" s="12" t="inlineStr">
        <is>
          <t>Total por mês (mínimos + extra)</t>
        </is>
      </c>
      <c r="B6" s="85">
        <f>SUMIFS('Dívidas'!$D$9:$D$18,'Dívidas'!$B$9:$B$18,"&gt;0")+B4</f>
        <v/>
      </c>
      <c r="G6" s="100" t="inlineStr">
        <is>
          <t>Avalanche</t>
        </is>
      </c>
      <c r="H6" s="97">
        <f>IF($B$7=0,0,IFERROR(MATCH(0,AT91:AT150,0),0))</f>
        <v/>
      </c>
      <c r="I6" s="96">
        <f>IF(H6=0,"",EDATE($B$5,H6-1))</f>
        <v/>
      </c>
      <c r="J6" s="84">
        <f>SUM(AR91:AR150)</f>
        <v/>
      </c>
      <c r="K6" s="84">
        <f>SUM(AS91:AS150)</f>
        <v/>
      </c>
      <c r="L6" s="102">
        <f>IF($B$7=0,"-",IF(H6&gt;0,"Sim","Não"))</f>
        <v/>
      </c>
    </row>
    <row r="7">
      <c r="A7" s="12" t="inlineStr">
        <is>
          <t>Dívidas ativas</t>
        </is>
      </c>
      <c r="B7" s="128">
        <f>COUNTIF('Dívidas'!$B$9:$B$18,"&gt;0")</f>
        <v/>
      </c>
    </row>
    <row r="8">
      <c r="A8" s="5" t="inlineStr">
        <is>
          <t>Ordem da bola de neve (menor saldo primeiro)</t>
        </is>
      </c>
      <c r="G8" s="5" t="inlineStr">
        <is>
          <t>Ordem da avalanche (maior juros primeiro)</t>
        </is>
      </c>
      <c r="M8" s="5" t="inlineStr">
        <is>
          <t>Ordem original (só o mínimo)</t>
        </is>
      </c>
    </row>
    <row r="9" ht="20" customHeight="1">
      <c r="A9" s="44" t="inlineStr">
        <is>
          <t>nº</t>
        </is>
      </c>
      <c r="B9" s="44" t="inlineStr">
        <is>
          <t>Dívida</t>
        </is>
      </c>
      <c r="C9" s="44" t="inlineStr">
        <is>
          <t>Saldo</t>
        </is>
      </c>
      <c r="D9" s="44" t="inlineStr">
        <is>
          <t>Juros a.m.</t>
        </is>
      </c>
      <c r="E9" s="44" t="inlineStr">
        <is>
          <t>Mínimo</t>
        </is>
      </c>
      <c r="G9" s="44" t="inlineStr">
        <is>
          <t>nº</t>
        </is>
      </c>
      <c r="H9" s="44" t="inlineStr">
        <is>
          <t>Dívida</t>
        </is>
      </c>
      <c r="I9" s="44" t="inlineStr">
        <is>
          <t>Saldo</t>
        </is>
      </c>
      <c r="J9" s="44" t="inlineStr">
        <is>
          <t>Juros a.m.</t>
        </is>
      </c>
      <c r="K9" s="44" t="inlineStr">
        <is>
          <t>Mínimo</t>
        </is>
      </c>
      <c r="M9" s="44" t="inlineStr">
        <is>
          <t>nº</t>
        </is>
      </c>
      <c r="N9" s="44" t="inlineStr">
        <is>
          <t>Dívida</t>
        </is>
      </c>
      <c r="O9" s="44" t="inlineStr">
        <is>
          <t>Saldo</t>
        </is>
      </c>
      <c r="P9" s="44" t="inlineStr">
        <is>
          <t>Juros a.m.</t>
        </is>
      </c>
      <c r="Q9" s="44" t="inlineStr">
        <is>
          <t>Mínimo</t>
        </is>
      </c>
    </row>
    <row r="10">
      <c r="A10" s="153" t="n">
        <v>1</v>
      </c>
      <c r="B10" s="75">
        <f>IFERROR(INDEX('Dívidas'!$A$9:$A$18,MATCH($A10,'Dívidas'!$E$9:$E$18,0)),"")</f>
        <v/>
      </c>
      <c r="C10" s="84">
        <f>IFERROR(INDEX('Dívidas'!$B$9:$B$18,MATCH($A10,'Dívidas'!$E$9:$E$18,0)),0)</f>
        <v/>
      </c>
      <c r="D10" s="148">
        <f>IFERROR(INDEX('Dívidas'!$C$9:$C$18,MATCH($A10,'Dívidas'!$E$9:$E$18,0))/100,0)</f>
        <v/>
      </c>
      <c r="E10" s="84">
        <f>IFERROR(INDEX('Dívidas'!$D$9:$D$18,MATCH($A10,'Dívidas'!$E$9:$E$18,0)),0)</f>
        <v/>
      </c>
      <c r="G10" s="153" t="n">
        <v>1</v>
      </c>
      <c r="H10" s="75">
        <f>IFERROR(INDEX('Dívidas'!$A$9:$A$18,MATCH($G10,'Dívidas'!$F$9:$F$18,0)),"")</f>
        <v/>
      </c>
      <c r="I10" s="84">
        <f>IFERROR(INDEX('Dívidas'!$B$9:$B$18,MATCH($G10,'Dívidas'!$F$9:$F$18,0)),0)</f>
        <v/>
      </c>
      <c r="J10" s="148">
        <f>IFERROR(INDEX('Dívidas'!$C$9:$C$18,MATCH($G10,'Dívidas'!$F$9:$F$18,0))/100,0)</f>
        <v/>
      </c>
      <c r="K10" s="84">
        <f>IFERROR(INDEX('Dívidas'!$D$9:$D$18,MATCH($G10,'Dívidas'!$F$9:$F$18,0)),0)</f>
        <v/>
      </c>
      <c r="M10" s="153" t="n">
        <v>1</v>
      </c>
      <c r="N10" s="75">
        <f>IF(N('Dívidas'!$B9)&gt;0,'Dívidas'!$A9,"")</f>
        <v/>
      </c>
      <c r="O10" s="84">
        <f>MAX(0,N('Dívidas'!$B9))</f>
        <v/>
      </c>
      <c r="P10" s="148">
        <f>N('Dívidas'!$C9)/100</f>
        <v/>
      </c>
      <c r="Q10" s="84">
        <f>IF(N('Dívidas'!$B9)&gt;0,N('Dívidas'!$D9),0)</f>
        <v/>
      </c>
    </row>
    <row r="11">
      <c r="A11" s="153" t="n">
        <v>2</v>
      </c>
      <c r="B11" s="75">
        <f>IFERROR(INDEX('Dívidas'!$A$9:$A$18,MATCH($A11,'Dívidas'!$E$9:$E$18,0)),"")</f>
        <v/>
      </c>
      <c r="C11" s="84">
        <f>IFERROR(INDEX('Dívidas'!$B$9:$B$18,MATCH($A11,'Dívidas'!$E$9:$E$18,0)),0)</f>
        <v/>
      </c>
      <c r="D11" s="148">
        <f>IFERROR(INDEX('Dívidas'!$C$9:$C$18,MATCH($A11,'Dívidas'!$E$9:$E$18,0))/100,0)</f>
        <v/>
      </c>
      <c r="E11" s="84">
        <f>IFERROR(INDEX('Dívidas'!$D$9:$D$18,MATCH($A11,'Dívidas'!$E$9:$E$18,0)),0)</f>
        <v/>
      </c>
      <c r="G11" s="153" t="n">
        <v>2</v>
      </c>
      <c r="H11" s="75">
        <f>IFERROR(INDEX('Dívidas'!$A$9:$A$18,MATCH($G11,'Dívidas'!$F$9:$F$18,0)),"")</f>
        <v/>
      </c>
      <c r="I11" s="84">
        <f>IFERROR(INDEX('Dívidas'!$B$9:$B$18,MATCH($G11,'Dívidas'!$F$9:$F$18,0)),0)</f>
        <v/>
      </c>
      <c r="J11" s="148">
        <f>IFERROR(INDEX('Dívidas'!$C$9:$C$18,MATCH($G11,'Dívidas'!$F$9:$F$18,0))/100,0)</f>
        <v/>
      </c>
      <c r="K11" s="84">
        <f>IFERROR(INDEX('Dívidas'!$D$9:$D$18,MATCH($G11,'Dívidas'!$F$9:$F$18,0)),0)</f>
        <v/>
      </c>
      <c r="M11" s="153" t="n">
        <v>2</v>
      </c>
      <c r="N11" s="75">
        <f>IF(N('Dívidas'!$B10)&gt;0,'Dívidas'!$A10,"")</f>
        <v/>
      </c>
      <c r="O11" s="84">
        <f>MAX(0,N('Dívidas'!$B10))</f>
        <v/>
      </c>
      <c r="P11" s="148">
        <f>N('Dívidas'!$C10)/100</f>
        <v/>
      </c>
      <c r="Q11" s="84">
        <f>IF(N('Dívidas'!$B10)&gt;0,N('Dívidas'!$D10),0)</f>
        <v/>
      </c>
    </row>
    <row r="12">
      <c r="A12" s="153" t="n">
        <v>3</v>
      </c>
      <c r="B12" s="75">
        <f>IFERROR(INDEX('Dívidas'!$A$9:$A$18,MATCH($A12,'Dívidas'!$E$9:$E$18,0)),"")</f>
        <v/>
      </c>
      <c r="C12" s="84">
        <f>IFERROR(INDEX('Dívidas'!$B$9:$B$18,MATCH($A12,'Dívidas'!$E$9:$E$18,0)),0)</f>
        <v/>
      </c>
      <c r="D12" s="148">
        <f>IFERROR(INDEX('Dívidas'!$C$9:$C$18,MATCH($A12,'Dívidas'!$E$9:$E$18,0))/100,0)</f>
        <v/>
      </c>
      <c r="E12" s="84">
        <f>IFERROR(INDEX('Dívidas'!$D$9:$D$18,MATCH($A12,'Dívidas'!$E$9:$E$18,0)),0)</f>
        <v/>
      </c>
      <c r="G12" s="153" t="n">
        <v>3</v>
      </c>
      <c r="H12" s="75">
        <f>IFERROR(INDEX('Dívidas'!$A$9:$A$18,MATCH($G12,'Dívidas'!$F$9:$F$18,0)),"")</f>
        <v/>
      </c>
      <c r="I12" s="84">
        <f>IFERROR(INDEX('Dívidas'!$B$9:$B$18,MATCH($G12,'Dívidas'!$F$9:$F$18,0)),0)</f>
        <v/>
      </c>
      <c r="J12" s="148">
        <f>IFERROR(INDEX('Dívidas'!$C$9:$C$18,MATCH($G12,'Dívidas'!$F$9:$F$18,0))/100,0)</f>
        <v/>
      </c>
      <c r="K12" s="84">
        <f>IFERROR(INDEX('Dívidas'!$D$9:$D$18,MATCH($G12,'Dívidas'!$F$9:$F$18,0)),0)</f>
        <v/>
      </c>
      <c r="M12" s="153" t="n">
        <v>3</v>
      </c>
      <c r="N12" s="75">
        <f>IF(N('Dívidas'!$B11)&gt;0,'Dívidas'!$A11,"")</f>
        <v/>
      </c>
      <c r="O12" s="84">
        <f>MAX(0,N('Dívidas'!$B11))</f>
        <v/>
      </c>
      <c r="P12" s="148">
        <f>N('Dívidas'!$C11)/100</f>
        <v/>
      </c>
      <c r="Q12" s="84">
        <f>IF(N('Dívidas'!$B11)&gt;0,N('Dívidas'!$D11),0)</f>
        <v/>
      </c>
    </row>
    <row r="13">
      <c r="A13" s="153" t="n">
        <v>4</v>
      </c>
      <c r="B13" s="75">
        <f>IFERROR(INDEX('Dívidas'!$A$9:$A$18,MATCH($A13,'Dívidas'!$E$9:$E$18,0)),"")</f>
        <v/>
      </c>
      <c r="C13" s="84">
        <f>IFERROR(INDEX('Dívidas'!$B$9:$B$18,MATCH($A13,'Dívidas'!$E$9:$E$18,0)),0)</f>
        <v/>
      </c>
      <c r="D13" s="148">
        <f>IFERROR(INDEX('Dívidas'!$C$9:$C$18,MATCH($A13,'Dívidas'!$E$9:$E$18,0))/100,0)</f>
        <v/>
      </c>
      <c r="E13" s="84">
        <f>IFERROR(INDEX('Dívidas'!$D$9:$D$18,MATCH($A13,'Dívidas'!$E$9:$E$18,0)),0)</f>
        <v/>
      </c>
      <c r="G13" s="153" t="n">
        <v>4</v>
      </c>
      <c r="H13" s="75">
        <f>IFERROR(INDEX('Dívidas'!$A$9:$A$18,MATCH($G13,'Dívidas'!$F$9:$F$18,0)),"")</f>
        <v/>
      </c>
      <c r="I13" s="84">
        <f>IFERROR(INDEX('Dívidas'!$B$9:$B$18,MATCH($G13,'Dívidas'!$F$9:$F$18,0)),0)</f>
        <v/>
      </c>
      <c r="J13" s="148">
        <f>IFERROR(INDEX('Dívidas'!$C$9:$C$18,MATCH($G13,'Dívidas'!$F$9:$F$18,0))/100,0)</f>
        <v/>
      </c>
      <c r="K13" s="84">
        <f>IFERROR(INDEX('Dívidas'!$D$9:$D$18,MATCH($G13,'Dívidas'!$F$9:$F$18,0)),0)</f>
        <v/>
      </c>
      <c r="M13" s="153" t="n">
        <v>4</v>
      </c>
      <c r="N13" s="75">
        <f>IF(N('Dívidas'!$B12)&gt;0,'Dívidas'!$A12,"")</f>
        <v/>
      </c>
      <c r="O13" s="84">
        <f>MAX(0,N('Dívidas'!$B12))</f>
        <v/>
      </c>
      <c r="P13" s="148">
        <f>N('Dívidas'!$C12)/100</f>
        <v/>
      </c>
      <c r="Q13" s="84">
        <f>IF(N('Dívidas'!$B12)&gt;0,N('Dívidas'!$D12),0)</f>
        <v/>
      </c>
    </row>
    <row r="14">
      <c r="A14" s="153" t="n">
        <v>5</v>
      </c>
      <c r="B14" s="75">
        <f>IFERROR(INDEX('Dívidas'!$A$9:$A$18,MATCH($A14,'Dívidas'!$E$9:$E$18,0)),"")</f>
        <v/>
      </c>
      <c r="C14" s="84">
        <f>IFERROR(INDEX('Dívidas'!$B$9:$B$18,MATCH($A14,'Dívidas'!$E$9:$E$18,0)),0)</f>
        <v/>
      </c>
      <c r="D14" s="148">
        <f>IFERROR(INDEX('Dívidas'!$C$9:$C$18,MATCH($A14,'Dívidas'!$E$9:$E$18,0))/100,0)</f>
        <v/>
      </c>
      <c r="E14" s="84">
        <f>IFERROR(INDEX('Dívidas'!$D$9:$D$18,MATCH($A14,'Dívidas'!$E$9:$E$18,0)),0)</f>
        <v/>
      </c>
      <c r="G14" s="153" t="n">
        <v>5</v>
      </c>
      <c r="H14" s="75">
        <f>IFERROR(INDEX('Dívidas'!$A$9:$A$18,MATCH($G14,'Dívidas'!$F$9:$F$18,0)),"")</f>
        <v/>
      </c>
      <c r="I14" s="84">
        <f>IFERROR(INDEX('Dívidas'!$B$9:$B$18,MATCH($G14,'Dívidas'!$F$9:$F$18,0)),0)</f>
        <v/>
      </c>
      <c r="J14" s="148">
        <f>IFERROR(INDEX('Dívidas'!$C$9:$C$18,MATCH($G14,'Dívidas'!$F$9:$F$18,0))/100,0)</f>
        <v/>
      </c>
      <c r="K14" s="84">
        <f>IFERROR(INDEX('Dívidas'!$D$9:$D$18,MATCH($G14,'Dívidas'!$F$9:$F$18,0)),0)</f>
        <v/>
      </c>
      <c r="M14" s="153" t="n">
        <v>5</v>
      </c>
      <c r="N14" s="75">
        <f>IF(N('Dívidas'!$B13)&gt;0,'Dívidas'!$A13,"")</f>
        <v/>
      </c>
      <c r="O14" s="84">
        <f>MAX(0,N('Dívidas'!$B13))</f>
        <v/>
      </c>
      <c r="P14" s="148">
        <f>N('Dívidas'!$C13)/100</f>
        <v/>
      </c>
      <c r="Q14" s="84">
        <f>IF(N('Dívidas'!$B13)&gt;0,N('Dívidas'!$D13),0)</f>
        <v/>
      </c>
    </row>
    <row r="15">
      <c r="A15" s="153" t="n">
        <v>6</v>
      </c>
      <c r="B15" s="75">
        <f>IFERROR(INDEX('Dívidas'!$A$9:$A$18,MATCH($A15,'Dívidas'!$E$9:$E$18,0)),"")</f>
        <v/>
      </c>
      <c r="C15" s="84">
        <f>IFERROR(INDEX('Dívidas'!$B$9:$B$18,MATCH($A15,'Dívidas'!$E$9:$E$18,0)),0)</f>
        <v/>
      </c>
      <c r="D15" s="148">
        <f>IFERROR(INDEX('Dívidas'!$C$9:$C$18,MATCH($A15,'Dívidas'!$E$9:$E$18,0))/100,0)</f>
        <v/>
      </c>
      <c r="E15" s="84">
        <f>IFERROR(INDEX('Dívidas'!$D$9:$D$18,MATCH($A15,'Dívidas'!$E$9:$E$18,0)),0)</f>
        <v/>
      </c>
      <c r="G15" s="153" t="n">
        <v>6</v>
      </c>
      <c r="H15" s="75">
        <f>IFERROR(INDEX('Dívidas'!$A$9:$A$18,MATCH($G15,'Dívidas'!$F$9:$F$18,0)),"")</f>
        <v/>
      </c>
      <c r="I15" s="84">
        <f>IFERROR(INDEX('Dívidas'!$B$9:$B$18,MATCH($G15,'Dívidas'!$F$9:$F$18,0)),0)</f>
        <v/>
      </c>
      <c r="J15" s="148">
        <f>IFERROR(INDEX('Dívidas'!$C$9:$C$18,MATCH($G15,'Dívidas'!$F$9:$F$18,0))/100,0)</f>
        <v/>
      </c>
      <c r="K15" s="84">
        <f>IFERROR(INDEX('Dívidas'!$D$9:$D$18,MATCH($G15,'Dívidas'!$F$9:$F$18,0)),0)</f>
        <v/>
      </c>
      <c r="M15" s="153" t="n">
        <v>6</v>
      </c>
      <c r="N15" s="75">
        <f>IF(N('Dívidas'!$B14)&gt;0,'Dívidas'!$A14,"")</f>
        <v/>
      </c>
      <c r="O15" s="84">
        <f>MAX(0,N('Dívidas'!$B14))</f>
        <v/>
      </c>
      <c r="P15" s="148">
        <f>N('Dívidas'!$C14)/100</f>
        <v/>
      </c>
      <c r="Q15" s="84">
        <f>IF(N('Dívidas'!$B14)&gt;0,N('Dívidas'!$D14),0)</f>
        <v/>
      </c>
    </row>
    <row r="16">
      <c r="A16" s="153" t="n">
        <v>7</v>
      </c>
      <c r="B16" s="75">
        <f>IFERROR(INDEX('Dívidas'!$A$9:$A$18,MATCH($A16,'Dívidas'!$E$9:$E$18,0)),"")</f>
        <v/>
      </c>
      <c r="C16" s="84">
        <f>IFERROR(INDEX('Dívidas'!$B$9:$B$18,MATCH($A16,'Dívidas'!$E$9:$E$18,0)),0)</f>
        <v/>
      </c>
      <c r="D16" s="148">
        <f>IFERROR(INDEX('Dívidas'!$C$9:$C$18,MATCH($A16,'Dívidas'!$E$9:$E$18,0))/100,0)</f>
        <v/>
      </c>
      <c r="E16" s="84">
        <f>IFERROR(INDEX('Dívidas'!$D$9:$D$18,MATCH($A16,'Dívidas'!$E$9:$E$18,0)),0)</f>
        <v/>
      </c>
      <c r="G16" s="153" t="n">
        <v>7</v>
      </c>
      <c r="H16" s="75">
        <f>IFERROR(INDEX('Dívidas'!$A$9:$A$18,MATCH($G16,'Dívidas'!$F$9:$F$18,0)),"")</f>
        <v/>
      </c>
      <c r="I16" s="84">
        <f>IFERROR(INDEX('Dívidas'!$B$9:$B$18,MATCH($G16,'Dívidas'!$F$9:$F$18,0)),0)</f>
        <v/>
      </c>
      <c r="J16" s="148">
        <f>IFERROR(INDEX('Dívidas'!$C$9:$C$18,MATCH($G16,'Dívidas'!$F$9:$F$18,0))/100,0)</f>
        <v/>
      </c>
      <c r="K16" s="84">
        <f>IFERROR(INDEX('Dívidas'!$D$9:$D$18,MATCH($G16,'Dívidas'!$F$9:$F$18,0)),0)</f>
        <v/>
      </c>
      <c r="M16" s="153" t="n">
        <v>7</v>
      </c>
      <c r="N16" s="75">
        <f>IF(N('Dívidas'!$B15)&gt;0,'Dívidas'!$A15,"")</f>
        <v/>
      </c>
      <c r="O16" s="84">
        <f>MAX(0,N('Dívidas'!$B15))</f>
        <v/>
      </c>
      <c r="P16" s="148">
        <f>N('Dívidas'!$C15)/100</f>
        <v/>
      </c>
      <c r="Q16" s="84">
        <f>IF(N('Dívidas'!$B15)&gt;0,N('Dívidas'!$D15),0)</f>
        <v/>
      </c>
    </row>
    <row r="17">
      <c r="A17" s="153" t="n">
        <v>8</v>
      </c>
      <c r="B17" s="75">
        <f>IFERROR(INDEX('Dívidas'!$A$9:$A$18,MATCH($A17,'Dívidas'!$E$9:$E$18,0)),"")</f>
        <v/>
      </c>
      <c r="C17" s="84">
        <f>IFERROR(INDEX('Dívidas'!$B$9:$B$18,MATCH($A17,'Dívidas'!$E$9:$E$18,0)),0)</f>
        <v/>
      </c>
      <c r="D17" s="148">
        <f>IFERROR(INDEX('Dívidas'!$C$9:$C$18,MATCH($A17,'Dívidas'!$E$9:$E$18,0))/100,0)</f>
        <v/>
      </c>
      <c r="E17" s="84">
        <f>IFERROR(INDEX('Dívidas'!$D$9:$D$18,MATCH($A17,'Dívidas'!$E$9:$E$18,0)),0)</f>
        <v/>
      </c>
      <c r="G17" s="153" t="n">
        <v>8</v>
      </c>
      <c r="H17" s="75">
        <f>IFERROR(INDEX('Dívidas'!$A$9:$A$18,MATCH($G17,'Dívidas'!$F$9:$F$18,0)),"")</f>
        <v/>
      </c>
      <c r="I17" s="84">
        <f>IFERROR(INDEX('Dívidas'!$B$9:$B$18,MATCH($G17,'Dívidas'!$F$9:$F$18,0)),0)</f>
        <v/>
      </c>
      <c r="J17" s="148">
        <f>IFERROR(INDEX('Dívidas'!$C$9:$C$18,MATCH($G17,'Dívidas'!$F$9:$F$18,0))/100,0)</f>
        <v/>
      </c>
      <c r="K17" s="84">
        <f>IFERROR(INDEX('Dívidas'!$D$9:$D$18,MATCH($G17,'Dívidas'!$F$9:$F$18,0)),0)</f>
        <v/>
      </c>
      <c r="M17" s="153" t="n">
        <v>8</v>
      </c>
      <c r="N17" s="75">
        <f>IF(N('Dívidas'!$B16)&gt;0,'Dívidas'!$A16,"")</f>
        <v/>
      </c>
      <c r="O17" s="84">
        <f>MAX(0,N('Dívidas'!$B16))</f>
        <v/>
      </c>
      <c r="P17" s="148">
        <f>N('Dívidas'!$C16)/100</f>
        <v/>
      </c>
      <c r="Q17" s="84">
        <f>IF(N('Dívidas'!$B16)&gt;0,N('Dívidas'!$D16),0)</f>
        <v/>
      </c>
    </row>
    <row r="18">
      <c r="A18" s="153" t="n">
        <v>9</v>
      </c>
      <c r="B18" s="75">
        <f>IFERROR(INDEX('Dívidas'!$A$9:$A$18,MATCH($A18,'Dívidas'!$E$9:$E$18,0)),"")</f>
        <v/>
      </c>
      <c r="C18" s="84">
        <f>IFERROR(INDEX('Dívidas'!$B$9:$B$18,MATCH($A18,'Dívidas'!$E$9:$E$18,0)),0)</f>
        <v/>
      </c>
      <c r="D18" s="148">
        <f>IFERROR(INDEX('Dívidas'!$C$9:$C$18,MATCH($A18,'Dívidas'!$E$9:$E$18,0))/100,0)</f>
        <v/>
      </c>
      <c r="E18" s="84">
        <f>IFERROR(INDEX('Dívidas'!$D$9:$D$18,MATCH($A18,'Dívidas'!$E$9:$E$18,0)),0)</f>
        <v/>
      </c>
      <c r="G18" s="153" t="n">
        <v>9</v>
      </c>
      <c r="H18" s="75">
        <f>IFERROR(INDEX('Dívidas'!$A$9:$A$18,MATCH($G18,'Dívidas'!$F$9:$F$18,0)),"")</f>
        <v/>
      </c>
      <c r="I18" s="84">
        <f>IFERROR(INDEX('Dívidas'!$B$9:$B$18,MATCH($G18,'Dívidas'!$F$9:$F$18,0)),0)</f>
        <v/>
      </c>
      <c r="J18" s="148">
        <f>IFERROR(INDEX('Dívidas'!$C$9:$C$18,MATCH($G18,'Dívidas'!$F$9:$F$18,0))/100,0)</f>
        <v/>
      </c>
      <c r="K18" s="84">
        <f>IFERROR(INDEX('Dívidas'!$D$9:$D$18,MATCH($G18,'Dívidas'!$F$9:$F$18,0)),0)</f>
        <v/>
      </c>
      <c r="M18" s="153" t="n">
        <v>9</v>
      </c>
      <c r="N18" s="75">
        <f>IF(N('Dívidas'!$B17)&gt;0,'Dívidas'!$A17,"")</f>
        <v/>
      </c>
      <c r="O18" s="84">
        <f>MAX(0,N('Dívidas'!$B17))</f>
        <v/>
      </c>
      <c r="P18" s="148">
        <f>N('Dívidas'!$C17)/100</f>
        <v/>
      </c>
      <c r="Q18" s="84">
        <f>IF(N('Dívidas'!$B17)&gt;0,N('Dívidas'!$D17),0)</f>
        <v/>
      </c>
    </row>
    <row r="19">
      <c r="A19" s="153" t="n">
        <v>10</v>
      </c>
      <c r="B19" s="75">
        <f>IFERROR(INDEX('Dívidas'!$A$9:$A$18,MATCH($A19,'Dívidas'!$E$9:$E$18,0)),"")</f>
        <v/>
      </c>
      <c r="C19" s="84">
        <f>IFERROR(INDEX('Dívidas'!$B$9:$B$18,MATCH($A19,'Dívidas'!$E$9:$E$18,0)),0)</f>
        <v/>
      </c>
      <c r="D19" s="148">
        <f>IFERROR(INDEX('Dívidas'!$C$9:$C$18,MATCH($A19,'Dívidas'!$E$9:$E$18,0))/100,0)</f>
        <v/>
      </c>
      <c r="E19" s="84">
        <f>IFERROR(INDEX('Dívidas'!$D$9:$D$18,MATCH($A19,'Dívidas'!$E$9:$E$18,0)),0)</f>
        <v/>
      </c>
      <c r="G19" s="153" t="n">
        <v>10</v>
      </c>
      <c r="H19" s="75">
        <f>IFERROR(INDEX('Dívidas'!$A$9:$A$18,MATCH($G19,'Dívidas'!$F$9:$F$18,0)),"")</f>
        <v/>
      </c>
      <c r="I19" s="84">
        <f>IFERROR(INDEX('Dívidas'!$B$9:$B$18,MATCH($G19,'Dívidas'!$F$9:$F$18,0)),0)</f>
        <v/>
      </c>
      <c r="J19" s="148">
        <f>IFERROR(INDEX('Dívidas'!$C$9:$C$18,MATCH($G19,'Dívidas'!$F$9:$F$18,0))/100,0)</f>
        <v/>
      </c>
      <c r="K19" s="84">
        <f>IFERROR(INDEX('Dívidas'!$D$9:$D$18,MATCH($G19,'Dívidas'!$F$9:$F$18,0)),0)</f>
        <v/>
      </c>
      <c r="M19" s="153" t="n">
        <v>10</v>
      </c>
      <c r="N19" s="75">
        <f>IF(N('Dívidas'!$B18)&gt;0,'Dívidas'!$A18,"")</f>
        <v/>
      </c>
      <c r="O19" s="84">
        <f>MAX(0,N('Dívidas'!$B18))</f>
        <v/>
      </c>
      <c r="P19" s="148">
        <f>N('Dívidas'!$C18)/100</f>
        <v/>
      </c>
      <c r="Q19" s="84">
        <f>IF(N('Dívidas'!$B18)&gt;0,N('Dívidas'!$D18),0)</f>
        <v/>
      </c>
    </row>
    <row r="21">
      <c r="A21" s="5" t="inlineStr">
        <is>
          <t>BOLA DE NEVE: mínimos em todas e todo o excedente na menor dívida</t>
        </is>
      </c>
    </row>
    <row r="23" ht="18" customHeight="1">
      <c r="A23" s="44" t="inlineStr">
        <is>
          <t>mês nº</t>
        </is>
      </c>
      <c r="B23" s="44" t="inlineStr">
        <is>
          <t>Mês</t>
        </is>
      </c>
      <c r="C23" s="70" t="inlineStr">
        <is>
          <t>Juros 1</t>
        </is>
      </c>
      <c r="D23" s="70" t="inlineStr">
        <is>
          <t>Pago (mín.) 1</t>
        </is>
      </c>
      <c r="E23" s="70" t="inlineStr">
        <is>
          <t>Extra 1</t>
        </is>
      </c>
      <c r="F23" s="70" t="inlineStr">
        <is>
          <t>Saldo 1</t>
        </is>
      </c>
      <c r="G23" s="70" t="inlineStr">
        <is>
          <t>Juros 2</t>
        </is>
      </c>
      <c r="H23" s="70" t="inlineStr">
        <is>
          <t>Pago (mín.) 2</t>
        </is>
      </c>
      <c r="I23" s="70" t="inlineStr">
        <is>
          <t>Extra 2</t>
        </is>
      </c>
      <c r="J23" s="70" t="inlineStr">
        <is>
          <t>Saldo 2</t>
        </is>
      </c>
      <c r="K23" s="70" t="inlineStr">
        <is>
          <t>Juros 3</t>
        </is>
      </c>
      <c r="L23" s="70" t="inlineStr">
        <is>
          <t>Pago (mín.) 3</t>
        </is>
      </c>
      <c r="M23" s="70" t="inlineStr">
        <is>
          <t>Extra 3</t>
        </is>
      </c>
      <c r="N23" s="70" t="inlineStr">
        <is>
          <t>Saldo 3</t>
        </is>
      </c>
      <c r="O23" s="70" t="inlineStr">
        <is>
          <t>Juros 4</t>
        </is>
      </c>
      <c r="P23" s="70" t="inlineStr">
        <is>
          <t>Pago (mín.) 4</t>
        </is>
      </c>
      <c r="Q23" s="70" t="inlineStr">
        <is>
          <t>Extra 4</t>
        </is>
      </c>
      <c r="R23" s="70" t="inlineStr">
        <is>
          <t>Saldo 4</t>
        </is>
      </c>
      <c r="S23" s="70" t="inlineStr">
        <is>
          <t>Juros 5</t>
        </is>
      </c>
      <c r="T23" s="70" t="inlineStr">
        <is>
          <t>Pago (mín.) 5</t>
        </is>
      </c>
      <c r="U23" s="70" t="inlineStr">
        <is>
          <t>Extra 5</t>
        </is>
      </c>
      <c r="V23" s="70" t="inlineStr">
        <is>
          <t>Saldo 5</t>
        </is>
      </c>
      <c r="W23" s="70" t="inlineStr">
        <is>
          <t>Juros 6</t>
        </is>
      </c>
      <c r="X23" s="70" t="inlineStr">
        <is>
          <t>Pago (mín.) 6</t>
        </is>
      </c>
      <c r="Y23" s="70" t="inlineStr">
        <is>
          <t>Extra 6</t>
        </is>
      </c>
      <c r="Z23" s="70" t="inlineStr">
        <is>
          <t>Saldo 6</t>
        </is>
      </c>
      <c r="AA23" s="70" t="inlineStr">
        <is>
          <t>Juros 7</t>
        </is>
      </c>
      <c r="AB23" s="70" t="inlineStr">
        <is>
          <t>Pago (mín.) 7</t>
        </is>
      </c>
      <c r="AC23" s="70" t="inlineStr">
        <is>
          <t>Extra 7</t>
        </is>
      </c>
      <c r="AD23" s="70" t="inlineStr">
        <is>
          <t>Saldo 7</t>
        </is>
      </c>
      <c r="AE23" s="70" t="inlineStr">
        <is>
          <t>Juros 8</t>
        </is>
      </c>
      <c r="AF23" s="70" t="inlineStr">
        <is>
          <t>Pago (mín.) 8</t>
        </is>
      </c>
      <c r="AG23" s="70" t="inlineStr">
        <is>
          <t>Extra 8</t>
        </is>
      </c>
      <c r="AH23" s="70" t="inlineStr">
        <is>
          <t>Saldo 8</t>
        </is>
      </c>
      <c r="AI23" s="70" t="inlineStr">
        <is>
          <t>Juros 9</t>
        </is>
      </c>
      <c r="AJ23" s="70" t="inlineStr">
        <is>
          <t>Pago (mín.) 9</t>
        </is>
      </c>
      <c r="AK23" s="70" t="inlineStr">
        <is>
          <t>Extra 9</t>
        </is>
      </c>
      <c r="AL23" s="70" t="inlineStr">
        <is>
          <t>Saldo 9</t>
        </is>
      </c>
      <c r="AM23" s="70" t="inlineStr">
        <is>
          <t>Juros 10</t>
        </is>
      </c>
      <c r="AN23" s="70" t="inlineStr">
        <is>
          <t>Pago (mín.) 10</t>
        </is>
      </c>
      <c r="AO23" s="70" t="inlineStr">
        <is>
          <t>Extra 10</t>
        </is>
      </c>
      <c r="AP23" s="70" t="inlineStr">
        <is>
          <t>Saldo 10</t>
        </is>
      </c>
      <c r="AQ23" s="44" t="inlineStr">
        <is>
          <t>Excedente</t>
        </is>
      </c>
      <c r="AR23" s="44" t="inlineStr">
        <is>
          <t>Pago no mês</t>
        </is>
      </c>
      <c r="AS23" s="44" t="inlineStr">
        <is>
          <t>Juros do mês</t>
        </is>
      </c>
      <c r="AT23" s="44" t="inlineStr">
        <is>
          <t>Saldo total</t>
        </is>
      </c>
      <c r="AU23" s="44" t="inlineStr">
        <is>
          <t>Quitada no mês</t>
        </is>
      </c>
    </row>
    <row r="24">
      <c r="A24" s="154" t="n">
        <v>0</v>
      </c>
      <c r="F24" s="155">
        <f>$C$10</f>
        <v/>
      </c>
      <c r="J24" s="155">
        <f>$C$11</f>
        <v/>
      </c>
      <c r="N24" s="155">
        <f>$C$12</f>
        <v/>
      </c>
      <c r="R24" s="155">
        <f>$C$13</f>
        <v/>
      </c>
      <c r="V24" s="155">
        <f>$C$14</f>
        <v/>
      </c>
      <c r="Z24" s="155">
        <f>$C$15</f>
        <v/>
      </c>
      <c r="AD24" s="155">
        <f>$C$16</f>
        <v/>
      </c>
      <c r="AH24" s="155">
        <f>$C$17</f>
        <v/>
      </c>
      <c r="AL24" s="155">
        <f>$C$18</f>
        <v/>
      </c>
      <c r="AP24" s="155">
        <f>$C$19</f>
        <v/>
      </c>
      <c r="AT24" s="155">
        <f>F24+J24+N24+R24+V24+Z24+AD24+AH24+AL24+AP24</f>
        <v/>
      </c>
    </row>
    <row r="25">
      <c r="A25" s="154" t="n">
        <v>1</v>
      </c>
      <c r="B25" s="156">
        <f>EDATE($B$5,A25-1)</f>
        <v/>
      </c>
      <c r="C25" s="155">
        <f>ROUND(F24*$D$10,2)</f>
        <v/>
      </c>
      <c r="D25" s="155">
        <f>MIN($E$10,F24+C25)</f>
        <v/>
      </c>
      <c r="E25" s="155">
        <f>MIN(F24+C25-D25,MAX(0,$AQ25-(0)))</f>
        <v/>
      </c>
      <c r="F25" s="155">
        <f>ROUND(F24+C25-D25-E25,2)</f>
        <v/>
      </c>
      <c r="G25" s="155">
        <f>ROUND(J24*$D$11,2)</f>
        <v/>
      </c>
      <c r="H25" s="155">
        <f>MIN($E$11,J24+G25)</f>
        <v/>
      </c>
      <c r="I25" s="155">
        <f>MIN(J24+G25-H25,MAX(0,$AQ25-(E25)))</f>
        <v/>
      </c>
      <c r="J25" s="155">
        <f>ROUND(J24+G25-H25-I25,2)</f>
        <v/>
      </c>
      <c r="K25" s="155">
        <f>ROUND(N24*$D$12,2)</f>
        <v/>
      </c>
      <c r="L25" s="155">
        <f>MIN($E$12,N24+K25)</f>
        <v/>
      </c>
      <c r="M25" s="155">
        <f>MIN(N24+K25-L25,MAX(0,$AQ25-(E25+I25)))</f>
        <v/>
      </c>
      <c r="N25" s="155">
        <f>ROUND(N24+K25-L25-M25,2)</f>
        <v/>
      </c>
      <c r="O25" s="155">
        <f>ROUND(R24*$D$13,2)</f>
        <v/>
      </c>
      <c r="P25" s="155">
        <f>MIN($E$13,R24+O25)</f>
        <v/>
      </c>
      <c r="Q25" s="155">
        <f>MIN(R24+O25-P25,MAX(0,$AQ25-(E25+I25+M25)))</f>
        <v/>
      </c>
      <c r="R25" s="155">
        <f>ROUND(R24+O25-P25-Q25,2)</f>
        <v/>
      </c>
      <c r="S25" s="155">
        <f>ROUND(V24*$D$14,2)</f>
        <v/>
      </c>
      <c r="T25" s="155">
        <f>MIN($E$14,V24+S25)</f>
        <v/>
      </c>
      <c r="U25" s="155">
        <f>MIN(V24+S25-T25,MAX(0,$AQ25-(E25+I25+M25+Q25)))</f>
        <v/>
      </c>
      <c r="V25" s="155">
        <f>ROUND(V24+S25-T25-U25,2)</f>
        <v/>
      </c>
      <c r="W25" s="155">
        <f>ROUND(Z24*$D$15,2)</f>
        <v/>
      </c>
      <c r="X25" s="155">
        <f>MIN($E$15,Z24+W25)</f>
        <v/>
      </c>
      <c r="Y25" s="155">
        <f>MIN(Z24+W25-X25,MAX(0,$AQ25-(E25+I25+M25+Q25+U25)))</f>
        <v/>
      </c>
      <c r="Z25" s="155">
        <f>ROUND(Z24+W25-X25-Y25,2)</f>
        <v/>
      </c>
      <c r="AA25" s="155">
        <f>ROUND(AD24*$D$16,2)</f>
        <v/>
      </c>
      <c r="AB25" s="155">
        <f>MIN($E$16,AD24+AA25)</f>
        <v/>
      </c>
      <c r="AC25" s="155">
        <f>MIN(AD24+AA25-AB25,MAX(0,$AQ25-(E25+I25+M25+Q25+U25+Y25)))</f>
        <v/>
      </c>
      <c r="AD25" s="155">
        <f>ROUND(AD24+AA25-AB25-AC25,2)</f>
        <v/>
      </c>
      <c r="AE25" s="155">
        <f>ROUND(AH24*$D$17,2)</f>
        <v/>
      </c>
      <c r="AF25" s="155">
        <f>MIN($E$17,AH24+AE25)</f>
        <v/>
      </c>
      <c r="AG25" s="155">
        <f>MIN(AH24+AE25-AF25,MAX(0,$AQ25-(E25+I25+M25+Q25+U25+Y25+AC25)))</f>
        <v/>
      </c>
      <c r="AH25" s="155">
        <f>ROUND(AH24+AE25-AF25-AG25,2)</f>
        <v/>
      </c>
      <c r="AI25" s="155">
        <f>ROUND(AL24*$D$18,2)</f>
        <v/>
      </c>
      <c r="AJ25" s="155">
        <f>MIN($E$18,AL24+AI25)</f>
        <v/>
      </c>
      <c r="AK25" s="155">
        <f>MIN(AL24+AI25-AJ25,MAX(0,$AQ25-(E25+I25+M25+Q25+U25+Y25+AC25+AG25)))</f>
        <v/>
      </c>
      <c r="AL25" s="155">
        <f>ROUND(AL24+AI25-AJ25-AK25,2)</f>
        <v/>
      </c>
      <c r="AM25" s="155">
        <f>ROUND(AP24*$D$19,2)</f>
        <v/>
      </c>
      <c r="AN25" s="155">
        <f>MIN($E$19,AP24+AM25)</f>
        <v/>
      </c>
      <c r="AO25" s="155">
        <f>MIN(AP24+AM25-AN25,MAX(0,$AQ25-(E25+I25+M25+Q25+U25+Y25+AC25+AG25+AK25)))</f>
        <v/>
      </c>
      <c r="AP25" s="155">
        <f>ROUND(AP24+AM25-AN25-AO25,2)</f>
        <v/>
      </c>
      <c r="AQ25" s="155">
        <f>MAX(0,$B$6-(D25+H25+L25+P25+T25+X25+AB25+AF25+AJ25+AN25))</f>
        <v/>
      </c>
      <c r="AR25" s="155">
        <f>D25+H25+L25+P25+T25+X25+AB25+AF25+AJ25+AN25+E25+I25+M25+Q25+U25+Y25+AC25+AG25+AK25+AO25</f>
        <v/>
      </c>
      <c r="AS25" s="155">
        <f>C25+G25+K25+O25+S25+W25+AA25+AE25+AI25+AM25</f>
        <v/>
      </c>
      <c r="AT25" s="155">
        <f>F25+J25+N25+R25+V25+Z25+AD25+AH25+AL25+AP25</f>
        <v/>
      </c>
      <c r="AU25" s="157">
        <f>MID(IF(AND(F25=0,F24&gt;0),"; "&amp;$B$10,"")&amp;IF(AND(J25=0,J24&gt;0),"; "&amp;$B$11,"")&amp;IF(AND(N25=0,N24&gt;0),"; "&amp;$B$12,"")&amp;IF(AND(R25=0,R24&gt;0),"; "&amp;$B$13,"")&amp;IF(AND(V25=0,V24&gt;0),"; "&amp;$B$14,"")&amp;IF(AND(Z25=0,Z24&gt;0),"; "&amp;$B$15,"")&amp;IF(AND(AD25=0,AD24&gt;0),"; "&amp;$B$16,"")&amp;IF(AND(AH25=0,AH24&gt;0),"; "&amp;$B$17,"")&amp;IF(AND(AL25=0,AL24&gt;0),"; "&amp;$B$18,"")&amp;IF(AND(AP25=0,AP24&gt;0),"; "&amp;$B$19,""),3,200)</f>
        <v/>
      </c>
    </row>
    <row r="26">
      <c r="A26" s="154" t="n">
        <v>2</v>
      </c>
      <c r="B26" s="156">
        <f>EDATE($B$5,A26-1)</f>
        <v/>
      </c>
      <c r="C26" s="155">
        <f>ROUND(F25*$D$10,2)</f>
        <v/>
      </c>
      <c r="D26" s="155">
        <f>MIN($E$10,F25+C26)</f>
        <v/>
      </c>
      <c r="E26" s="155">
        <f>MIN(F25+C26-D26,MAX(0,$AQ26-(0)))</f>
        <v/>
      </c>
      <c r="F26" s="155">
        <f>ROUND(F25+C26-D26-E26,2)</f>
        <v/>
      </c>
      <c r="G26" s="155">
        <f>ROUND(J25*$D$11,2)</f>
        <v/>
      </c>
      <c r="H26" s="155">
        <f>MIN($E$11,J25+G26)</f>
        <v/>
      </c>
      <c r="I26" s="155">
        <f>MIN(J25+G26-H26,MAX(0,$AQ26-(E26)))</f>
        <v/>
      </c>
      <c r="J26" s="155">
        <f>ROUND(J25+G26-H26-I26,2)</f>
        <v/>
      </c>
      <c r="K26" s="155">
        <f>ROUND(N25*$D$12,2)</f>
        <v/>
      </c>
      <c r="L26" s="155">
        <f>MIN($E$12,N25+K26)</f>
        <v/>
      </c>
      <c r="M26" s="155">
        <f>MIN(N25+K26-L26,MAX(0,$AQ26-(E26+I26)))</f>
        <v/>
      </c>
      <c r="N26" s="155">
        <f>ROUND(N25+K26-L26-M26,2)</f>
        <v/>
      </c>
      <c r="O26" s="155">
        <f>ROUND(R25*$D$13,2)</f>
        <v/>
      </c>
      <c r="P26" s="155">
        <f>MIN($E$13,R25+O26)</f>
        <v/>
      </c>
      <c r="Q26" s="155">
        <f>MIN(R25+O26-P26,MAX(0,$AQ26-(E26+I26+M26)))</f>
        <v/>
      </c>
      <c r="R26" s="155">
        <f>ROUND(R25+O26-P26-Q26,2)</f>
        <v/>
      </c>
      <c r="S26" s="155">
        <f>ROUND(V25*$D$14,2)</f>
        <v/>
      </c>
      <c r="T26" s="155">
        <f>MIN($E$14,V25+S26)</f>
        <v/>
      </c>
      <c r="U26" s="155">
        <f>MIN(V25+S26-T26,MAX(0,$AQ26-(E26+I26+M26+Q26)))</f>
        <v/>
      </c>
      <c r="V26" s="155">
        <f>ROUND(V25+S26-T26-U26,2)</f>
        <v/>
      </c>
      <c r="W26" s="155">
        <f>ROUND(Z25*$D$15,2)</f>
        <v/>
      </c>
      <c r="X26" s="155">
        <f>MIN($E$15,Z25+W26)</f>
        <v/>
      </c>
      <c r="Y26" s="155">
        <f>MIN(Z25+W26-X26,MAX(0,$AQ26-(E26+I26+M26+Q26+U26)))</f>
        <v/>
      </c>
      <c r="Z26" s="155">
        <f>ROUND(Z25+W26-X26-Y26,2)</f>
        <v/>
      </c>
      <c r="AA26" s="155">
        <f>ROUND(AD25*$D$16,2)</f>
        <v/>
      </c>
      <c r="AB26" s="155">
        <f>MIN($E$16,AD25+AA26)</f>
        <v/>
      </c>
      <c r="AC26" s="155">
        <f>MIN(AD25+AA26-AB26,MAX(0,$AQ26-(E26+I26+M26+Q26+U26+Y26)))</f>
        <v/>
      </c>
      <c r="AD26" s="155">
        <f>ROUND(AD25+AA26-AB26-AC26,2)</f>
        <v/>
      </c>
      <c r="AE26" s="155">
        <f>ROUND(AH25*$D$17,2)</f>
        <v/>
      </c>
      <c r="AF26" s="155">
        <f>MIN($E$17,AH25+AE26)</f>
        <v/>
      </c>
      <c r="AG26" s="155">
        <f>MIN(AH25+AE26-AF26,MAX(0,$AQ26-(E26+I26+M26+Q26+U26+Y26+AC26)))</f>
        <v/>
      </c>
      <c r="AH26" s="155">
        <f>ROUND(AH25+AE26-AF26-AG26,2)</f>
        <v/>
      </c>
      <c r="AI26" s="155">
        <f>ROUND(AL25*$D$18,2)</f>
        <v/>
      </c>
      <c r="AJ26" s="155">
        <f>MIN($E$18,AL25+AI26)</f>
        <v/>
      </c>
      <c r="AK26" s="155">
        <f>MIN(AL25+AI26-AJ26,MAX(0,$AQ26-(E26+I26+M26+Q26+U26+Y26+AC26+AG26)))</f>
        <v/>
      </c>
      <c r="AL26" s="155">
        <f>ROUND(AL25+AI26-AJ26-AK26,2)</f>
        <v/>
      </c>
      <c r="AM26" s="155">
        <f>ROUND(AP25*$D$19,2)</f>
        <v/>
      </c>
      <c r="AN26" s="155">
        <f>MIN($E$19,AP25+AM26)</f>
        <v/>
      </c>
      <c r="AO26" s="155">
        <f>MIN(AP25+AM26-AN26,MAX(0,$AQ26-(E26+I26+M26+Q26+U26+Y26+AC26+AG26+AK26)))</f>
        <v/>
      </c>
      <c r="AP26" s="155">
        <f>ROUND(AP25+AM26-AN26-AO26,2)</f>
        <v/>
      </c>
      <c r="AQ26" s="155">
        <f>MAX(0,$B$6-(D26+H26+L26+P26+T26+X26+AB26+AF26+AJ26+AN26))</f>
        <v/>
      </c>
      <c r="AR26" s="155">
        <f>D26+H26+L26+P26+T26+X26+AB26+AF26+AJ26+AN26+E26+I26+M26+Q26+U26+Y26+AC26+AG26+AK26+AO26</f>
        <v/>
      </c>
      <c r="AS26" s="155">
        <f>C26+G26+K26+O26+S26+W26+AA26+AE26+AI26+AM26</f>
        <v/>
      </c>
      <c r="AT26" s="155">
        <f>F26+J26+N26+R26+V26+Z26+AD26+AH26+AL26+AP26</f>
        <v/>
      </c>
      <c r="AU26" s="157">
        <f>MID(IF(AND(F26=0,F25&gt;0),"; "&amp;$B$10,"")&amp;IF(AND(J26=0,J25&gt;0),"; "&amp;$B$11,"")&amp;IF(AND(N26=0,N25&gt;0),"; "&amp;$B$12,"")&amp;IF(AND(R26=0,R25&gt;0),"; "&amp;$B$13,"")&amp;IF(AND(V26=0,V25&gt;0),"; "&amp;$B$14,"")&amp;IF(AND(Z26=0,Z25&gt;0),"; "&amp;$B$15,"")&amp;IF(AND(AD26=0,AD25&gt;0),"; "&amp;$B$16,"")&amp;IF(AND(AH26=0,AH25&gt;0),"; "&amp;$B$17,"")&amp;IF(AND(AL26=0,AL25&gt;0),"; "&amp;$B$18,"")&amp;IF(AND(AP26=0,AP25&gt;0),"; "&amp;$B$19,""),3,200)</f>
        <v/>
      </c>
    </row>
    <row r="27">
      <c r="A27" s="154" t="n">
        <v>3</v>
      </c>
      <c r="B27" s="156">
        <f>EDATE($B$5,A27-1)</f>
        <v/>
      </c>
      <c r="C27" s="155">
        <f>ROUND(F26*$D$10,2)</f>
        <v/>
      </c>
      <c r="D27" s="155">
        <f>MIN($E$10,F26+C27)</f>
        <v/>
      </c>
      <c r="E27" s="155">
        <f>MIN(F26+C27-D27,MAX(0,$AQ27-(0)))</f>
        <v/>
      </c>
      <c r="F27" s="155">
        <f>ROUND(F26+C27-D27-E27,2)</f>
        <v/>
      </c>
      <c r="G27" s="155">
        <f>ROUND(J26*$D$11,2)</f>
        <v/>
      </c>
      <c r="H27" s="155">
        <f>MIN($E$11,J26+G27)</f>
        <v/>
      </c>
      <c r="I27" s="155">
        <f>MIN(J26+G27-H27,MAX(0,$AQ27-(E27)))</f>
        <v/>
      </c>
      <c r="J27" s="155">
        <f>ROUND(J26+G27-H27-I27,2)</f>
        <v/>
      </c>
      <c r="K27" s="155">
        <f>ROUND(N26*$D$12,2)</f>
        <v/>
      </c>
      <c r="L27" s="155">
        <f>MIN($E$12,N26+K27)</f>
        <v/>
      </c>
      <c r="M27" s="155">
        <f>MIN(N26+K27-L27,MAX(0,$AQ27-(E27+I27)))</f>
        <v/>
      </c>
      <c r="N27" s="155">
        <f>ROUND(N26+K27-L27-M27,2)</f>
        <v/>
      </c>
      <c r="O27" s="155">
        <f>ROUND(R26*$D$13,2)</f>
        <v/>
      </c>
      <c r="P27" s="155">
        <f>MIN($E$13,R26+O27)</f>
        <v/>
      </c>
      <c r="Q27" s="155">
        <f>MIN(R26+O27-P27,MAX(0,$AQ27-(E27+I27+M27)))</f>
        <v/>
      </c>
      <c r="R27" s="155">
        <f>ROUND(R26+O27-P27-Q27,2)</f>
        <v/>
      </c>
      <c r="S27" s="155">
        <f>ROUND(V26*$D$14,2)</f>
        <v/>
      </c>
      <c r="T27" s="155">
        <f>MIN($E$14,V26+S27)</f>
        <v/>
      </c>
      <c r="U27" s="155">
        <f>MIN(V26+S27-T27,MAX(0,$AQ27-(E27+I27+M27+Q27)))</f>
        <v/>
      </c>
      <c r="V27" s="155">
        <f>ROUND(V26+S27-T27-U27,2)</f>
        <v/>
      </c>
      <c r="W27" s="155">
        <f>ROUND(Z26*$D$15,2)</f>
        <v/>
      </c>
      <c r="X27" s="155">
        <f>MIN($E$15,Z26+W27)</f>
        <v/>
      </c>
      <c r="Y27" s="155">
        <f>MIN(Z26+W27-X27,MAX(0,$AQ27-(E27+I27+M27+Q27+U27)))</f>
        <v/>
      </c>
      <c r="Z27" s="155">
        <f>ROUND(Z26+W27-X27-Y27,2)</f>
        <v/>
      </c>
      <c r="AA27" s="155">
        <f>ROUND(AD26*$D$16,2)</f>
        <v/>
      </c>
      <c r="AB27" s="155">
        <f>MIN($E$16,AD26+AA27)</f>
        <v/>
      </c>
      <c r="AC27" s="155">
        <f>MIN(AD26+AA27-AB27,MAX(0,$AQ27-(E27+I27+M27+Q27+U27+Y27)))</f>
        <v/>
      </c>
      <c r="AD27" s="155">
        <f>ROUND(AD26+AA27-AB27-AC27,2)</f>
        <v/>
      </c>
      <c r="AE27" s="155">
        <f>ROUND(AH26*$D$17,2)</f>
        <v/>
      </c>
      <c r="AF27" s="155">
        <f>MIN($E$17,AH26+AE27)</f>
        <v/>
      </c>
      <c r="AG27" s="155">
        <f>MIN(AH26+AE27-AF27,MAX(0,$AQ27-(E27+I27+M27+Q27+U27+Y27+AC27)))</f>
        <v/>
      </c>
      <c r="AH27" s="155">
        <f>ROUND(AH26+AE27-AF27-AG27,2)</f>
        <v/>
      </c>
      <c r="AI27" s="155">
        <f>ROUND(AL26*$D$18,2)</f>
        <v/>
      </c>
      <c r="AJ27" s="155">
        <f>MIN($E$18,AL26+AI27)</f>
        <v/>
      </c>
      <c r="AK27" s="155">
        <f>MIN(AL26+AI27-AJ27,MAX(0,$AQ27-(E27+I27+M27+Q27+U27+Y27+AC27+AG27)))</f>
        <v/>
      </c>
      <c r="AL27" s="155">
        <f>ROUND(AL26+AI27-AJ27-AK27,2)</f>
        <v/>
      </c>
      <c r="AM27" s="155">
        <f>ROUND(AP26*$D$19,2)</f>
        <v/>
      </c>
      <c r="AN27" s="155">
        <f>MIN($E$19,AP26+AM27)</f>
        <v/>
      </c>
      <c r="AO27" s="155">
        <f>MIN(AP26+AM27-AN27,MAX(0,$AQ27-(E27+I27+M27+Q27+U27+Y27+AC27+AG27+AK27)))</f>
        <v/>
      </c>
      <c r="AP27" s="155">
        <f>ROUND(AP26+AM27-AN27-AO27,2)</f>
        <v/>
      </c>
      <c r="AQ27" s="155">
        <f>MAX(0,$B$6-(D27+H27+L27+P27+T27+X27+AB27+AF27+AJ27+AN27))</f>
        <v/>
      </c>
      <c r="AR27" s="155">
        <f>D27+H27+L27+P27+T27+X27+AB27+AF27+AJ27+AN27+E27+I27+M27+Q27+U27+Y27+AC27+AG27+AK27+AO27</f>
        <v/>
      </c>
      <c r="AS27" s="155">
        <f>C27+G27+K27+O27+S27+W27+AA27+AE27+AI27+AM27</f>
        <v/>
      </c>
      <c r="AT27" s="155">
        <f>F27+J27+N27+R27+V27+Z27+AD27+AH27+AL27+AP27</f>
        <v/>
      </c>
      <c r="AU27" s="157">
        <f>MID(IF(AND(F27=0,F26&gt;0),"; "&amp;$B$10,"")&amp;IF(AND(J27=0,J26&gt;0),"; "&amp;$B$11,"")&amp;IF(AND(N27=0,N26&gt;0),"; "&amp;$B$12,"")&amp;IF(AND(R27=0,R26&gt;0),"; "&amp;$B$13,"")&amp;IF(AND(V27=0,V26&gt;0),"; "&amp;$B$14,"")&amp;IF(AND(Z27=0,Z26&gt;0),"; "&amp;$B$15,"")&amp;IF(AND(AD27=0,AD26&gt;0),"; "&amp;$B$16,"")&amp;IF(AND(AH27=0,AH26&gt;0),"; "&amp;$B$17,"")&amp;IF(AND(AL27=0,AL26&gt;0),"; "&amp;$B$18,"")&amp;IF(AND(AP27=0,AP26&gt;0),"; "&amp;$B$19,""),3,200)</f>
        <v/>
      </c>
    </row>
    <row r="28">
      <c r="A28" s="154" t="n">
        <v>4</v>
      </c>
      <c r="B28" s="156">
        <f>EDATE($B$5,A28-1)</f>
        <v/>
      </c>
      <c r="C28" s="155">
        <f>ROUND(F27*$D$10,2)</f>
        <v/>
      </c>
      <c r="D28" s="155">
        <f>MIN($E$10,F27+C28)</f>
        <v/>
      </c>
      <c r="E28" s="155">
        <f>MIN(F27+C28-D28,MAX(0,$AQ28-(0)))</f>
        <v/>
      </c>
      <c r="F28" s="155">
        <f>ROUND(F27+C28-D28-E28,2)</f>
        <v/>
      </c>
      <c r="G28" s="155">
        <f>ROUND(J27*$D$11,2)</f>
        <v/>
      </c>
      <c r="H28" s="155">
        <f>MIN($E$11,J27+G28)</f>
        <v/>
      </c>
      <c r="I28" s="155">
        <f>MIN(J27+G28-H28,MAX(0,$AQ28-(E28)))</f>
        <v/>
      </c>
      <c r="J28" s="155">
        <f>ROUND(J27+G28-H28-I28,2)</f>
        <v/>
      </c>
      <c r="K28" s="155">
        <f>ROUND(N27*$D$12,2)</f>
        <v/>
      </c>
      <c r="L28" s="155">
        <f>MIN($E$12,N27+K28)</f>
        <v/>
      </c>
      <c r="M28" s="155">
        <f>MIN(N27+K28-L28,MAX(0,$AQ28-(E28+I28)))</f>
        <v/>
      </c>
      <c r="N28" s="155">
        <f>ROUND(N27+K28-L28-M28,2)</f>
        <v/>
      </c>
      <c r="O28" s="155">
        <f>ROUND(R27*$D$13,2)</f>
        <v/>
      </c>
      <c r="P28" s="155">
        <f>MIN($E$13,R27+O28)</f>
        <v/>
      </c>
      <c r="Q28" s="155">
        <f>MIN(R27+O28-P28,MAX(0,$AQ28-(E28+I28+M28)))</f>
        <v/>
      </c>
      <c r="R28" s="155">
        <f>ROUND(R27+O28-P28-Q28,2)</f>
        <v/>
      </c>
      <c r="S28" s="155">
        <f>ROUND(V27*$D$14,2)</f>
        <v/>
      </c>
      <c r="T28" s="155">
        <f>MIN($E$14,V27+S28)</f>
        <v/>
      </c>
      <c r="U28" s="155">
        <f>MIN(V27+S28-T28,MAX(0,$AQ28-(E28+I28+M28+Q28)))</f>
        <v/>
      </c>
      <c r="V28" s="155">
        <f>ROUND(V27+S28-T28-U28,2)</f>
        <v/>
      </c>
      <c r="W28" s="155">
        <f>ROUND(Z27*$D$15,2)</f>
        <v/>
      </c>
      <c r="X28" s="155">
        <f>MIN($E$15,Z27+W28)</f>
        <v/>
      </c>
      <c r="Y28" s="155">
        <f>MIN(Z27+W28-X28,MAX(0,$AQ28-(E28+I28+M28+Q28+U28)))</f>
        <v/>
      </c>
      <c r="Z28" s="155">
        <f>ROUND(Z27+W28-X28-Y28,2)</f>
        <v/>
      </c>
      <c r="AA28" s="155">
        <f>ROUND(AD27*$D$16,2)</f>
        <v/>
      </c>
      <c r="AB28" s="155">
        <f>MIN($E$16,AD27+AA28)</f>
        <v/>
      </c>
      <c r="AC28" s="155">
        <f>MIN(AD27+AA28-AB28,MAX(0,$AQ28-(E28+I28+M28+Q28+U28+Y28)))</f>
        <v/>
      </c>
      <c r="AD28" s="155">
        <f>ROUND(AD27+AA28-AB28-AC28,2)</f>
        <v/>
      </c>
      <c r="AE28" s="155">
        <f>ROUND(AH27*$D$17,2)</f>
        <v/>
      </c>
      <c r="AF28" s="155">
        <f>MIN($E$17,AH27+AE28)</f>
        <v/>
      </c>
      <c r="AG28" s="155">
        <f>MIN(AH27+AE28-AF28,MAX(0,$AQ28-(E28+I28+M28+Q28+U28+Y28+AC28)))</f>
        <v/>
      </c>
      <c r="AH28" s="155">
        <f>ROUND(AH27+AE28-AF28-AG28,2)</f>
        <v/>
      </c>
      <c r="AI28" s="155">
        <f>ROUND(AL27*$D$18,2)</f>
        <v/>
      </c>
      <c r="AJ28" s="155">
        <f>MIN($E$18,AL27+AI28)</f>
        <v/>
      </c>
      <c r="AK28" s="155">
        <f>MIN(AL27+AI28-AJ28,MAX(0,$AQ28-(E28+I28+M28+Q28+U28+Y28+AC28+AG28)))</f>
        <v/>
      </c>
      <c r="AL28" s="155">
        <f>ROUND(AL27+AI28-AJ28-AK28,2)</f>
        <v/>
      </c>
      <c r="AM28" s="155">
        <f>ROUND(AP27*$D$19,2)</f>
        <v/>
      </c>
      <c r="AN28" s="155">
        <f>MIN($E$19,AP27+AM28)</f>
        <v/>
      </c>
      <c r="AO28" s="155">
        <f>MIN(AP27+AM28-AN28,MAX(0,$AQ28-(E28+I28+M28+Q28+U28+Y28+AC28+AG28+AK28)))</f>
        <v/>
      </c>
      <c r="AP28" s="155">
        <f>ROUND(AP27+AM28-AN28-AO28,2)</f>
        <v/>
      </c>
      <c r="AQ28" s="155">
        <f>MAX(0,$B$6-(D28+H28+L28+P28+T28+X28+AB28+AF28+AJ28+AN28))</f>
        <v/>
      </c>
      <c r="AR28" s="155">
        <f>D28+H28+L28+P28+T28+X28+AB28+AF28+AJ28+AN28+E28+I28+M28+Q28+U28+Y28+AC28+AG28+AK28+AO28</f>
        <v/>
      </c>
      <c r="AS28" s="155">
        <f>C28+G28+K28+O28+S28+W28+AA28+AE28+AI28+AM28</f>
        <v/>
      </c>
      <c r="AT28" s="155">
        <f>F28+J28+N28+R28+V28+Z28+AD28+AH28+AL28+AP28</f>
        <v/>
      </c>
      <c r="AU28" s="157">
        <f>MID(IF(AND(F28=0,F27&gt;0),"; "&amp;$B$10,"")&amp;IF(AND(J28=0,J27&gt;0),"; "&amp;$B$11,"")&amp;IF(AND(N28=0,N27&gt;0),"; "&amp;$B$12,"")&amp;IF(AND(R28=0,R27&gt;0),"; "&amp;$B$13,"")&amp;IF(AND(V28=0,V27&gt;0),"; "&amp;$B$14,"")&amp;IF(AND(Z28=0,Z27&gt;0),"; "&amp;$B$15,"")&amp;IF(AND(AD28=0,AD27&gt;0),"; "&amp;$B$16,"")&amp;IF(AND(AH28=0,AH27&gt;0),"; "&amp;$B$17,"")&amp;IF(AND(AL28=0,AL27&gt;0),"; "&amp;$B$18,"")&amp;IF(AND(AP28=0,AP27&gt;0),"; "&amp;$B$19,""),3,200)</f>
        <v/>
      </c>
    </row>
    <row r="29">
      <c r="A29" s="154" t="n">
        <v>5</v>
      </c>
      <c r="B29" s="156">
        <f>EDATE($B$5,A29-1)</f>
        <v/>
      </c>
      <c r="C29" s="155">
        <f>ROUND(F28*$D$10,2)</f>
        <v/>
      </c>
      <c r="D29" s="155">
        <f>MIN($E$10,F28+C29)</f>
        <v/>
      </c>
      <c r="E29" s="155">
        <f>MIN(F28+C29-D29,MAX(0,$AQ29-(0)))</f>
        <v/>
      </c>
      <c r="F29" s="155">
        <f>ROUND(F28+C29-D29-E29,2)</f>
        <v/>
      </c>
      <c r="G29" s="155">
        <f>ROUND(J28*$D$11,2)</f>
        <v/>
      </c>
      <c r="H29" s="155">
        <f>MIN($E$11,J28+G29)</f>
        <v/>
      </c>
      <c r="I29" s="155">
        <f>MIN(J28+G29-H29,MAX(0,$AQ29-(E29)))</f>
        <v/>
      </c>
      <c r="J29" s="155">
        <f>ROUND(J28+G29-H29-I29,2)</f>
        <v/>
      </c>
      <c r="K29" s="155">
        <f>ROUND(N28*$D$12,2)</f>
        <v/>
      </c>
      <c r="L29" s="155">
        <f>MIN($E$12,N28+K29)</f>
        <v/>
      </c>
      <c r="M29" s="155">
        <f>MIN(N28+K29-L29,MAX(0,$AQ29-(E29+I29)))</f>
        <v/>
      </c>
      <c r="N29" s="155">
        <f>ROUND(N28+K29-L29-M29,2)</f>
        <v/>
      </c>
      <c r="O29" s="155">
        <f>ROUND(R28*$D$13,2)</f>
        <v/>
      </c>
      <c r="P29" s="155">
        <f>MIN($E$13,R28+O29)</f>
        <v/>
      </c>
      <c r="Q29" s="155">
        <f>MIN(R28+O29-P29,MAX(0,$AQ29-(E29+I29+M29)))</f>
        <v/>
      </c>
      <c r="R29" s="155">
        <f>ROUND(R28+O29-P29-Q29,2)</f>
        <v/>
      </c>
      <c r="S29" s="155">
        <f>ROUND(V28*$D$14,2)</f>
        <v/>
      </c>
      <c r="T29" s="155">
        <f>MIN($E$14,V28+S29)</f>
        <v/>
      </c>
      <c r="U29" s="155">
        <f>MIN(V28+S29-T29,MAX(0,$AQ29-(E29+I29+M29+Q29)))</f>
        <v/>
      </c>
      <c r="V29" s="155">
        <f>ROUND(V28+S29-T29-U29,2)</f>
        <v/>
      </c>
      <c r="W29" s="155">
        <f>ROUND(Z28*$D$15,2)</f>
        <v/>
      </c>
      <c r="X29" s="155">
        <f>MIN($E$15,Z28+W29)</f>
        <v/>
      </c>
      <c r="Y29" s="155">
        <f>MIN(Z28+W29-X29,MAX(0,$AQ29-(E29+I29+M29+Q29+U29)))</f>
        <v/>
      </c>
      <c r="Z29" s="155">
        <f>ROUND(Z28+W29-X29-Y29,2)</f>
        <v/>
      </c>
      <c r="AA29" s="155">
        <f>ROUND(AD28*$D$16,2)</f>
        <v/>
      </c>
      <c r="AB29" s="155">
        <f>MIN($E$16,AD28+AA29)</f>
        <v/>
      </c>
      <c r="AC29" s="155">
        <f>MIN(AD28+AA29-AB29,MAX(0,$AQ29-(E29+I29+M29+Q29+U29+Y29)))</f>
        <v/>
      </c>
      <c r="AD29" s="155">
        <f>ROUND(AD28+AA29-AB29-AC29,2)</f>
        <v/>
      </c>
      <c r="AE29" s="155">
        <f>ROUND(AH28*$D$17,2)</f>
        <v/>
      </c>
      <c r="AF29" s="155">
        <f>MIN($E$17,AH28+AE29)</f>
        <v/>
      </c>
      <c r="AG29" s="155">
        <f>MIN(AH28+AE29-AF29,MAX(0,$AQ29-(E29+I29+M29+Q29+U29+Y29+AC29)))</f>
        <v/>
      </c>
      <c r="AH29" s="155">
        <f>ROUND(AH28+AE29-AF29-AG29,2)</f>
        <v/>
      </c>
      <c r="AI29" s="155">
        <f>ROUND(AL28*$D$18,2)</f>
        <v/>
      </c>
      <c r="AJ29" s="155">
        <f>MIN($E$18,AL28+AI29)</f>
        <v/>
      </c>
      <c r="AK29" s="155">
        <f>MIN(AL28+AI29-AJ29,MAX(0,$AQ29-(E29+I29+M29+Q29+U29+Y29+AC29+AG29)))</f>
        <v/>
      </c>
      <c r="AL29" s="155">
        <f>ROUND(AL28+AI29-AJ29-AK29,2)</f>
        <v/>
      </c>
      <c r="AM29" s="155">
        <f>ROUND(AP28*$D$19,2)</f>
        <v/>
      </c>
      <c r="AN29" s="155">
        <f>MIN($E$19,AP28+AM29)</f>
        <v/>
      </c>
      <c r="AO29" s="155">
        <f>MIN(AP28+AM29-AN29,MAX(0,$AQ29-(E29+I29+M29+Q29+U29+Y29+AC29+AG29+AK29)))</f>
        <v/>
      </c>
      <c r="AP29" s="155">
        <f>ROUND(AP28+AM29-AN29-AO29,2)</f>
        <v/>
      </c>
      <c r="AQ29" s="155">
        <f>MAX(0,$B$6-(D29+H29+L29+P29+T29+X29+AB29+AF29+AJ29+AN29))</f>
        <v/>
      </c>
      <c r="AR29" s="155">
        <f>D29+H29+L29+P29+T29+X29+AB29+AF29+AJ29+AN29+E29+I29+M29+Q29+U29+Y29+AC29+AG29+AK29+AO29</f>
        <v/>
      </c>
      <c r="AS29" s="155">
        <f>C29+G29+K29+O29+S29+W29+AA29+AE29+AI29+AM29</f>
        <v/>
      </c>
      <c r="AT29" s="155">
        <f>F29+J29+N29+R29+V29+Z29+AD29+AH29+AL29+AP29</f>
        <v/>
      </c>
      <c r="AU29" s="157">
        <f>MID(IF(AND(F29=0,F28&gt;0),"; "&amp;$B$10,"")&amp;IF(AND(J29=0,J28&gt;0),"; "&amp;$B$11,"")&amp;IF(AND(N29=0,N28&gt;0),"; "&amp;$B$12,"")&amp;IF(AND(R29=0,R28&gt;0),"; "&amp;$B$13,"")&amp;IF(AND(V29=0,V28&gt;0),"; "&amp;$B$14,"")&amp;IF(AND(Z29=0,Z28&gt;0),"; "&amp;$B$15,"")&amp;IF(AND(AD29=0,AD28&gt;0),"; "&amp;$B$16,"")&amp;IF(AND(AH29=0,AH28&gt;0),"; "&amp;$B$17,"")&amp;IF(AND(AL29=0,AL28&gt;0),"; "&amp;$B$18,"")&amp;IF(AND(AP29=0,AP28&gt;0),"; "&amp;$B$19,""),3,200)</f>
        <v/>
      </c>
    </row>
    <row r="30">
      <c r="A30" s="154" t="n">
        <v>6</v>
      </c>
      <c r="B30" s="156">
        <f>EDATE($B$5,A30-1)</f>
        <v/>
      </c>
      <c r="C30" s="155">
        <f>ROUND(F29*$D$10,2)</f>
        <v/>
      </c>
      <c r="D30" s="155">
        <f>MIN($E$10,F29+C30)</f>
        <v/>
      </c>
      <c r="E30" s="155">
        <f>MIN(F29+C30-D30,MAX(0,$AQ30-(0)))</f>
        <v/>
      </c>
      <c r="F30" s="155">
        <f>ROUND(F29+C30-D30-E30,2)</f>
        <v/>
      </c>
      <c r="G30" s="155">
        <f>ROUND(J29*$D$11,2)</f>
        <v/>
      </c>
      <c r="H30" s="155">
        <f>MIN($E$11,J29+G30)</f>
        <v/>
      </c>
      <c r="I30" s="155">
        <f>MIN(J29+G30-H30,MAX(0,$AQ30-(E30)))</f>
        <v/>
      </c>
      <c r="J30" s="155">
        <f>ROUND(J29+G30-H30-I30,2)</f>
        <v/>
      </c>
      <c r="K30" s="155">
        <f>ROUND(N29*$D$12,2)</f>
        <v/>
      </c>
      <c r="L30" s="155">
        <f>MIN($E$12,N29+K30)</f>
        <v/>
      </c>
      <c r="M30" s="155">
        <f>MIN(N29+K30-L30,MAX(0,$AQ30-(E30+I30)))</f>
        <v/>
      </c>
      <c r="N30" s="155">
        <f>ROUND(N29+K30-L30-M30,2)</f>
        <v/>
      </c>
      <c r="O30" s="155">
        <f>ROUND(R29*$D$13,2)</f>
        <v/>
      </c>
      <c r="P30" s="155">
        <f>MIN($E$13,R29+O30)</f>
        <v/>
      </c>
      <c r="Q30" s="155">
        <f>MIN(R29+O30-P30,MAX(0,$AQ30-(E30+I30+M30)))</f>
        <v/>
      </c>
      <c r="R30" s="155">
        <f>ROUND(R29+O30-P30-Q30,2)</f>
        <v/>
      </c>
      <c r="S30" s="155">
        <f>ROUND(V29*$D$14,2)</f>
        <v/>
      </c>
      <c r="T30" s="155">
        <f>MIN($E$14,V29+S30)</f>
        <v/>
      </c>
      <c r="U30" s="155">
        <f>MIN(V29+S30-T30,MAX(0,$AQ30-(E30+I30+M30+Q30)))</f>
        <v/>
      </c>
      <c r="V30" s="155">
        <f>ROUND(V29+S30-T30-U30,2)</f>
        <v/>
      </c>
      <c r="W30" s="155">
        <f>ROUND(Z29*$D$15,2)</f>
        <v/>
      </c>
      <c r="X30" s="155">
        <f>MIN($E$15,Z29+W30)</f>
        <v/>
      </c>
      <c r="Y30" s="155">
        <f>MIN(Z29+W30-X30,MAX(0,$AQ30-(E30+I30+M30+Q30+U30)))</f>
        <v/>
      </c>
      <c r="Z30" s="155">
        <f>ROUND(Z29+W30-X30-Y30,2)</f>
        <v/>
      </c>
      <c r="AA30" s="155">
        <f>ROUND(AD29*$D$16,2)</f>
        <v/>
      </c>
      <c r="AB30" s="155">
        <f>MIN($E$16,AD29+AA30)</f>
        <v/>
      </c>
      <c r="AC30" s="155">
        <f>MIN(AD29+AA30-AB30,MAX(0,$AQ30-(E30+I30+M30+Q30+U30+Y30)))</f>
        <v/>
      </c>
      <c r="AD30" s="155">
        <f>ROUND(AD29+AA30-AB30-AC30,2)</f>
        <v/>
      </c>
      <c r="AE30" s="155">
        <f>ROUND(AH29*$D$17,2)</f>
        <v/>
      </c>
      <c r="AF30" s="155">
        <f>MIN($E$17,AH29+AE30)</f>
        <v/>
      </c>
      <c r="AG30" s="155">
        <f>MIN(AH29+AE30-AF30,MAX(0,$AQ30-(E30+I30+M30+Q30+U30+Y30+AC30)))</f>
        <v/>
      </c>
      <c r="AH30" s="155">
        <f>ROUND(AH29+AE30-AF30-AG30,2)</f>
        <v/>
      </c>
      <c r="AI30" s="155">
        <f>ROUND(AL29*$D$18,2)</f>
        <v/>
      </c>
      <c r="AJ30" s="155">
        <f>MIN($E$18,AL29+AI30)</f>
        <v/>
      </c>
      <c r="AK30" s="155">
        <f>MIN(AL29+AI30-AJ30,MAX(0,$AQ30-(E30+I30+M30+Q30+U30+Y30+AC30+AG30)))</f>
        <v/>
      </c>
      <c r="AL30" s="155">
        <f>ROUND(AL29+AI30-AJ30-AK30,2)</f>
        <v/>
      </c>
      <c r="AM30" s="155">
        <f>ROUND(AP29*$D$19,2)</f>
        <v/>
      </c>
      <c r="AN30" s="155">
        <f>MIN($E$19,AP29+AM30)</f>
        <v/>
      </c>
      <c r="AO30" s="155">
        <f>MIN(AP29+AM30-AN30,MAX(0,$AQ30-(E30+I30+M30+Q30+U30+Y30+AC30+AG30+AK30)))</f>
        <v/>
      </c>
      <c r="AP30" s="155">
        <f>ROUND(AP29+AM30-AN30-AO30,2)</f>
        <v/>
      </c>
      <c r="AQ30" s="155">
        <f>MAX(0,$B$6-(D30+H30+L30+P30+T30+X30+AB30+AF30+AJ30+AN30))</f>
        <v/>
      </c>
      <c r="AR30" s="155">
        <f>D30+H30+L30+P30+T30+X30+AB30+AF30+AJ30+AN30+E30+I30+M30+Q30+U30+Y30+AC30+AG30+AK30+AO30</f>
        <v/>
      </c>
      <c r="AS30" s="155">
        <f>C30+G30+K30+O30+S30+W30+AA30+AE30+AI30+AM30</f>
        <v/>
      </c>
      <c r="AT30" s="155">
        <f>F30+J30+N30+R30+V30+Z30+AD30+AH30+AL30+AP30</f>
        <v/>
      </c>
      <c r="AU30" s="157">
        <f>MID(IF(AND(F30=0,F29&gt;0),"; "&amp;$B$10,"")&amp;IF(AND(J30=0,J29&gt;0),"; "&amp;$B$11,"")&amp;IF(AND(N30=0,N29&gt;0),"; "&amp;$B$12,"")&amp;IF(AND(R30=0,R29&gt;0),"; "&amp;$B$13,"")&amp;IF(AND(V30=0,V29&gt;0),"; "&amp;$B$14,"")&amp;IF(AND(Z30=0,Z29&gt;0),"; "&amp;$B$15,"")&amp;IF(AND(AD30=0,AD29&gt;0),"; "&amp;$B$16,"")&amp;IF(AND(AH30=0,AH29&gt;0),"; "&amp;$B$17,"")&amp;IF(AND(AL30=0,AL29&gt;0),"; "&amp;$B$18,"")&amp;IF(AND(AP30=0,AP29&gt;0),"; "&amp;$B$19,""),3,200)</f>
        <v/>
      </c>
    </row>
    <row r="31">
      <c r="A31" s="154" t="n">
        <v>7</v>
      </c>
      <c r="B31" s="156">
        <f>EDATE($B$5,A31-1)</f>
        <v/>
      </c>
      <c r="C31" s="155">
        <f>ROUND(F30*$D$10,2)</f>
        <v/>
      </c>
      <c r="D31" s="155">
        <f>MIN($E$10,F30+C31)</f>
        <v/>
      </c>
      <c r="E31" s="155">
        <f>MIN(F30+C31-D31,MAX(0,$AQ31-(0)))</f>
        <v/>
      </c>
      <c r="F31" s="155">
        <f>ROUND(F30+C31-D31-E31,2)</f>
        <v/>
      </c>
      <c r="G31" s="155">
        <f>ROUND(J30*$D$11,2)</f>
        <v/>
      </c>
      <c r="H31" s="155">
        <f>MIN($E$11,J30+G31)</f>
        <v/>
      </c>
      <c r="I31" s="155">
        <f>MIN(J30+G31-H31,MAX(0,$AQ31-(E31)))</f>
        <v/>
      </c>
      <c r="J31" s="155">
        <f>ROUND(J30+G31-H31-I31,2)</f>
        <v/>
      </c>
      <c r="K31" s="155">
        <f>ROUND(N30*$D$12,2)</f>
        <v/>
      </c>
      <c r="L31" s="155">
        <f>MIN($E$12,N30+K31)</f>
        <v/>
      </c>
      <c r="M31" s="155">
        <f>MIN(N30+K31-L31,MAX(0,$AQ31-(E31+I31)))</f>
        <v/>
      </c>
      <c r="N31" s="155">
        <f>ROUND(N30+K31-L31-M31,2)</f>
        <v/>
      </c>
      <c r="O31" s="155">
        <f>ROUND(R30*$D$13,2)</f>
        <v/>
      </c>
      <c r="P31" s="155">
        <f>MIN($E$13,R30+O31)</f>
        <v/>
      </c>
      <c r="Q31" s="155">
        <f>MIN(R30+O31-P31,MAX(0,$AQ31-(E31+I31+M31)))</f>
        <v/>
      </c>
      <c r="R31" s="155">
        <f>ROUND(R30+O31-P31-Q31,2)</f>
        <v/>
      </c>
      <c r="S31" s="155">
        <f>ROUND(V30*$D$14,2)</f>
        <v/>
      </c>
      <c r="T31" s="155">
        <f>MIN($E$14,V30+S31)</f>
        <v/>
      </c>
      <c r="U31" s="155">
        <f>MIN(V30+S31-T31,MAX(0,$AQ31-(E31+I31+M31+Q31)))</f>
        <v/>
      </c>
      <c r="V31" s="155">
        <f>ROUND(V30+S31-T31-U31,2)</f>
        <v/>
      </c>
      <c r="W31" s="155">
        <f>ROUND(Z30*$D$15,2)</f>
        <v/>
      </c>
      <c r="X31" s="155">
        <f>MIN($E$15,Z30+W31)</f>
        <v/>
      </c>
      <c r="Y31" s="155">
        <f>MIN(Z30+W31-X31,MAX(0,$AQ31-(E31+I31+M31+Q31+U31)))</f>
        <v/>
      </c>
      <c r="Z31" s="155">
        <f>ROUND(Z30+W31-X31-Y31,2)</f>
        <v/>
      </c>
      <c r="AA31" s="155">
        <f>ROUND(AD30*$D$16,2)</f>
        <v/>
      </c>
      <c r="AB31" s="155">
        <f>MIN($E$16,AD30+AA31)</f>
        <v/>
      </c>
      <c r="AC31" s="155">
        <f>MIN(AD30+AA31-AB31,MAX(0,$AQ31-(E31+I31+M31+Q31+U31+Y31)))</f>
        <v/>
      </c>
      <c r="AD31" s="155">
        <f>ROUND(AD30+AA31-AB31-AC31,2)</f>
        <v/>
      </c>
      <c r="AE31" s="155">
        <f>ROUND(AH30*$D$17,2)</f>
        <v/>
      </c>
      <c r="AF31" s="155">
        <f>MIN($E$17,AH30+AE31)</f>
        <v/>
      </c>
      <c r="AG31" s="155">
        <f>MIN(AH30+AE31-AF31,MAX(0,$AQ31-(E31+I31+M31+Q31+U31+Y31+AC31)))</f>
        <v/>
      </c>
      <c r="AH31" s="155">
        <f>ROUND(AH30+AE31-AF31-AG31,2)</f>
        <v/>
      </c>
      <c r="AI31" s="155">
        <f>ROUND(AL30*$D$18,2)</f>
        <v/>
      </c>
      <c r="AJ31" s="155">
        <f>MIN($E$18,AL30+AI31)</f>
        <v/>
      </c>
      <c r="AK31" s="155">
        <f>MIN(AL30+AI31-AJ31,MAX(0,$AQ31-(E31+I31+M31+Q31+U31+Y31+AC31+AG31)))</f>
        <v/>
      </c>
      <c r="AL31" s="155">
        <f>ROUND(AL30+AI31-AJ31-AK31,2)</f>
        <v/>
      </c>
      <c r="AM31" s="155">
        <f>ROUND(AP30*$D$19,2)</f>
        <v/>
      </c>
      <c r="AN31" s="155">
        <f>MIN($E$19,AP30+AM31)</f>
        <v/>
      </c>
      <c r="AO31" s="155">
        <f>MIN(AP30+AM31-AN31,MAX(0,$AQ31-(E31+I31+M31+Q31+U31+Y31+AC31+AG31+AK31)))</f>
        <v/>
      </c>
      <c r="AP31" s="155">
        <f>ROUND(AP30+AM31-AN31-AO31,2)</f>
        <v/>
      </c>
      <c r="AQ31" s="155">
        <f>MAX(0,$B$6-(D31+H31+L31+P31+T31+X31+AB31+AF31+AJ31+AN31))</f>
        <v/>
      </c>
      <c r="AR31" s="155">
        <f>D31+H31+L31+P31+T31+X31+AB31+AF31+AJ31+AN31+E31+I31+M31+Q31+U31+Y31+AC31+AG31+AK31+AO31</f>
        <v/>
      </c>
      <c r="AS31" s="155">
        <f>C31+G31+K31+O31+S31+W31+AA31+AE31+AI31+AM31</f>
        <v/>
      </c>
      <c r="AT31" s="155">
        <f>F31+J31+N31+R31+V31+Z31+AD31+AH31+AL31+AP31</f>
        <v/>
      </c>
      <c r="AU31" s="157">
        <f>MID(IF(AND(F31=0,F30&gt;0),"; "&amp;$B$10,"")&amp;IF(AND(J31=0,J30&gt;0),"; "&amp;$B$11,"")&amp;IF(AND(N31=0,N30&gt;0),"; "&amp;$B$12,"")&amp;IF(AND(R31=0,R30&gt;0),"; "&amp;$B$13,"")&amp;IF(AND(V31=0,V30&gt;0),"; "&amp;$B$14,"")&amp;IF(AND(Z31=0,Z30&gt;0),"; "&amp;$B$15,"")&amp;IF(AND(AD31=0,AD30&gt;0),"; "&amp;$B$16,"")&amp;IF(AND(AH31=0,AH30&gt;0),"; "&amp;$B$17,"")&amp;IF(AND(AL31=0,AL30&gt;0),"; "&amp;$B$18,"")&amp;IF(AND(AP31=0,AP30&gt;0),"; "&amp;$B$19,""),3,200)</f>
        <v/>
      </c>
    </row>
    <row r="32">
      <c r="A32" s="154" t="n">
        <v>8</v>
      </c>
      <c r="B32" s="156">
        <f>EDATE($B$5,A32-1)</f>
        <v/>
      </c>
      <c r="C32" s="155">
        <f>ROUND(F31*$D$10,2)</f>
        <v/>
      </c>
      <c r="D32" s="155">
        <f>MIN($E$10,F31+C32)</f>
        <v/>
      </c>
      <c r="E32" s="155">
        <f>MIN(F31+C32-D32,MAX(0,$AQ32-(0)))</f>
        <v/>
      </c>
      <c r="F32" s="155">
        <f>ROUND(F31+C32-D32-E32,2)</f>
        <v/>
      </c>
      <c r="G32" s="155">
        <f>ROUND(J31*$D$11,2)</f>
        <v/>
      </c>
      <c r="H32" s="155">
        <f>MIN($E$11,J31+G32)</f>
        <v/>
      </c>
      <c r="I32" s="155">
        <f>MIN(J31+G32-H32,MAX(0,$AQ32-(E32)))</f>
        <v/>
      </c>
      <c r="J32" s="155">
        <f>ROUND(J31+G32-H32-I32,2)</f>
        <v/>
      </c>
      <c r="K32" s="155">
        <f>ROUND(N31*$D$12,2)</f>
        <v/>
      </c>
      <c r="L32" s="155">
        <f>MIN($E$12,N31+K32)</f>
        <v/>
      </c>
      <c r="M32" s="155">
        <f>MIN(N31+K32-L32,MAX(0,$AQ32-(E32+I32)))</f>
        <v/>
      </c>
      <c r="N32" s="155">
        <f>ROUND(N31+K32-L32-M32,2)</f>
        <v/>
      </c>
      <c r="O32" s="155">
        <f>ROUND(R31*$D$13,2)</f>
        <v/>
      </c>
      <c r="P32" s="155">
        <f>MIN($E$13,R31+O32)</f>
        <v/>
      </c>
      <c r="Q32" s="155">
        <f>MIN(R31+O32-P32,MAX(0,$AQ32-(E32+I32+M32)))</f>
        <v/>
      </c>
      <c r="R32" s="155">
        <f>ROUND(R31+O32-P32-Q32,2)</f>
        <v/>
      </c>
      <c r="S32" s="155">
        <f>ROUND(V31*$D$14,2)</f>
        <v/>
      </c>
      <c r="T32" s="155">
        <f>MIN($E$14,V31+S32)</f>
        <v/>
      </c>
      <c r="U32" s="155">
        <f>MIN(V31+S32-T32,MAX(0,$AQ32-(E32+I32+M32+Q32)))</f>
        <v/>
      </c>
      <c r="V32" s="155">
        <f>ROUND(V31+S32-T32-U32,2)</f>
        <v/>
      </c>
      <c r="W32" s="155">
        <f>ROUND(Z31*$D$15,2)</f>
        <v/>
      </c>
      <c r="X32" s="155">
        <f>MIN($E$15,Z31+W32)</f>
        <v/>
      </c>
      <c r="Y32" s="155">
        <f>MIN(Z31+W32-X32,MAX(0,$AQ32-(E32+I32+M32+Q32+U32)))</f>
        <v/>
      </c>
      <c r="Z32" s="155">
        <f>ROUND(Z31+W32-X32-Y32,2)</f>
        <v/>
      </c>
      <c r="AA32" s="155">
        <f>ROUND(AD31*$D$16,2)</f>
        <v/>
      </c>
      <c r="AB32" s="155">
        <f>MIN($E$16,AD31+AA32)</f>
        <v/>
      </c>
      <c r="AC32" s="155">
        <f>MIN(AD31+AA32-AB32,MAX(0,$AQ32-(E32+I32+M32+Q32+U32+Y32)))</f>
        <v/>
      </c>
      <c r="AD32" s="155">
        <f>ROUND(AD31+AA32-AB32-AC32,2)</f>
        <v/>
      </c>
      <c r="AE32" s="155">
        <f>ROUND(AH31*$D$17,2)</f>
        <v/>
      </c>
      <c r="AF32" s="155">
        <f>MIN($E$17,AH31+AE32)</f>
        <v/>
      </c>
      <c r="AG32" s="155">
        <f>MIN(AH31+AE32-AF32,MAX(0,$AQ32-(E32+I32+M32+Q32+U32+Y32+AC32)))</f>
        <v/>
      </c>
      <c r="AH32" s="155">
        <f>ROUND(AH31+AE32-AF32-AG32,2)</f>
        <v/>
      </c>
      <c r="AI32" s="155">
        <f>ROUND(AL31*$D$18,2)</f>
        <v/>
      </c>
      <c r="AJ32" s="155">
        <f>MIN($E$18,AL31+AI32)</f>
        <v/>
      </c>
      <c r="AK32" s="155">
        <f>MIN(AL31+AI32-AJ32,MAX(0,$AQ32-(E32+I32+M32+Q32+U32+Y32+AC32+AG32)))</f>
        <v/>
      </c>
      <c r="AL32" s="155">
        <f>ROUND(AL31+AI32-AJ32-AK32,2)</f>
        <v/>
      </c>
      <c r="AM32" s="155">
        <f>ROUND(AP31*$D$19,2)</f>
        <v/>
      </c>
      <c r="AN32" s="155">
        <f>MIN($E$19,AP31+AM32)</f>
        <v/>
      </c>
      <c r="AO32" s="155">
        <f>MIN(AP31+AM32-AN32,MAX(0,$AQ32-(E32+I32+M32+Q32+U32+Y32+AC32+AG32+AK32)))</f>
        <v/>
      </c>
      <c r="AP32" s="155">
        <f>ROUND(AP31+AM32-AN32-AO32,2)</f>
        <v/>
      </c>
      <c r="AQ32" s="155">
        <f>MAX(0,$B$6-(D32+H32+L32+P32+T32+X32+AB32+AF32+AJ32+AN32))</f>
        <v/>
      </c>
      <c r="AR32" s="155">
        <f>D32+H32+L32+P32+T32+X32+AB32+AF32+AJ32+AN32+E32+I32+M32+Q32+U32+Y32+AC32+AG32+AK32+AO32</f>
        <v/>
      </c>
      <c r="AS32" s="155">
        <f>C32+G32+K32+O32+S32+W32+AA32+AE32+AI32+AM32</f>
        <v/>
      </c>
      <c r="AT32" s="155">
        <f>F32+J32+N32+R32+V32+Z32+AD32+AH32+AL32+AP32</f>
        <v/>
      </c>
      <c r="AU32" s="157">
        <f>MID(IF(AND(F32=0,F31&gt;0),"; "&amp;$B$10,"")&amp;IF(AND(J32=0,J31&gt;0),"; "&amp;$B$11,"")&amp;IF(AND(N32=0,N31&gt;0),"; "&amp;$B$12,"")&amp;IF(AND(R32=0,R31&gt;0),"; "&amp;$B$13,"")&amp;IF(AND(V32=0,V31&gt;0),"; "&amp;$B$14,"")&amp;IF(AND(Z32=0,Z31&gt;0),"; "&amp;$B$15,"")&amp;IF(AND(AD32=0,AD31&gt;0),"; "&amp;$B$16,"")&amp;IF(AND(AH32=0,AH31&gt;0),"; "&amp;$B$17,"")&amp;IF(AND(AL32=0,AL31&gt;0),"; "&amp;$B$18,"")&amp;IF(AND(AP32=0,AP31&gt;0),"; "&amp;$B$19,""),3,200)</f>
        <v/>
      </c>
    </row>
    <row r="33">
      <c r="A33" s="154" t="n">
        <v>9</v>
      </c>
      <c r="B33" s="156">
        <f>EDATE($B$5,A33-1)</f>
        <v/>
      </c>
      <c r="C33" s="155">
        <f>ROUND(F32*$D$10,2)</f>
        <v/>
      </c>
      <c r="D33" s="155">
        <f>MIN($E$10,F32+C33)</f>
        <v/>
      </c>
      <c r="E33" s="155">
        <f>MIN(F32+C33-D33,MAX(0,$AQ33-(0)))</f>
        <v/>
      </c>
      <c r="F33" s="155">
        <f>ROUND(F32+C33-D33-E33,2)</f>
        <v/>
      </c>
      <c r="G33" s="155">
        <f>ROUND(J32*$D$11,2)</f>
        <v/>
      </c>
      <c r="H33" s="155">
        <f>MIN($E$11,J32+G33)</f>
        <v/>
      </c>
      <c r="I33" s="155">
        <f>MIN(J32+G33-H33,MAX(0,$AQ33-(E33)))</f>
        <v/>
      </c>
      <c r="J33" s="155">
        <f>ROUND(J32+G33-H33-I33,2)</f>
        <v/>
      </c>
      <c r="K33" s="155">
        <f>ROUND(N32*$D$12,2)</f>
        <v/>
      </c>
      <c r="L33" s="155">
        <f>MIN($E$12,N32+K33)</f>
        <v/>
      </c>
      <c r="M33" s="155">
        <f>MIN(N32+K33-L33,MAX(0,$AQ33-(E33+I33)))</f>
        <v/>
      </c>
      <c r="N33" s="155">
        <f>ROUND(N32+K33-L33-M33,2)</f>
        <v/>
      </c>
      <c r="O33" s="155">
        <f>ROUND(R32*$D$13,2)</f>
        <v/>
      </c>
      <c r="P33" s="155">
        <f>MIN($E$13,R32+O33)</f>
        <v/>
      </c>
      <c r="Q33" s="155">
        <f>MIN(R32+O33-P33,MAX(0,$AQ33-(E33+I33+M33)))</f>
        <v/>
      </c>
      <c r="R33" s="155">
        <f>ROUND(R32+O33-P33-Q33,2)</f>
        <v/>
      </c>
      <c r="S33" s="155">
        <f>ROUND(V32*$D$14,2)</f>
        <v/>
      </c>
      <c r="T33" s="155">
        <f>MIN($E$14,V32+S33)</f>
        <v/>
      </c>
      <c r="U33" s="155">
        <f>MIN(V32+S33-T33,MAX(0,$AQ33-(E33+I33+M33+Q33)))</f>
        <v/>
      </c>
      <c r="V33" s="155">
        <f>ROUND(V32+S33-T33-U33,2)</f>
        <v/>
      </c>
      <c r="W33" s="155">
        <f>ROUND(Z32*$D$15,2)</f>
        <v/>
      </c>
      <c r="X33" s="155">
        <f>MIN($E$15,Z32+W33)</f>
        <v/>
      </c>
      <c r="Y33" s="155">
        <f>MIN(Z32+W33-X33,MAX(0,$AQ33-(E33+I33+M33+Q33+U33)))</f>
        <v/>
      </c>
      <c r="Z33" s="155">
        <f>ROUND(Z32+W33-X33-Y33,2)</f>
        <v/>
      </c>
      <c r="AA33" s="155">
        <f>ROUND(AD32*$D$16,2)</f>
        <v/>
      </c>
      <c r="AB33" s="155">
        <f>MIN($E$16,AD32+AA33)</f>
        <v/>
      </c>
      <c r="AC33" s="155">
        <f>MIN(AD32+AA33-AB33,MAX(0,$AQ33-(E33+I33+M33+Q33+U33+Y33)))</f>
        <v/>
      </c>
      <c r="AD33" s="155">
        <f>ROUND(AD32+AA33-AB33-AC33,2)</f>
        <v/>
      </c>
      <c r="AE33" s="155">
        <f>ROUND(AH32*$D$17,2)</f>
        <v/>
      </c>
      <c r="AF33" s="155">
        <f>MIN($E$17,AH32+AE33)</f>
        <v/>
      </c>
      <c r="AG33" s="155">
        <f>MIN(AH32+AE33-AF33,MAX(0,$AQ33-(E33+I33+M33+Q33+U33+Y33+AC33)))</f>
        <v/>
      </c>
      <c r="AH33" s="155">
        <f>ROUND(AH32+AE33-AF33-AG33,2)</f>
        <v/>
      </c>
      <c r="AI33" s="155">
        <f>ROUND(AL32*$D$18,2)</f>
        <v/>
      </c>
      <c r="AJ33" s="155">
        <f>MIN($E$18,AL32+AI33)</f>
        <v/>
      </c>
      <c r="AK33" s="155">
        <f>MIN(AL32+AI33-AJ33,MAX(0,$AQ33-(E33+I33+M33+Q33+U33+Y33+AC33+AG33)))</f>
        <v/>
      </c>
      <c r="AL33" s="155">
        <f>ROUND(AL32+AI33-AJ33-AK33,2)</f>
        <v/>
      </c>
      <c r="AM33" s="155">
        <f>ROUND(AP32*$D$19,2)</f>
        <v/>
      </c>
      <c r="AN33" s="155">
        <f>MIN($E$19,AP32+AM33)</f>
        <v/>
      </c>
      <c r="AO33" s="155">
        <f>MIN(AP32+AM33-AN33,MAX(0,$AQ33-(E33+I33+M33+Q33+U33+Y33+AC33+AG33+AK33)))</f>
        <v/>
      </c>
      <c r="AP33" s="155">
        <f>ROUND(AP32+AM33-AN33-AO33,2)</f>
        <v/>
      </c>
      <c r="AQ33" s="155">
        <f>MAX(0,$B$6-(D33+H33+L33+P33+T33+X33+AB33+AF33+AJ33+AN33))</f>
        <v/>
      </c>
      <c r="AR33" s="155">
        <f>D33+H33+L33+P33+T33+X33+AB33+AF33+AJ33+AN33+E33+I33+M33+Q33+U33+Y33+AC33+AG33+AK33+AO33</f>
        <v/>
      </c>
      <c r="AS33" s="155">
        <f>C33+G33+K33+O33+S33+W33+AA33+AE33+AI33+AM33</f>
        <v/>
      </c>
      <c r="AT33" s="155">
        <f>F33+J33+N33+R33+V33+Z33+AD33+AH33+AL33+AP33</f>
        <v/>
      </c>
      <c r="AU33" s="157">
        <f>MID(IF(AND(F33=0,F32&gt;0),"; "&amp;$B$10,"")&amp;IF(AND(J33=0,J32&gt;0),"; "&amp;$B$11,"")&amp;IF(AND(N33=0,N32&gt;0),"; "&amp;$B$12,"")&amp;IF(AND(R33=0,R32&gt;0),"; "&amp;$B$13,"")&amp;IF(AND(V33=0,V32&gt;0),"; "&amp;$B$14,"")&amp;IF(AND(Z33=0,Z32&gt;0),"; "&amp;$B$15,"")&amp;IF(AND(AD33=0,AD32&gt;0),"; "&amp;$B$16,"")&amp;IF(AND(AH33=0,AH32&gt;0),"; "&amp;$B$17,"")&amp;IF(AND(AL33=0,AL32&gt;0),"; "&amp;$B$18,"")&amp;IF(AND(AP33=0,AP32&gt;0),"; "&amp;$B$19,""),3,200)</f>
        <v/>
      </c>
    </row>
    <row r="34">
      <c r="A34" s="154" t="n">
        <v>10</v>
      </c>
      <c r="B34" s="156">
        <f>EDATE($B$5,A34-1)</f>
        <v/>
      </c>
      <c r="C34" s="155">
        <f>ROUND(F33*$D$10,2)</f>
        <v/>
      </c>
      <c r="D34" s="155">
        <f>MIN($E$10,F33+C34)</f>
        <v/>
      </c>
      <c r="E34" s="155">
        <f>MIN(F33+C34-D34,MAX(0,$AQ34-(0)))</f>
        <v/>
      </c>
      <c r="F34" s="155">
        <f>ROUND(F33+C34-D34-E34,2)</f>
        <v/>
      </c>
      <c r="G34" s="155">
        <f>ROUND(J33*$D$11,2)</f>
        <v/>
      </c>
      <c r="H34" s="155">
        <f>MIN($E$11,J33+G34)</f>
        <v/>
      </c>
      <c r="I34" s="155">
        <f>MIN(J33+G34-H34,MAX(0,$AQ34-(E34)))</f>
        <v/>
      </c>
      <c r="J34" s="155">
        <f>ROUND(J33+G34-H34-I34,2)</f>
        <v/>
      </c>
      <c r="K34" s="155">
        <f>ROUND(N33*$D$12,2)</f>
        <v/>
      </c>
      <c r="L34" s="155">
        <f>MIN($E$12,N33+K34)</f>
        <v/>
      </c>
      <c r="M34" s="155">
        <f>MIN(N33+K34-L34,MAX(0,$AQ34-(E34+I34)))</f>
        <v/>
      </c>
      <c r="N34" s="155">
        <f>ROUND(N33+K34-L34-M34,2)</f>
        <v/>
      </c>
      <c r="O34" s="155">
        <f>ROUND(R33*$D$13,2)</f>
        <v/>
      </c>
      <c r="P34" s="155">
        <f>MIN($E$13,R33+O34)</f>
        <v/>
      </c>
      <c r="Q34" s="155">
        <f>MIN(R33+O34-P34,MAX(0,$AQ34-(E34+I34+M34)))</f>
        <v/>
      </c>
      <c r="R34" s="155">
        <f>ROUND(R33+O34-P34-Q34,2)</f>
        <v/>
      </c>
      <c r="S34" s="155">
        <f>ROUND(V33*$D$14,2)</f>
        <v/>
      </c>
      <c r="T34" s="155">
        <f>MIN($E$14,V33+S34)</f>
        <v/>
      </c>
      <c r="U34" s="155">
        <f>MIN(V33+S34-T34,MAX(0,$AQ34-(E34+I34+M34+Q34)))</f>
        <v/>
      </c>
      <c r="V34" s="155">
        <f>ROUND(V33+S34-T34-U34,2)</f>
        <v/>
      </c>
      <c r="W34" s="155">
        <f>ROUND(Z33*$D$15,2)</f>
        <v/>
      </c>
      <c r="X34" s="155">
        <f>MIN($E$15,Z33+W34)</f>
        <v/>
      </c>
      <c r="Y34" s="155">
        <f>MIN(Z33+W34-X34,MAX(0,$AQ34-(E34+I34+M34+Q34+U34)))</f>
        <v/>
      </c>
      <c r="Z34" s="155">
        <f>ROUND(Z33+W34-X34-Y34,2)</f>
        <v/>
      </c>
      <c r="AA34" s="155">
        <f>ROUND(AD33*$D$16,2)</f>
        <v/>
      </c>
      <c r="AB34" s="155">
        <f>MIN($E$16,AD33+AA34)</f>
        <v/>
      </c>
      <c r="AC34" s="155">
        <f>MIN(AD33+AA34-AB34,MAX(0,$AQ34-(E34+I34+M34+Q34+U34+Y34)))</f>
        <v/>
      </c>
      <c r="AD34" s="155">
        <f>ROUND(AD33+AA34-AB34-AC34,2)</f>
        <v/>
      </c>
      <c r="AE34" s="155">
        <f>ROUND(AH33*$D$17,2)</f>
        <v/>
      </c>
      <c r="AF34" s="155">
        <f>MIN($E$17,AH33+AE34)</f>
        <v/>
      </c>
      <c r="AG34" s="155">
        <f>MIN(AH33+AE34-AF34,MAX(0,$AQ34-(E34+I34+M34+Q34+U34+Y34+AC34)))</f>
        <v/>
      </c>
      <c r="AH34" s="155">
        <f>ROUND(AH33+AE34-AF34-AG34,2)</f>
        <v/>
      </c>
      <c r="AI34" s="155">
        <f>ROUND(AL33*$D$18,2)</f>
        <v/>
      </c>
      <c r="AJ34" s="155">
        <f>MIN($E$18,AL33+AI34)</f>
        <v/>
      </c>
      <c r="AK34" s="155">
        <f>MIN(AL33+AI34-AJ34,MAX(0,$AQ34-(E34+I34+M34+Q34+U34+Y34+AC34+AG34)))</f>
        <v/>
      </c>
      <c r="AL34" s="155">
        <f>ROUND(AL33+AI34-AJ34-AK34,2)</f>
        <v/>
      </c>
      <c r="AM34" s="155">
        <f>ROUND(AP33*$D$19,2)</f>
        <v/>
      </c>
      <c r="AN34" s="155">
        <f>MIN($E$19,AP33+AM34)</f>
        <v/>
      </c>
      <c r="AO34" s="155">
        <f>MIN(AP33+AM34-AN34,MAX(0,$AQ34-(E34+I34+M34+Q34+U34+Y34+AC34+AG34+AK34)))</f>
        <v/>
      </c>
      <c r="AP34" s="155">
        <f>ROUND(AP33+AM34-AN34-AO34,2)</f>
        <v/>
      </c>
      <c r="AQ34" s="155">
        <f>MAX(0,$B$6-(D34+H34+L34+P34+T34+X34+AB34+AF34+AJ34+AN34))</f>
        <v/>
      </c>
      <c r="AR34" s="155">
        <f>D34+H34+L34+P34+T34+X34+AB34+AF34+AJ34+AN34+E34+I34+M34+Q34+U34+Y34+AC34+AG34+AK34+AO34</f>
        <v/>
      </c>
      <c r="AS34" s="155">
        <f>C34+G34+K34+O34+S34+W34+AA34+AE34+AI34+AM34</f>
        <v/>
      </c>
      <c r="AT34" s="155">
        <f>F34+J34+N34+R34+V34+Z34+AD34+AH34+AL34+AP34</f>
        <v/>
      </c>
      <c r="AU34" s="157">
        <f>MID(IF(AND(F34=0,F33&gt;0),"; "&amp;$B$10,"")&amp;IF(AND(J34=0,J33&gt;0),"; "&amp;$B$11,"")&amp;IF(AND(N34=0,N33&gt;0),"; "&amp;$B$12,"")&amp;IF(AND(R34=0,R33&gt;0),"; "&amp;$B$13,"")&amp;IF(AND(V34=0,V33&gt;0),"; "&amp;$B$14,"")&amp;IF(AND(Z34=0,Z33&gt;0),"; "&amp;$B$15,"")&amp;IF(AND(AD34=0,AD33&gt;0),"; "&amp;$B$16,"")&amp;IF(AND(AH34=0,AH33&gt;0),"; "&amp;$B$17,"")&amp;IF(AND(AL34=0,AL33&gt;0),"; "&amp;$B$18,"")&amp;IF(AND(AP34=0,AP33&gt;0),"; "&amp;$B$19,""),3,200)</f>
        <v/>
      </c>
    </row>
    <row r="35">
      <c r="A35" s="154" t="n">
        <v>11</v>
      </c>
      <c r="B35" s="156">
        <f>EDATE($B$5,A35-1)</f>
        <v/>
      </c>
      <c r="C35" s="155">
        <f>ROUND(F34*$D$10,2)</f>
        <v/>
      </c>
      <c r="D35" s="155">
        <f>MIN($E$10,F34+C35)</f>
        <v/>
      </c>
      <c r="E35" s="155">
        <f>MIN(F34+C35-D35,MAX(0,$AQ35-(0)))</f>
        <v/>
      </c>
      <c r="F35" s="155">
        <f>ROUND(F34+C35-D35-E35,2)</f>
        <v/>
      </c>
      <c r="G35" s="155">
        <f>ROUND(J34*$D$11,2)</f>
        <v/>
      </c>
      <c r="H35" s="155">
        <f>MIN($E$11,J34+G35)</f>
        <v/>
      </c>
      <c r="I35" s="155">
        <f>MIN(J34+G35-H35,MAX(0,$AQ35-(E35)))</f>
        <v/>
      </c>
      <c r="J35" s="155">
        <f>ROUND(J34+G35-H35-I35,2)</f>
        <v/>
      </c>
      <c r="K35" s="155">
        <f>ROUND(N34*$D$12,2)</f>
        <v/>
      </c>
      <c r="L35" s="155">
        <f>MIN($E$12,N34+K35)</f>
        <v/>
      </c>
      <c r="M35" s="155">
        <f>MIN(N34+K35-L35,MAX(0,$AQ35-(E35+I35)))</f>
        <v/>
      </c>
      <c r="N35" s="155">
        <f>ROUND(N34+K35-L35-M35,2)</f>
        <v/>
      </c>
      <c r="O35" s="155">
        <f>ROUND(R34*$D$13,2)</f>
        <v/>
      </c>
      <c r="P35" s="155">
        <f>MIN($E$13,R34+O35)</f>
        <v/>
      </c>
      <c r="Q35" s="155">
        <f>MIN(R34+O35-P35,MAX(0,$AQ35-(E35+I35+M35)))</f>
        <v/>
      </c>
      <c r="R35" s="155">
        <f>ROUND(R34+O35-P35-Q35,2)</f>
        <v/>
      </c>
      <c r="S35" s="155">
        <f>ROUND(V34*$D$14,2)</f>
        <v/>
      </c>
      <c r="T35" s="155">
        <f>MIN($E$14,V34+S35)</f>
        <v/>
      </c>
      <c r="U35" s="155">
        <f>MIN(V34+S35-T35,MAX(0,$AQ35-(E35+I35+M35+Q35)))</f>
        <v/>
      </c>
      <c r="V35" s="155">
        <f>ROUND(V34+S35-T35-U35,2)</f>
        <v/>
      </c>
      <c r="W35" s="155">
        <f>ROUND(Z34*$D$15,2)</f>
        <v/>
      </c>
      <c r="X35" s="155">
        <f>MIN($E$15,Z34+W35)</f>
        <v/>
      </c>
      <c r="Y35" s="155">
        <f>MIN(Z34+W35-X35,MAX(0,$AQ35-(E35+I35+M35+Q35+U35)))</f>
        <v/>
      </c>
      <c r="Z35" s="155">
        <f>ROUND(Z34+W35-X35-Y35,2)</f>
        <v/>
      </c>
      <c r="AA35" s="155">
        <f>ROUND(AD34*$D$16,2)</f>
        <v/>
      </c>
      <c r="AB35" s="155">
        <f>MIN($E$16,AD34+AA35)</f>
        <v/>
      </c>
      <c r="AC35" s="155">
        <f>MIN(AD34+AA35-AB35,MAX(0,$AQ35-(E35+I35+M35+Q35+U35+Y35)))</f>
        <v/>
      </c>
      <c r="AD35" s="155">
        <f>ROUND(AD34+AA35-AB35-AC35,2)</f>
        <v/>
      </c>
      <c r="AE35" s="155">
        <f>ROUND(AH34*$D$17,2)</f>
        <v/>
      </c>
      <c r="AF35" s="155">
        <f>MIN($E$17,AH34+AE35)</f>
        <v/>
      </c>
      <c r="AG35" s="155">
        <f>MIN(AH34+AE35-AF35,MAX(0,$AQ35-(E35+I35+M35+Q35+U35+Y35+AC35)))</f>
        <v/>
      </c>
      <c r="AH35" s="155">
        <f>ROUND(AH34+AE35-AF35-AG35,2)</f>
        <v/>
      </c>
      <c r="AI35" s="155">
        <f>ROUND(AL34*$D$18,2)</f>
        <v/>
      </c>
      <c r="AJ35" s="155">
        <f>MIN($E$18,AL34+AI35)</f>
        <v/>
      </c>
      <c r="AK35" s="155">
        <f>MIN(AL34+AI35-AJ35,MAX(0,$AQ35-(E35+I35+M35+Q35+U35+Y35+AC35+AG35)))</f>
        <v/>
      </c>
      <c r="AL35" s="155">
        <f>ROUND(AL34+AI35-AJ35-AK35,2)</f>
        <v/>
      </c>
      <c r="AM35" s="155">
        <f>ROUND(AP34*$D$19,2)</f>
        <v/>
      </c>
      <c r="AN35" s="155">
        <f>MIN($E$19,AP34+AM35)</f>
        <v/>
      </c>
      <c r="AO35" s="155">
        <f>MIN(AP34+AM35-AN35,MAX(0,$AQ35-(E35+I35+M35+Q35+U35+Y35+AC35+AG35+AK35)))</f>
        <v/>
      </c>
      <c r="AP35" s="155">
        <f>ROUND(AP34+AM35-AN35-AO35,2)</f>
        <v/>
      </c>
      <c r="AQ35" s="155">
        <f>MAX(0,$B$6-(D35+H35+L35+P35+T35+X35+AB35+AF35+AJ35+AN35))</f>
        <v/>
      </c>
      <c r="AR35" s="155">
        <f>D35+H35+L35+P35+T35+X35+AB35+AF35+AJ35+AN35+E35+I35+M35+Q35+U35+Y35+AC35+AG35+AK35+AO35</f>
        <v/>
      </c>
      <c r="AS35" s="155">
        <f>C35+G35+K35+O35+S35+W35+AA35+AE35+AI35+AM35</f>
        <v/>
      </c>
      <c r="AT35" s="155">
        <f>F35+J35+N35+R35+V35+Z35+AD35+AH35+AL35+AP35</f>
        <v/>
      </c>
      <c r="AU35" s="157">
        <f>MID(IF(AND(F35=0,F34&gt;0),"; "&amp;$B$10,"")&amp;IF(AND(J35=0,J34&gt;0),"; "&amp;$B$11,"")&amp;IF(AND(N35=0,N34&gt;0),"; "&amp;$B$12,"")&amp;IF(AND(R35=0,R34&gt;0),"; "&amp;$B$13,"")&amp;IF(AND(V35=0,V34&gt;0),"; "&amp;$B$14,"")&amp;IF(AND(Z35=0,Z34&gt;0),"; "&amp;$B$15,"")&amp;IF(AND(AD35=0,AD34&gt;0),"; "&amp;$B$16,"")&amp;IF(AND(AH35=0,AH34&gt;0),"; "&amp;$B$17,"")&amp;IF(AND(AL35=0,AL34&gt;0),"; "&amp;$B$18,"")&amp;IF(AND(AP35=0,AP34&gt;0),"; "&amp;$B$19,""),3,200)</f>
        <v/>
      </c>
    </row>
    <row r="36">
      <c r="A36" s="154" t="n">
        <v>12</v>
      </c>
      <c r="B36" s="156">
        <f>EDATE($B$5,A36-1)</f>
        <v/>
      </c>
      <c r="C36" s="155">
        <f>ROUND(F35*$D$10,2)</f>
        <v/>
      </c>
      <c r="D36" s="155">
        <f>MIN($E$10,F35+C36)</f>
        <v/>
      </c>
      <c r="E36" s="155">
        <f>MIN(F35+C36-D36,MAX(0,$AQ36-(0)))</f>
        <v/>
      </c>
      <c r="F36" s="155">
        <f>ROUND(F35+C36-D36-E36,2)</f>
        <v/>
      </c>
      <c r="G36" s="155">
        <f>ROUND(J35*$D$11,2)</f>
        <v/>
      </c>
      <c r="H36" s="155">
        <f>MIN($E$11,J35+G36)</f>
        <v/>
      </c>
      <c r="I36" s="155">
        <f>MIN(J35+G36-H36,MAX(0,$AQ36-(E36)))</f>
        <v/>
      </c>
      <c r="J36" s="155">
        <f>ROUND(J35+G36-H36-I36,2)</f>
        <v/>
      </c>
      <c r="K36" s="155">
        <f>ROUND(N35*$D$12,2)</f>
        <v/>
      </c>
      <c r="L36" s="155">
        <f>MIN($E$12,N35+K36)</f>
        <v/>
      </c>
      <c r="M36" s="155">
        <f>MIN(N35+K36-L36,MAX(0,$AQ36-(E36+I36)))</f>
        <v/>
      </c>
      <c r="N36" s="155">
        <f>ROUND(N35+K36-L36-M36,2)</f>
        <v/>
      </c>
      <c r="O36" s="155">
        <f>ROUND(R35*$D$13,2)</f>
        <v/>
      </c>
      <c r="P36" s="155">
        <f>MIN($E$13,R35+O36)</f>
        <v/>
      </c>
      <c r="Q36" s="155">
        <f>MIN(R35+O36-P36,MAX(0,$AQ36-(E36+I36+M36)))</f>
        <v/>
      </c>
      <c r="R36" s="155">
        <f>ROUND(R35+O36-P36-Q36,2)</f>
        <v/>
      </c>
      <c r="S36" s="155">
        <f>ROUND(V35*$D$14,2)</f>
        <v/>
      </c>
      <c r="T36" s="155">
        <f>MIN($E$14,V35+S36)</f>
        <v/>
      </c>
      <c r="U36" s="155">
        <f>MIN(V35+S36-T36,MAX(0,$AQ36-(E36+I36+M36+Q36)))</f>
        <v/>
      </c>
      <c r="V36" s="155">
        <f>ROUND(V35+S36-T36-U36,2)</f>
        <v/>
      </c>
      <c r="W36" s="155">
        <f>ROUND(Z35*$D$15,2)</f>
        <v/>
      </c>
      <c r="X36" s="155">
        <f>MIN($E$15,Z35+W36)</f>
        <v/>
      </c>
      <c r="Y36" s="155">
        <f>MIN(Z35+W36-X36,MAX(0,$AQ36-(E36+I36+M36+Q36+U36)))</f>
        <v/>
      </c>
      <c r="Z36" s="155">
        <f>ROUND(Z35+W36-X36-Y36,2)</f>
        <v/>
      </c>
      <c r="AA36" s="155">
        <f>ROUND(AD35*$D$16,2)</f>
        <v/>
      </c>
      <c r="AB36" s="155">
        <f>MIN($E$16,AD35+AA36)</f>
        <v/>
      </c>
      <c r="AC36" s="155">
        <f>MIN(AD35+AA36-AB36,MAX(0,$AQ36-(E36+I36+M36+Q36+U36+Y36)))</f>
        <v/>
      </c>
      <c r="AD36" s="155">
        <f>ROUND(AD35+AA36-AB36-AC36,2)</f>
        <v/>
      </c>
      <c r="AE36" s="155">
        <f>ROUND(AH35*$D$17,2)</f>
        <v/>
      </c>
      <c r="AF36" s="155">
        <f>MIN($E$17,AH35+AE36)</f>
        <v/>
      </c>
      <c r="AG36" s="155">
        <f>MIN(AH35+AE36-AF36,MAX(0,$AQ36-(E36+I36+M36+Q36+U36+Y36+AC36)))</f>
        <v/>
      </c>
      <c r="AH36" s="155">
        <f>ROUND(AH35+AE36-AF36-AG36,2)</f>
        <v/>
      </c>
      <c r="AI36" s="155">
        <f>ROUND(AL35*$D$18,2)</f>
        <v/>
      </c>
      <c r="AJ36" s="155">
        <f>MIN($E$18,AL35+AI36)</f>
        <v/>
      </c>
      <c r="AK36" s="155">
        <f>MIN(AL35+AI36-AJ36,MAX(0,$AQ36-(E36+I36+M36+Q36+U36+Y36+AC36+AG36)))</f>
        <v/>
      </c>
      <c r="AL36" s="155">
        <f>ROUND(AL35+AI36-AJ36-AK36,2)</f>
        <v/>
      </c>
      <c r="AM36" s="155">
        <f>ROUND(AP35*$D$19,2)</f>
        <v/>
      </c>
      <c r="AN36" s="155">
        <f>MIN($E$19,AP35+AM36)</f>
        <v/>
      </c>
      <c r="AO36" s="155">
        <f>MIN(AP35+AM36-AN36,MAX(0,$AQ36-(E36+I36+M36+Q36+U36+Y36+AC36+AG36+AK36)))</f>
        <v/>
      </c>
      <c r="AP36" s="155">
        <f>ROUND(AP35+AM36-AN36-AO36,2)</f>
        <v/>
      </c>
      <c r="AQ36" s="155">
        <f>MAX(0,$B$6-(D36+H36+L36+P36+T36+X36+AB36+AF36+AJ36+AN36))</f>
        <v/>
      </c>
      <c r="AR36" s="155">
        <f>D36+H36+L36+P36+T36+X36+AB36+AF36+AJ36+AN36+E36+I36+M36+Q36+U36+Y36+AC36+AG36+AK36+AO36</f>
        <v/>
      </c>
      <c r="AS36" s="155">
        <f>C36+G36+K36+O36+S36+W36+AA36+AE36+AI36+AM36</f>
        <v/>
      </c>
      <c r="AT36" s="155">
        <f>F36+J36+N36+R36+V36+Z36+AD36+AH36+AL36+AP36</f>
        <v/>
      </c>
      <c r="AU36" s="157">
        <f>MID(IF(AND(F36=0,F35&gt;0),"; "&amp;$B$10,"")&amp;IF(AND(J36=0,J35&gt;0),"; "&amp;$B$11,"")&amp;IF(AND(N36=0,N35&gt;0),"; "&amp;$B$12,"")&amp;IF(AND(R36=0,R35&gt;0),"; "&amp;$B$13,"")&amp;IF(AND(V36=0,V35&gt;0),"; "&amp;$B$14,"")&amp;IF(AND(Z36=0,Z35&gt;0),"; "&amp;$B$15,"")&amp;IF(AND(AD36=0,AD35&gt;0),"; "&amp;$B$16,"")&amp;IF(AND(AH36=0,AH35&gt;0),"; "&amp;$B$17,"")&amp;IF(AND(AL36=0,AL35&gt;0),"; "&amp;$B$18,"")&amp;IF(AND(AP36=0,AP35&gt;0),"; "&amp;$B$19,""),3,200)</f>
        <v/>
      </c>
    </row>
    <row r="37">
      <c r="A37" s="154" t="n">
        <v>13</v>
      </c>
      <c r="B37" s="156">
        <f>EDATE($B$5,A37-1)</f>
        <v/>
      </c>
      <c r="C37" s="155">
        <f>ROUND(F36*$D$10,2)</f>
        <v/>
      </c>
      <c r="D37" s="155">
        <f>MIN($E$10,F36+C37)</f>
        <v/>
      </c>
      <c r="E37" s="155">
        <f>MIN(F36+C37-D37,MAX(0,$AQ37-(0)))</f>
        <v/>
      </c>
      <c r="F37" s="155">
        <f>ROUND(F36+C37-D37-E37,2)</f>
        <v/>
      </c>
      <c r="G37" s="155">
        <f>ROUND(J36*$D$11,2)</f>
        <v/>
      </c>
      <c r="H37" s="155">
        <f>MIN($E$11,J36+G37)</f>
        <v/>
      </c>
      <c r="I37" s="155">
        <f>MIN(J36+G37-H37,MAX(0,$AQ37-(E37)))</f>
        <v/>
      </c>
      <c r="J37" s="155">
        <f>ROUND(J36+G37-H37-I37,2)</f>
        <v/>
      </c>
      <c r="K37" s="155">
        <f>ROUND(N36*$D$12,2)</f>
        <v/>
      </c>
      <c r="L37" s="155">
        <f>MIN($E$12,N36+K37)</f>
        <v/>
      </c>
      <c r="M37" s="155">
        <f>MIN(N36+K37-L37,MAX(0,$AQ37-(E37+I37)))</f>
        <v/>
      </c>
      <c r="N37" s="155">
        <f>ROUND(N36+K37-L37-M37,2)</f>
        <v/>
      </c>
      <c r="O37" s="155">
        <f>ROUND(R36*$D$13,2)</f>
        <v/>
      </c>
      <c r="P37" s="155">
        <f>MIN($E$13,R36+O37)</f>
        <v/>
      </c>
      <c r="Q37" s="155">
        <f>MIN(R36+O37-P37,MAX(0,$AQ37-(E37+I37+M37)))</f>
        <v/>
      </c>
      <c r="R37" s="155">
        <f>ROUND(R36+O37-P37-Q37,2)</f>
        <v/>
      </c>
      <c r="S37" s="155">
        <f>ROUND(V36*$D$14,2)</f>
        <v/>
      </c>
      <c r="T37" s="155">
        <f>MIN($E$14,V36+S37)</f>
        <v/>
      </c>
      <c r="U37" s="155">
        <f>MIN(V36+S37-T37,MAX(0,$AQ37-(E37+I37+M37+Q37)))</f>
        <v/>
      </c>
      <c r="V37" s="155">
        <f>ROUND(V36+S37-T37-U37,2)</f>
        <v/>
      </c>
      <c r="W37" s="155">
        <f>ROUND(Z36*$D$15,2)</f>
        <v/>
      </c>
      <c r="X37" s="155">
        <f>MIN($E$15,Z36+W37)</f>
        <v/>
      </c>
      <c r="Y37" s="155">
        <f>MIN(Z36+W37-X37,MAX(0,$AQ37-(E37+I37+M37+Q37+U37)))</f>
        <v/>
      </c>
      <c r="Z37" s="155">
        <f>ROUND(Z36+W37-X37-Y37,2)</f>
        <v/>
      </c>
      <c r="AA37" s="155">
        <f>ROUND(AD36*$D$16,2)</f>
        <v/>
      </c>
      <c r="AB37" s="155">
        <f>MIN($E$16,AD36+AA37)</f>
        <v/>
      </c>
      <c r="AC37" s="155">
        <f>MIN(AD36+AA37-AB37,MAX(0,$AQ37-(E37+I37+M37+Q37+U37+Y37)))</f>
        <v/>
      </c>
      <c r="AD37" s="155">
        <f>ROUND(AD36+AA37-AB37-AC37,2)</f>
        <v/>
      </c>
      <c r="AE37" s="155">
        <f>ROUND(AH36*$D$17,2)</f>
        <v/>
      </c>
      <c r="AF37" s="155">
        <f>MIN($E$17,AH36+AE37)</f>
        <v/>
      </c>
      <c r="AG37" s="155">
        <f>MIN(AH36+AE37-AF37,MAX(0,$AQ37-(E37+I37+M37+Q37+U37+Y37+AC37)))</f>
        <v/>
      </c>
      <c r="AH37" s="155">
        <f>ROUND(AH36+AE37-AF37-AG37,2)</f>
        <v/>
      </c>
      <c r="AI37" s="155">
        <f>ROUND(AL36*$D$18,2)</f>
        <v/>
      </c>
      <c r="AJ37" s="155">
        <f>MIN($E$18,AL36+AI37)</f>
        <v/>
      </c>
      <c r="AK37" s="155">
        <f>MIN(AL36+AI37-AJ37,MAX(0,$AQ37-(E37+I37+M37+Q37+U37+Y37+AC37+AG37)))</f>
        <v/>
      </c>
      <c r="AL37" s="155">
        <f>ROUND(AL36+AI37-AJ37-AK37,2)</f>
        <v/>
      </c>
      <c r="AM37" s="155">
        <f>ROUND(AP36*$D$19,2)</f>
        <v/>
      </c>
      <c r="AN37" s="155">
        <f>MIN($E$19,AP36+AM37)</f>
        <v/>
      </c>
      <c r="AO37" s="155">
        <f>MIN(AP36+AM37-AN37,MAX(0,$AQ37-(E37+I37+M37+Q37+U37+Y37+AC37+AG37+AK37)))</f>
        <v/>
      </c>
      <c r="AP37" s="155">
        <f>ROUND(AP36+AM37-AN37-AO37,2)</f>
        <v/>
      </c>
      <c r="AQ37" s="155">
        <f>MAX(0,$B$6-(D37+H37+L37+P37+T37+X37+AB37+AF37+AJ37+AN37))</f>
        <v/>
      </c>
      <c r="AR37" s="155">
        <f>D37+H37+L37+P37+T37+X37+AB37+AF37+AJ37+AN37+E37+I37+M37+Q37+U37+Y37+AC37+AG37+AK37+AO37</f>
        <v/>
      </c>
      <c r="AS37" s="155">
        <f>C37+G37+K37+O37+S37+W37+AA37+AE37+AI37+AM37</f>
        <v/>
      </c>
      <c r="AT37" s="155">
        <f>F37+J37+N37+R37+V37+Z37+AD37+AH37+AL37+AP37</f>
        <v/>
      </c>
      <c r="AU37" s="157">
        <f>MID(IF(AND(F37=0,F36&gt;0),"; "&amp;$B$10,"")&amp;IF(AND(J37=0,J36&gt;0),"; "&amp;$B$11,"")&amp;IF(AND(N37=0,N36&gt;0),"; "&amp;$B$12,"")&amp;IF(AND(R37=0,R36&gt;0),"; "&amp;$B$13,"")&amp;IF(AND(V37=0,V36&gt;0),"; "&amp;$B$14,"")&amp;IF(AND(Z37=0,Z36&gt;0),"; "&amp;$B$15,"")&amp;IF(AND(AD37=0,AD36&gt;0),"; "&amp;$B$16,"")&amp;IF(AND(AH37=0,AH36&gt;0),"; "&amp;$B$17,"")&amp;IF(AND(AL37=0,AL36&gt;0),"; "&amp;$B$18,"")&amp;IF(AND(AP37=0,AP36&gt;0),"; "&amp;$B$19,""),3,200)</f>
        <v/>
      </c>
    </row>
    <row r="38">
      <c r="A38" s="154" t="n">
        <v>14</v>
      </c>
      <c r="B38" s="156">
        <f>EDATE($B$5,A38-1)</f>
        <v/>
      </c>
      <c r="C38" s="155">
        <f>ROUND(F37*$D$10,2)</f>
        <v/>
      </c>
      <c r="D38" s="155">
        <f>MIN($E$10,F37+C38)</f>
        <v/>
      </c>
      <c r="E38" s="155">
        <f>MIN(F37+C38-D38,MAX(0,$AQ38-(0)))</f>
        <v/>
      </c>
      <c r="F38" s="155">
        <f>ROUND(F37+C38-D38-E38,2)</f>
        <v/>
      </c>
      <c r="G38" s="155">
        <f>ROUND(J37*$D$11,2)</f>
        <v/>
      </c>
      <c r="H38" s="155">
        <f>MIN($E$11,J37+G38)</f>
        <v/>
      </c>
      <c r="I38" s="155">
        <f>MIN(J37+G38-H38,MAX(0,$AQ38-(E38)))</f>
        <v/>
      </c>
      <c r="J38" s="155">
        <f>ROUND(J37+G38-H38-I38,2)</f>
        <v/>
      </c>
      <c r="K38" s="155">
        <f>ROUND(N37*$D$12,2)</f>
        <v/>
      </c>
      <c r="L38" s="155">
        <f>MIN($E$12,N37+K38)</f>
        <v/>
      </c>
      <c r="M38" s="155">
        <f>MIN(N37+K38-L38,MAX(0,$AQ38-(E38+I38)))</f>
        <v/>
      </c>
      <c r="N38" s="155">
        <f>ROUND(N37+K38-L38-M38,2)</f>
        <v/>
      </c>
      <c r="O38" s="155">
        <f>ROUND(R37*$D$13,2)</f>
        <v/>
      </c>
      <c r="P38" s="155">
        <f>MIN($E$13,R37+O38)</f>
        <v/>
      </c>
      <c r="Q38" s="155">
        <f>MIN(R37+O38-P38,MAX(0,$AQ38-(E38+I38+M38)))</f>
        <v/>
      </c>
      <c r="R38" s="155">
        <f>ROUND(R37+O38-P38-Q38,2)</f>
        <v/>
      </c>
      <c r="S38" s="155">
        <f>ROUND(V37*$D$14,2)</f>
        <v/>
      </c>
      <c r="T38" s="155">
        <f>MIN($E$14,V37+S38)</f>
        <v/>
      </c>
      <c r="U38" s="155">
        <f>MIN(V37+S38-T38,MAX(0,$AQ38-(E38+I38+M38+Q38)))</f>
        <v/>
      </c>
      <c r="V38" s="155">
        <f>ROUND(V37+S38-T38-U38,2)</f>
        <v/>
      </c>
      <c r="W38" s="155">
        <f>ROUND(Z37*$D$15,2)</f>
        <v/>
      </c>
      <c r="X38" s="155">
        <f>MIN($E$15,Z37+W38)</f>
        <v/>
      </c>
      <c r="Y38" s="155">
        <f>MIN(Z37+W38-X38,MAX(0,$AQ38-(E38+I38+M38+Q38+U38)))</f>
        <v/>
      </c>
      <c r="Z38" s="155">
        <f>ROUND(Z37+W38-X38-Y38,2)</f>
        <v/>
      </c>
      <c r="AA38" s="155">
        <f>ROUND(AD37*$D$16,2)</f>
        <v/>
      </c>
      <c r="AB38" s="155">
        <f>MIN($E$16,AD37+AA38)</f>
        <v/>
      </c>
      <c r="AC38" s="155">
        <f>MIN(AD37+AA38-AB38,MAX(0,$AQ38-(E38+I38+M38+Q38+U38+Y38)))</f>
        <v/>
      </c>
      <c r="AD38" s="155">
        <f>ROUND(AD37+AA38-AB38-AC38,2)</f>
        <v/>
      </c>
      <c r="AE38" s="155">
        <f>ROUND(AH37*$D$17,2)</f>
        <v/>
      </c>
      <c r="AF38" s="155">
        <f>MIN($E$17,AH37+AE38)</f>
        <v/>
      </c>
      <c r="AG38" s="155">
        <f>MIN(AH37+AE38-AF38,MAX(0,$AQ38-(E38+I38+M38+Q38+U38+Y38+AC38)))</f>
        <v/>
      </c>
      <c r="AH38" s="155">
        <f>ROUND(AH37+AE38-AF38-AG38,2)</f>
        <v/>
      </c>
      <c r="AI38" s="155">
        <f>ROUND(AL37*$D$18,2)</f>
        <v/>
      </c>
      <c r="AJ38" s="155">
        <f>MIN($E$18,AL37+AI38)</f>
        <v/>
      </c>
      <c r="AK38" s="155">
        <f>MIN(AL37+AI38-AJ38,MAX(0,$AQ38-(E38+I38+M38+Q38+U38+Y38+AC38+AG38)))</f>
        <v/>
      </c>
      <c r="AL38" s="155">
        <f>ROUND(AL37+AI38-AJ38-AK38,2)</f>
        <v/>
      </c>
      <c r="AM38" s="155">
        <f>ROUND(AP37*$D$19,2)</f>
        <v/>
      </c>
      <c r="AN38" s="155">
        <f>MIN($E$19,AP37+AM38)</f>
        <v/>
      </c>
      <c r="AO38" s="155">
        <f>MIN(AP37+AM38-AN38,MAX(0,$AQ38-(E38+I38+M38+Q38+U38+Y38+AC38+AG38+AK38)))</f>
        <v/>
      </c>
      <c r="AP38" s="155">
        <f>ROUND(AP37+AM38-AN38-AO38,2)</f>
        <v/>
      </c>
      <c r="AQ38" s="155">
        <f>MAX(0,$B$6-(D38+H38+L38+P38+T38+X38+AB38+AF38+AJ38+AN38))</f>
        <v/>
      </c>
      <c r="AR38" s="155">
        <f>D38+H38+L38+P38+T38+X38+AB38+AF38+AJ38+AN38+E38+I38+M38+Q38+U38+Y38+AC38+AG38+AK38+AO38</f>
        <v/>
      </c>
      <c r="AS38" s="155">
        <f>C38+G38+K38+O38+S38+W38+AA38+AE38+AI38+AM38</f>
        <v/>
      </c>
      <c r="AT38" s="155">
        <f>F38+J38+N38+R38+V38+Z38+AD38+AH38+AL38+AP38</f>
        <v/>
      </c>
      <c r="AU38" s="157">
        <f>MID(IF(AND(F38=0,F37&gt;0),"; "&amp;$B$10,"")&amp;IF(AND(J38=0,J37&gt;0),"; "&amp;$B$11,"")&amp;IF(AND(N38=0,N37&gt;0),"; "&amp;$B$12,"")&amp;IF(AND(R38=0,R37&gt;0),"; "&amp;$B$13,"")&amp;IF(AND(V38=0,V37&gt;0),"; "&amp;$B$14,"")&amp;IF(AND(Z38=0,Z37&gt;0),"; "&amp;$B$15,"")&amp;IF(AND(AD38=0,AD37&gt;0),"; "&amp;$B$16,"")&amp;IF(AND(AH38=0,AH37&gt;0),"; "&amp;$B$17,"")&amp;IF(AND(AL38=0,AL37&gt;0),"; "&amp;$B$18,"")&amp;IF(AND(AP38=0,AP37&gt;0),"; "&amp;$B$19,""),3,200)</f>
        <v/>
      </c>
    </row>
    <row r="39">
      <c r="A39" s="154" t="n">
        <v>15</v>
      </c>
      <c r="B39" s="156">
        <f>EDATE($B$5,A39-1)</f>
        <v/>
      </c>
      <c r="C39" s="155">
        <f>ROUND(F38*$D$10,2)</f>
        <v/>
      </c>
      <c r="D39" s="155">
        <f>MIN($E$10,F38+C39)</f>
        <v/>
      </c>
      <c r="E39" s="155">
        <f>MIN(F38+C39-D39,MAX(0,$AQ39-(0)))</f>
        <v/>
      </c>
      <c r="F39" s="155">
        <f>ROUND(F38+C39-D39-E39,2)</f>
        <v/>
      </c>
      <c r="G39" s="155">
        <f>ROUND(J38*$D$11,2)</f>
        <v/>
      </c>
      <c r="H39" s="155">
        <f>MIN($E$11,J38+G39)</f>
        <v/>
      </c>
      <c r="I39" s="155">
        <f>MIN(J38+G39-H39,MAX(0,$AQ39-(E39)))</f>
        <v/>
      </c>
      <c r="J39" s="155">
        <f>ROUND(J38+G39-H39-I39,2)</f>
        <v/>
      </c>
      <c r="K39" s="155">
        <f>ROUND(N38*$D$12,2)</f>
        <v/>
      </c>
      <c r="L39" s="155">
        <f>MIN($E$12,N38+K39)</f>
        <v/>
      </c>
      <c r="M39" s="155">
        <f>MIN(N38+K39-L39,MAX(0,$AQ39-(E39+I39)))</f>
        <v/>
      </c>
      <c r="N39" s="155">
        <f>ROUND(N38+K39-L39-M39,2)</f>
        <v/>
      </c>
      <c r="O39" s="155">
        <f>ROUND(R38*$D$13,2)</f>
        <v/>
      </c>
      <c r="P39" s="155">
        <f>MIN($E$13,R38+O39)</f>
        <v/>
      </c>
      <c r="Q39" s="155">
        <f>MIN(R38+O39-P39,MAX(0,$AQ39-(E39+I39+M39)))</f>
        <v/>
      </c>
      <c r="R39" s="155">
        <f>ROUND(R38+O39-P39-Q39,2)</f>
        <v/>
      </c>
      <c r="S39" s="155">
        <f>ROUND(V38*$D$14,2)</f>
        <v/>
      </c>
      <c r="T39" s="155">
        <f>MIN($E$14,V38+S39)</f>
        <v/>
      </c>
      <c r="U39" s="155">
        <f>MIN(V38+S39-T39,MAX(0,$AQ39-(E39+I39+M39+Q39)))</f>
        <v/>
      </c>
      <c r="V39" s="155">
        <f>ROUND(V38+S39-T39-U39,2)</f>
        <v/>
      </c>
      <c r="W39" s="155">
        <f>ROUND(Z38*$D$15,2)</f>
        <v/>
      </c>
      <c r="X39" s="155">
        <f>MIN($E$15,Z38+W39)</f>
        <v/>
      </c>
      <c r="Y39" s="155">
        <f>MIN(Z38+W39-X39,MAX(0,$AQ39-(E39+I39+M39+Q39+U39)))</f>
        <v/>
      </c>
      <c r="Z39" s="155">
        <f>ROUND(Z38+W39-X39-Y39,2)</f>
        <v/>
      </c>
      <c r="AA39" s="155">
        <f>ROUND(AD38*$D$16,2)</f>
        <v/>
      </c>
      <c r="AB39" s="155">
        <f>MIN($E$16,AD38+AA39)</f>
        <v/>
      </c>
      <c r="AC39" s="155">
        <f>MIN(AD38+AA39-AB39,MAX(0,$AQ39-(E39+I39+M39+Q39+U39+Y39)))</f>
        <v/>
      </c>
      <c r="AD39" s="155">
        <f>ROUND(AD38+AA39-AB39-AC39,2)</f>
        <v/>
      </c>
      <c r="AE39" s="155">
        <f>ROUND(AH38*$D$17,2)</f>
        <v/>
      </c>
      <c r="AF39" s="155">
        <f>MIN($E$17,AH38+AE39)</f>
        <v/>
      </c>
      <c r="AG39" s="155">
        <f>MIN(AH38+AE39-AF39,MAX(0,$AQ39-(E39+I39+M39+Q39+U39+Y39+AC39)))</f>
        <v/>
      </c>
      <c r="AH39" s="155">
        <f>ROUND(AH38+AE39-AF39-AG39,2)</f>
        <v/>
      </c>
      <c r="AI39" s="155">
        <f>ROUND(AL38*$D$18,2)</f>
        <v/>
      </c>
      <c r="AJ39" s="155">
        <f>MIN($E$18,AL38+AI39)</f>
        <v/>
      </c>
      <c r="AK39" s="155">
        <f>MIN(AL38+AI39-AJ39,MAX(0,$AQ39-(E39+I39+M39+Q39+U39+Y39+AC39+AG39)))</f>
        <v/>
      </c>
      <c r="AL39" s="155">
        <f>ROUND(AL38+AI39-AJ39-AK39,2)</f>
        <v/>
      </c>
      <c r="AM39" s="155">
        <f>ROUND(AP38*$D$19,2)</f>
        <v/>
      </c>
      <c r="AN39" s="155">
        <f>MIN($E$19,AP38+AM39)</f>
        <v/>
      </c>
      <c r="AO39" s="155">
        <f>MIN(AP38+AM39-AN39,MAX(0,$AQ39-(E39+I39+M39+Q39+U39+Y39+AC39+AG39+AK39)))</f>
        <v/>
      </c>
      <c r="AP39" s="155">
        <f>ROUND(AP38+AM39-AN39-AO39,2)</f>
        <v/>
      </c>
      <c r="AQ39" s="155">
        <f>MAX(0,$B$6-(D39+H39+L39+P39+T39+X39+AB39+AF39+AJ39+AN39))</f>
        <v/>
      </c>
      <c r="AR39" s="155">
        <f>D39+H39+L39+P39+T39+X39+AB39+AF39+AJ39+AN39+E39+I39+M39+Q39+U39+Y39+AC39+AG39+AK39+AO39</f>
        <v/>
      </c>
      <c r="AS39" s="155">
        <f>C39+G39+K39+O39+S39+W39+AA39+AE39+AI39+AM39</f>
        <v/>
      </c>
      <c r="AT39" s="155">
        <f>F39+J39+N39+R39+V39+Z39+AD39+AH39+AL39+AP39</f>
        <v/>
      </c>
      <c r="AU39" s="157">
        <f>MID(IF(AND(F39=0,F38&gt;0),"; "&amp;$B$10,"")&amp;IF(AND(J39=0,J38&gt;0),"; "&amp;$B$11,"")&amp;IF(AND(N39=0,N38&gt;0),"; "&amp;$B$12,"")&amp;IF(AND(R39=0,R38&gt;0),"; "&amp;$B$13,"")&amp;IF(AND(V39=0,V38&gt;0),"; "&amp;$B$14,"")&amp;IF(AND(Z39=0,Z38&gt;0),"; "&amp;$B$15,"")&amp;IF(AND(AD39=0,AD38&gt;0),"; "&amp;$B$16,"")&amp;IF(AND(AH39=0,AH38&gt;0),"; "&amp;$B$17,"")&amp;IF(AND(AL39=0,AL38&gt;0),"; "&amp;$B$18,"")&amp;IF(AND(AP39=0,AP38&gt;0),"; "&amp;$B$19,""),3,200)</f>
        <v/>
      </c>
    </row>
    <row r="40">
      <c r="A40" s="154" t="n">
        <v>16</v>
      </c>
      <c r="B40" s="156">
        <f>EDATE($B$5,A40-1)</f>
        <v/>
      </c>
      <c r="C40" s="155">
        <f>ROUND(F39*$D$10,2)</f>
        <v/>
      </c>
      <c r="D40" s="155">
        <f>MIN($E$10,F39+C40)</f>
        <v/>
      </c>
      <c r="E40" s="155">
        <f>MIN(F39+C40-D40,MAX(0,$AQ40-(0)))</f>
        <v/>
      </c>
      <c r="F40" s="155">
        <f>ROUND(F39+C40-D40-E40,2)</f>
        <v/>
      </c>
      <c r="G40" s="155">
        <f>ROUND(J39*$D$11,2)</f>
        <v/>
      </c>
      <c r="H40" s="155">
        <f>MIN($E$11,J39+G40)</f>
        <v/>
      </c>
      <c r="I40" s="155">
        <f>MIN(J39+G40-H40,MAX(0,$AQ40-(E40)))</f>
        <v/>
      </c>
      <c r="J40" s="155">
        <f>ROUND(J39+G40-H40-I40,2)</f>
        <v/>
      </c>
      <c r="K40" s="155">
        <f>ROUND(N39*$D$12,2)</f>
        <v/>
      </c>
      <c r="L40" s="155">
        <f>MIN($E$12,N39+K40)</f>
        <v/>
      </c>
      <c r="M40" s="155">
        <f>MIN(N39+K40-L40,MAX(0,$AQ40-(E40+I40)))</f>
        <v/>
      </c>
      <c r="N40" s="155">
        <f>ROUND(N39+K40-L40-M40,2)</f>
        <v/>
      </c>
      <c r="O40" s="155">
        <f>ROUND(R39*$D$13,2)</f>
        <v/>
      </c>
      <c r="P40" s="155">
        <f>MIN($E$13,R39+O40)</f>
        <v/>
      </c>
      <c r="Q40" s="155">
        <f>MIN(R39+O40-P40,MAX(0,$AQ40-(E40+I40+M40)))</f>
        <v/>
      </c>
      <c r="R40" s="155">
        <f>ROUND(R39+O40-P40-Q40,2)</f>
        <v/>
      </c>
      <c r="S40" s="155">
        <f>ROUND(V39*$D$14,2)</f>
        <v/>
      </c>
      <c r="T40" s="155">
        <f>MIN($E$14,V39+S40)</f>
        <v/>
      </c>
      <c r="U40" s="155">
        <f>MIN(V39+S40-T40,MAX(0,$AQ40-(E40+I40+M40+Q40)))</f>
        <v/>
      </c>
      <c r="V40" s="155">
        <f>ROUND(V39+S40-T40-U40,2)</f>
        <v/>
      </c>
      <c r="W40" s="155">
        <f>ROUND(Z39*$D$15,2)</f>
        <v/>
      </c>
      <c r="X40" s="155">
        <f>MIN($E$15,Z39+W40)</f>
        <v/>
      </c>
      <c r="Y40" s="155">
        <f>MIN(Z39+W40-X40,MAX(0,$AQ40-(E40+I40+M40+Q40+U40)))</f>
        <v/>
      </c>
      <c r="Z40" s="155">
        <f>ROUND(Z39+W40-X40-Y40,2)</f>
        <v/>
      </c>
      <c r="AA40" s="155">
        <f>ROUND(AD39*$D$16,2)</f>
        <v/>
      </c>
      <c r="AB40" s="155">
        <f>MIN($E$16,AD39+AA40)</f>
        <v/>
      </c>
      <c r="AC40" s="155">
        <f>MIN(AD39+AA40-AB40,MAX(0,$AQ40-(E40+I40+M40+Q40+U40+Y40)))</f>
        <v/>
      </c>
      <c r="AD40" s="155">
        <f>ROUND(AD39+AA40-AB40-AC40,2)</f>
        <v/>
      </c>
      <c r="AE40" s="155">
        <f>ROUND(AH39*$D$17,2)</f>
        <v/>
      </c>
      <c r="AF40" s="155">
        <f>MIN($E$17,AH39+AE40)</f>
        <v/>
      </c>
      <c r="AG40" s="155">
        <f>MIN(AH39+AE40-AF40,MAX(0,$AQ40-(E40+I40+M40+Q40+U40+Y40+AC40)))</f>
        <v/>
      </c>
      <c r="AH40" s="155">
        <f>ROUND(AH39+AE40-AF40-AG40,2)</f>
        <v/>
      </c>
      <c r="AI40" s="155">
        <f>ROUND(AL39*$D$18,2)</f>
        <v/>
      </c>
      <c r="AJ40" s="155">
        <f>MIN($E$18,AL39+AI40)</f>
        <v/>
      </c>
      <c r="AK40" s="155">
        <f>MIN(AL39+AI40-AJ40,MAX(0,$AQ40-(E40+I40+M40+Q40+U40+Y40+AC40+AG40)))</f>
        <v/>
      </c>
      <c r="AL40" s="155">
        <f>ROUND(AL39+AI40-AJ40-AK40,2)</f>
        <v/>
      </c>
      <c r="AM40" s="155">
        <f>ROUND(AP39*$D$19,2)</f>
        <v/>
      </c>
      <c r="AN40" s="155">
        <f>MIN($E$19,AP39+AM40)</f>
        <v/>
      </c>
      <c r="AO40" s="155">
        <f>MIN(AP39+AM40-AN40,MAX(0,$AQ40-(E40+I40+M40+Q40+U40+Y40+AC40+AG40+AK40)))</f>
        <v/>
      </c>
      <c r="AP40" s="155">
        <f>ROUND(AP39+AM40-AN40-AO40,2)</f>
        <v/>
      </c>
      <c r="AQ40" s="155">
        <f>MAX(0,$B$6-(D40+H40+L40+P40+T40+X40+AB40+AF40+AJ40+AN40))</f>
        <v/>
      </c>
      <c r="AR40" s="155">
        <f>D40+H40+L40+P40+T40+X40+AB40+AF40+AJ40+AN40+E40+I40+M40+Q40+U40+Y40+AC40+AG40+AK40+AO40</f>
        <v/>
      </c>
      <c r="AS40" s="155">
        <f>C40+G40+K40+O40+S40+W40+AA40+AE40+AI40+AM40</f>
        <v/>
      </c>
      <c r="AT40" s="155">
        <f>F40+J40+N40+R40+V40+Z40+AD40+AH40+AL40+AP40</f>
        <v/>
      </c>
      <c r="AU40" s="157">
        <f>MID(IF(AND(F40=0,F39&gt;0),"; "&amp;$B$10,"")&amp;IF(AND(J40=0,J39&gt;0),"; "&amp;$B$11,"")&amp;IF(AND(N40=0,N39&gt;0),"; "&amp;$B$12,"")&amp;IF(AND(R40=0,R39&gt;0),"; "&amp;$B$13,"")&amp;IF(AND(V40=0,V39&gt;0),"; "&amp;$B$14,"")&amp;IF(AND(Z40=0,Z39&gt;0),"; "&amp;$B$15,"")&amp;IF(AND(AD40=0,AD39&gt;0),"; "&amp;$B$16,"")&amp;IF(AND(AH40=0,AH39&gt;0),"; "&amp;$B$17,"")&amp;IF(AND(AL40=0,AL39&gt;0),"; "&amp;$B$18,"")&amp;IF(AND(AP40=0,AP39&gt;0),"; "&amp;$B$19,""),3,200)</f>
        <v/>
      </c>
    </row>
    <row r="41">
      <c r="A41" s="154" t="n">
        <v>17</v>
      </c>
      <c r="B41" s="156">
        <f>EDATE($B$5,A41-1)</f>
        <v/>
      </c>
      <c r="C41" s="155">
        <f>ROUND(F40*$D$10,2)</f>
        <v/>
      </c>
      <c r="D41" s="155">
        <f>MIN($E$10,F40+C41)</f>
        <v/>
      </c>
      <c r="E41" s="155">
        <f>MIN(F40+C41-D41,MAX(0,$AQ41-(0)))</f>
        <v/>
      </c>
      <c r="F41" s="155">
        <f>ROUND(F40+C41-D41-E41,2)</f>
        <v/>
      </c>
      <c r="G41" s="155">
        <f>ROUND(J40*$D$11,2)</f>
        <v/>
      </c>
      <c r="H41" s="155">
        <f>MIN($E$11,J40+G41)</f>
        <v/>
      </c>
      <c r="I41" s="155">
        <f>MIN(J40+G41-H41,MAX(0,$AQ41-(E41)))</f>
        <v/>
      </c>
      <c r="J41" s="155">
        <f>ROUND(J40+G41-H41-I41,2)</f>
        <v/>
      </c>
      <c r="K41" s="155">
        <f>ROUND(N40*$D$12,2)</f>
        <v/>
      </c>
      <c r="L41" s="155">
        <f>MIN($E$12,N40+K41)</f>
        <v/>
      </c>
      <c r="M41" s="155">
        <f>MIN(N40+K41-L41,MAX(0,$AQ41-(E41+I41)))</f>
        <v/>
      </c>
      <c r="N41" s="155">
        <f>ROUND(N40+K41-L41-M41,2)</f>
        <v/>
      </c>
      <c r="O41" s="155">
        <f>ROUND(R40*$D$13,2)</f>
        <v/>
      </c>
      <c r="P41" s="155">
        <f>MIN($E$13,R40+O41)</f>
        <v/>
      </c>
      <c r="Q41" s="155">
        <f>MIN(R40+O41-P41,MAX(0,$AQ41-(E41+I41+M41)))</f>
        <v/>
      </c>
      <c r="R41" s="155">
        <f>ROUND(R40+O41-P41-Q41,2)</f>
        <v/>
      </c>
      <c r="S41" s="155">
        <f>ROUND(V40*$D$14,2)</f>
        <v/>
      </c>
      <c r="T41" s="155">
        <f>MIN($E$14,V40+S41)</f>
        <v/>
      </c>
      <c r="U41" s="155">
        <f>MIN(V40+S41-T41,MAX(0,$AQ41-(E41+I41+M41+Q41)))</f>
        <v/>
      </c>
      <c r="V41" s="155">
        <f>ROUND(V40+S41-T41-U41,2)</f>
        <v/>
      </c>
      <c r="W41" s="155">
        <f>ROUND(Z40*$D$15,2)</f>
        <v/>
      </c>
      <c r="X41" s="155">
        <f>MIN($E$15,Z40+W41)</f>
        <v/>
      </c>
      <c r="Y41" s="155">
        <f>MIN(Z40+W41-X41,MAX(0,$AQ41-(E41+I41+M41+Q41+U41)))</f>
        <v/>
      </c>
      <c r="Z41" s="155">
        <f>ROUND(Z40+W41-X41-Y41,2)</f>
        <v/>
      </c>
      <c r="AA41" s="155">
        <f>ROUND(AD40*$D$16,2)</f>
        <v/>
      </c>
      <c r="AB41" s="155">
        <f>MIN($E$16,AD40+AA41)</f>
        <v/>
      </c>
      <c r="AC41" s="155">
        <f>MIN(AD40+AA41-AB41,MAX(0,$AQ41-(E41+I41+M41+Q41+U41+Y41)))</f>
        <v/>
      </c>
      <c r="AD41" s="155">
        <f>ROUND(AD40+AA41-AB41-AC41,2)</f>
        <v/>
      </c>
      <c r="AE41" s="155">
        <f>ROUND(AH40*$D$17,2)</f>
        <v/>
      </c>
      <c r="AF41" s="155">
        <f>MIN($E$17,AH40+AE41)</f>
        <v/>
      </c>
      <c r="AG41" s="155">
        <f>MIN(AH40+AE41-AF41,MAX(0,$AQ41-(E41+I41+M41+Q41+U41+Y41+AC41)))</f>
        <v/>
      </c>
      <c r="AH41" s="155">
        <f>ROUND(AH40+AE41-AF41-AG41,2)</f>
        <v/>
      </c>
      <c r="AI41" s="155">
        <f>ROUND(AL40*$D$18,2)</f>
        <v/>
      </c>
      <c r="AJ41" s="155">
        <f>MIN($E$18,AL40+AI41)</f>
        <v/>
      </c>
      <c r="AK41" s="155">
        <f>MIN(AL40+AI41-AJ41,MAX(0,$AQ41-(E41+I41+M41+Q41+U41+Y41+AC41+AG41)))</f>
        <v/>
      </c>
      <c r="AL41" s="155">
        <f>ROUND(AL40+AI41-AJ41-AK41,2)</f>
        <v/>
      </c>
      <c r="AM41" s="155">
        <f>ROUND(AP40*$D$19,2)</f>
        <v/>
      </c>
      <c r="AN41" s="155">
        <f>MIN($E$19,AP40+AM41)</f>
        <v/>
      </c>
      <c r="AO41" s="155">
        <f>MIN(AP40+AM41-AN41,MAX(0,$AQ41-(E41+I41+M41+Q41+U41+Y41+AC41+AG41+AK41)))</f>
        <v/>
      </c>
      <c r="AP41" s="155">
        <f>ROUND(AP40+AM41-AN41-AO41,2)</f>
        <v/>
      </c>
      <c r="AQ41" s="155">
        <f>MAX(0,$B$6-(D41+H41+L41+P41+T41+X41+AB41+AF41+AJ41+AN41))</f>
        <v/>
      </c>
      <c r="AR41" s="155">
        <f>D41+H41+L41+P41+T41+X41+AB41+AF41+AJ41+AN41+E41+I41+M41+Q41+U41+Y41+AC41+AG41+AK41+AO41</f>
        <v/>
      </c>
      <c r="AS41" s="155">
        <f>C41+G41+K41+O41+S41+W41+AA41+AE41+AI41+AM41</f>
        <v/>
      </c>
      <c r="AT41" s="155">
        <f>F41+J41+N41+R41+V41+Z41+AD41+AH41+AL41+AP41</f>
        <v/>
      </c>
      <c r="AU41" s="157">
        <f>MID(IF(AND(F41=0,F40&gt;0),"; "&amp;$B$10,"")&amp;IF(AND(J41=0,J40&gt;0),"; "&amp;$B$11,"")&amp;IF(AND(N41=0,N40&gt;0),"; "&amp;$B$12,"")&amp;IF(AND(R41=0,R40&gt;0),"; "&amp;$B$13,"")&amp;IF(AND(V41=0,V40&gt;0),"; "&amp;$B$14,"")&amp;IF(AND(Z41=0,Z40&gt;0),"; "&amp;$B$15,"")&amp;IF(AND(AD41=0,AD40&gt;0),"; "&amp;$B$16,"")&amp;IF(AND(AH41=0,AH40&gt;0),"; "&amp;$B$17,"")&amp;IF(AND(AL41=0,AL40&gt;0),"; "&amp;$B$18,"")&amp;IF(AND(AP41=0,AP40&gt;0),"; "&amp;$B$19,""),3,200)</f>
        <v/>
      </c>
    </row>
    <row r="42">
      <c r="A42" s="154" t="n">
        <v>18</v>
      </c>
      <c r="B42" s="156">
        <f>EDATE($B$5,A42-1)</f>
        <v/>
      </c>
      <c r="C42" s="155">
        <f>ROUND(F41*$D$10,2)</f>
        <v/>
      </c>
      <c r="D42" s="155">
        <f>MIN($E$10,F41+C42)</f>
        <v/>
      </c>
      <c r="E42" s="155">
        <f>MIN(F41+C42-D42,MAX(0,$AQ42-(0)))</f>
        <v/>
      </c>
      <c r="F42" s="155">
        <f>ROUND(F41+C42-D42-E42,2)</f>
        <v/>
      </c>
      <c r="G42" s="155">
        <f>ROUND(J41*$D$11,2)</f>
        <v/>
      </c>
      <c r="H42" s="155">
        <f>MIN($E$11,J41+G42)</f>
        <v/>
      </c>
      <c r="I42" s="155">
        <f>MIN(J41+G42-H42,MAX(0,$AQ42-(E42)))</f>
        <v/>
      </c>
      <c r="J42" s="155">
        <f>ROUND(J41+G42-H42-I42,2)</f>
        <v/>
      </c>
      <c r="K42" s="155">
        <f>ROUND(N41*$D$12,2)</f>
        <v/>
      </c>
      <c r="L42" s="155">
        <f>MIN($E$12,N41+K42)</f>
        <v/>
      </c>
      <c r="M42" s="155">
        <f>MIN(N41+K42-L42,MAX(0,$AQ42-(E42+I42)))</f>
        <v/>
      </c>
      <c r="N42" s="155">
        <f>ROUND(N41+K42-L42-M42,2)</f>
        <v/>
      </c>
      <c r="O42" s="155">
        <f>ROUND(R41*$D$13,2)</f>
        <v/>
      </c>
      <c r="P42" s="155">
        <f>MIN($E$13,R41+O42)</f>
        <v/>
      </c>
      <c r="Q42" s="155">
        <f>MIN(R41+O42-P42,MAX(0,$AQ42-(E42+I42+M42)))</f>
        <v/>
      </c>
      <c r="R42" s="155">
        <f>ROUND(R41+O42-P42-Q42,2)</f>
        <v/>
      </c>
      <c r="S42" s="155">
        <f>ROUND(V41*$D$14,2)</f>
        <v/>
      </c>
      <c r="T42" s="155">
        <f>MIN($E$14,V41+S42)</f>
        <v/>
      </c>
      <c r="U42" s="155">
        <f>MIN(V41+S42-T42,MAX(0,$AQ42-(E42+I42+M42+Q42)))</f>
        <v/>
      </c>
      <c r="V42" s="155">
        <f>ROUND(V41+S42-T42-U42,2)</f>
        <v/>
      </c>
      <c r="W42" s="155">
        <f>ROUND(Z41*$D$15,2)</f>
        <v/>
      </c>
      <c r="X42" s="155">
        <f>MIN($E$15,Z41+W42)</f>
        <v/>
      </c>
      <c r="Y42" s="155">
        <f>MIN(Z41+W42-X42,MAX(0,$AQ42-(E42+I42+M42+Q42+U42)))</f>
        <v/>
      </c>
      <c r="Z42" s="155">
        <f>ROUND(Z41+W42-X42-Y42,2)</f>
        <v/>
      </c>
      <c r="AA42" s="155">
        <f>ROUND(AD41*$D$16,2)</f>
        <v/>
      </c>
      <c r="AB42" s="155">
        <f>MIN($E$16,AD41+AA42)</f>
        <v/>
      </c>
      <c r="AC42" s="155">
        <f>MIN(AD41+AA42-AB42,MAX(0,$AQ42-(E42+I42+M42+Q42+U42+Y42)))</f>
        <v/>
      </c>
      <c r="AD42" s="155">
        <f>ROUND(AD41+AA42-AB42-AC42,2)</f>
        <v/>
      </c>
      <c r="AE42" s="155">
        <f>ROUND(AH41*$D$17,2)</f>
        <v/>
      </c>
      <c r="AF42" s="155">
        <f>MIN($E$17,AH41+AE42)</f>
        <v/>
      </c>
      <c r="AG42" s="155">
        <f>MIN(AH41+AE42-AF42,MAX(0,$AQ42-(E42+I42+M42+Q42+U42+Y42+AC42)))</f>
        <v/>
      </c>
      <c r="AH42" s="155">
        <f>ROUND(AH41+AE42-AF42-AG42,2)</f>
        <v/>
      </c>
      <c r="AI42" s="155">
        <f>ROUND(AL41*$D$18,2)</f>
        <v/>
      </c>
      <c r="AJ42" s="155">
        <f>MIN($E$18,AL41+AI42)</f>
        <v/>
      </c>
      <c r="AK42" s="155">
        <f>MIN(AL41+AI42-AJ42,MAX(0,$AQ42-(E42+I42+M42+Q42+U42+Y42+AC42+AG42)))</f>
        <v/>
      </c>
      <c r="AL42" s="155">
        <f>ROUND(AL41+AI42-AJ42-AK42,2)</f>
        <v/>
      </c>
      <c r="AM42" s="155">
        <f>ROUND(AP41*$D$19,2)</f>
        <v/>
      </c>
      <c r="AN42" s="155">
        <f>MIN($E$19,AP41+AM42)</f>
        <v/>
      </c>
      <c r="AO42" s="155">
        <f>MIN(AP41+AM42-AN42,MAX(0,$AQ42-(E42+I42+M42+Q42+U42+Y42+AC42+AG42+AK42)))</f>
        <v/>
      </c>
      <c r="AP42" s="155">
        <f>ROUND(AP41+AM42-AN42-AO42,2)</f>
        <v/>
      </c>
      <c r="AQ42" s="155">
        <f>MAX(0,$B$6-(D42+H42+L42+P42+T42+X42+AB42+AF42+AJ42+AN42))</f>
        <v/>
      </c>
      <c r="AR42" s="155">
        <f>D42+H42+L42+P42+T42+X42+AB42+AF42+AJ42+AN42+E42+I42+M42+Q42+U42+Y42+AC42+AG42+AK42+AO42</f>
        <v/>
      </c>
      <c r="AS42" s="155">
        <f>C42+G42+K42+O42+S42+W42+AA42+AE42+AI42+AM42</f>
        <v/>
      </c>
      <c r="AT42" s="155">
        <f>F42+J42+N42+R42+V42+Z42+AD42+AH42+AL42+AP42</f>
        <v/>
      </c>
      <c r="AU42" s="157">
        <f>MID(IF(AND(F42=0,F41&gt;0),"; "&amp;$B$10,"")&amp;IF(AND(J42=0,J41&gt;0),"; "&amp;$B$11,"")&amp;IF(AND(N42=0,N41&gt;0),"; "&amp;$B$12,"")&amp;IF(AND(R42=0,R41&gt;0),"; "&amp;$B$13,"")&amp;IF(AND(V42=0,V41&gt;0),"; "&amp;$B$14,"")&amp;IF(AND(Z42=0,Z41&gt;0),"; "&amp;$B$15,"")&amp;IF(AND(AD42=0,AD41&gt;0),"; "&amp;$B$16,"")&amp;IF(AND(AH42=0,AH41&gt;0),"; "&amp;$B$17,"")&amp;IF(AND(AL42=0,AL41&gt;0),"; "&amp;$B$18,"")&amp;IF(AND(AP42=0,AP41&gt;0),"; "&amp;$B$19,""),3,200)</f>
        <v/>
      </c>
    </row>
    <row r="43">
      <c r="A43" s="154" t="n">
        <v>19</v>
      </c>
      <c r="B43" s="156">
        <f>EDATE($B$5,A43-1)</f>
        <v/>
      </c>
      <c r="C43" s="155">
        <f>ROUND(F42*$D$10,2)</f>
        <v/>
      </c>
      <c r="D43" s="155">
        <f>MIN($E$10,F42+C43)</f>
        <v/>
      </c>
      <c r="E43" s="155">
        <f>MIN(F42+C43-D43,MAX(0,$AQ43-(0)))</f>
        <v/>
      </c>
      <c r="F43" s="155">
        <f>ROUND(F42+C43-D43-E43,2)</f>
        <v/>
      </c>
      <c r="G43" s="155">
        <f>ROUND(J42*$D$11,2)</f>
        <v/>
      </c>
      <c r="H43" s="155">
        <f>MIN($E$11,J42+G43)</f>
        <v/>
      </c>
      <c r="I43" s="155">
        <f>MIN(J42+G43-H43,MAX(0,$AQ43-(E43)))</f>
        <v/>
      </c>
      <c r="J43" s="155">
        <f>ROUND(J42+G43-H43-I43,2)</f>
        <v/>
      </c>
      <c r="K43" s="155">
        <f>ROUND(N42*$D$12,2)</f>
        <v/>
      </c>
      <c r="L43" s="155">
        <f>MIN($E$12,N42+K43)</f>
        <v/>
      </c>
      <c r="M43" s="155">
        <f>MIN(N42+K43-L43,MAX(0,$AQ43-(E43+I43)))</f>
        <v/>
      </c>
      <c r="N43" s="155">
        <f>ROUND(N42+K43-L43-M43,2)</f>
        <v/>
      </c>
      <c r="O43" s="155">
        <f>ROUND(R42*$D$13,2)</f>
        <v/>
      </c>
      <c r="P43" s="155">
        <f>MIN($E$13,R42+O43)</f>
        <v/>
      </c>
      <c r="Q43" s="155">
        <f>MIN(R42+O43-P43,MAX(0,$AQ43-(E43+I43+M43)))</f>
        <v/>
      </c>
      <c r="R43" s="155">
        <f>ROUND(R42+O43-P43-Q43,2)</f>
        <v/>
      </c>
      <c r="S43" s="155">
        <f>ROUND(V42*$D$14,2)</f>
        <v/>
      </c>
      <c r="T43" s="155">
        <f>MIN($E$14,V42+S43)</f>
        <v/>
      </c>
      <c r="U43" s="155">
        <f>MIN(V42+S43-T43,MAX(0,$AQ43-(E43+I43+M43+Q43)))</f>
        <v/>
      </c>
      <c r="V43" s="155">
        <f>ROUND(V42+S43-T43-U43,2)</f>
        <v/>
      </c>
      <c r="W43" s="155">
        <f>ROUND(Z42*$D$15,2)</f>
        <v/>
      </c>
      <c r="X43" s="155">
        <f>MIN($E$15,Z42+W43)</f>
        <v/>
      </c>
      <c r="Y43" s="155">
        <f>MIN(Z42+W43-X43,MAX(0,$AQ43-(E43+I43+M43+Q43+U43)))</f>
        <v/>
      </c>
      <c r="Z43" s="155">
        <f>ROUND(Z42+W43-X43-Y43,2)</f>
        <v/>
      </c>
      <c r="AA43" s="155">
        <f>ROUND(AD42*$D$16,2)</f>
        <v/>
      </c>
      <c r="AB43" s="155">
        <f>MIN($E$16,AD42+AA43)</f>
        <v/>
      </c>
      <c r="AC43" s="155">
        <f>MIN(AD42+AA43-AB43,MAX(0,$AQ43-(E43+I43+M43+Q43+U43+Y43)))</f>
        <v/>
      </c>
      <c r="AD43" s="155">
        <f>ROUND(AD42+AA43-AB43-AC43,2)</f>
        <v/>
      </c>
      <c r="AE43" s="155">
        <f>ROUND(AH42*$D$17,2)</f>
        <v/>
      </c>
      <c r="AF43" s="155">
        <f>MIN($E$17,AH42+AE43)</f>
        <v/>
      </c>
      <c r="AG43" s="155">
        <f>MIN(AH42+AE43-AF43,MAX(0,$AQ43-(E43+I43+M43+Q43+U43+Y43+AC43)))</f>
        <v/>
      </c>
      <c r="AH43" s="155">
        <f>ROUND(AH42+AE43-AF43-AG43,2)</f>
        <v/>
      </c>
      <c r="AI43" s="155">
        <f>ROUND(AL42*$D$18,2)</f>
        <v/>
      </c>
      <c r="AJ43" s="155">
        <f>MIN($E$18,AL42+AI43)</f>
        <v/>
      </c>
      <c r="AK43" s="155">
        <f>MIN(AL42+AI43-AJ43,MAX(0,$AQ43-(E43+I43+M43+Q43+U43+Y43+AC43+AG43)))</f>
        <v/>
      </c>
      <c r="AL43" s="155">
        <f>ROUND(AL42+AI43-AJ43-AK43,2)</f>
        <v/>
      </c>
      <c r="AM43" s="155">
        <f>ROUND(AP42*$D$19,2)</f>
        <v/>
      </c>
      <c r="AN43" s="155">
        <f>MIN($E$19,AP42+AM43)</f>
        <v/>
      </c>
      <c r="AO43" s="155">
        <f>MIN(AP42+AM43-AN43,MAX(0,$AQ43-(E43+I43+M43+Q43+U43+Y43+AC43+AG43+AK43)))</f>
        <v/>
      </c>
      <c r="AP43" s="155">
        <f>ROUND(AP42+AM43-AN43-AO43,2)</f>
        <v/>
      </c>
      <c r="AQ43" s="155">
        <f>MAX(0,$B$6-(D43+H43+L43+P43+T43+X43+AB43+AF43+AJ43+AN43))</f>
        <v/>
      </c>
      <c r="AR43" s="155">
        <f>D43+H43+L43+P43+T43+X43+AB43+AF43+AJ43+AN43+E43+I43+M43+Q43+U43+Y43+AC43+AG43+AK43+AO43</f>
        <v/>
      </c>
      <c r="AS43" s="155">
        <f>C43+G43+K43+O43+S43+W43+AA43+AE43+AI43+AM43</f>
        <v/>
      </c>
      <c r="AT43" s="155">
        <f>F43+J43+N43+R43+V43+Z43+AD43+AH43+AL43+AP43</f>
        <v/>
      </c>
      <c r="AU43" s="157">
        <f>MID(IF(AND(F43=0,F42&gt;0),"; "&amp;$B$10,"")&amp;IF(AND(J43=0,J42&gt;0),"; "&amp;$B$11,"")&amp;IF(AND(N43=0,N42&gt;0),"; "&amp;$B$12,"")&amp;IF(AND(R43=0,R42&gt;0),"; "&amp;$B$13,"")&amp;IF(AND(V43=0,V42&gt;0),"; "&amp;$B$14,"")&amp;IF(AND(Z43=0,Z42&gt;0),"; "&amp;$B$15,"")&amp;IF(AND(AD43=0,AD42&gt;0),"; "&amp;$B$16,"")&amp;IF(AND(AH43=0,AH42&gt;0),"; "&amp;$B$17,"")&amp;IF(AND(AL43=0,AL42&gt;0),"; "&amp;$B$18,"")&amp;IF(AND(AP43=0,AP42&gt;0),"; "&amp;$B$19,""),3,200)</f>
        <v/>
      </c>
    </row>
    <row r="44">
      <c r="A44" s="154" t="n">
        <v>20</v>
      </c>
      <c r="B44" s="156">
        <f>EDATE($B$5,A44-1)</f>
        <v/>
      </c>
      <c r="C44" s="155">
        <f>ROUND(F43*$D$10,2)</f>
        <v/>
      </c>
      <c r="D44" s="155">
        <f>MIN($E$10,F43+C44)</f>
        <v/>
      </c>
      <c r="E44" s="155">
        <f>MIN(F43+C44-D44,MAX(0,$AQ44-(0)))</f>
        <v/>
      </c>
      <c r="F44" s="155">
        <f>ROUND(F43+C44-D44-E44,2)</f>
        <v/>
      </c>
      <c r="G44" s="155">
        <f>ROUND(J43*$D$11,2)</f>
        <v/>
      </c>
      <c r="H44" s="155">
        <f>MIN($E$11,J43+G44)</f>
        <v/>
      </c>
      <c r="I44" s="155">
        <f>MIN(J43+G44-H44,MAX(0,$AQ44-(E44)))</f>
        <v/>
      </c>
      <c r="J44" s="155">
        <f>ROUND(J43+G44-H44-I44,2)</f>
        <v/>
      </c>
      <c r="K44" s="155">
        <f>ROUND(N43*$D$12,2)</f>
        <v/>
      </c>
      <c r="L44" s="155">
        <f>MIN($E$12,N43+K44)</f>
        <v/>
      </c>
      <c r="M44" s="155">
        <f>MIN(N43+K44-L44,MAX(0,$AQ44-(E44+I44)))</f>
        <v/>
      </c>
      <c r="N44" s="155">
        <f>ROUND(N43+K44-L44-M44,2)</f>
        <v/>
      </c>
      <c r="O44" s="155">
        <f>ROUND(R43*$D$13,2)</f>
        <v/>
      </c>
      <c r="P44" s="155">
        <f>MIN($E$13,R43+O44)</f>
        <v/>
      </c>
      <c r="Q44" s="155">
        <f>MIN(R43+O44-P44,MAX(0,$AQ44-(E44+I44+M44)))</f>
        <v/>
      </c>
      <c r="R44" s="155">
        <f>ROUND(R43+O44-P44-Q44,2)</f>
        <v/>
      </c>
      <c r="S44" s="155">
        <f>ROUND(V43*$D$14,2)</f>
        <v/>
      </c>
      <c r="T44" s="155">
        <f>MIN($E$14,V43+S44)</f>
        <v/>
      </c>
      <c r="U44" s="155">
        <f>MIN(V43+S44-T44,MAX(0,$AQ44-(E44+I44+M44+Q44)))</f>
        <v/>
      </c>
      <c r="V44" s="155">
        <f>ROUND(V43+S44-T44-U44,2)</f>
        <v/>
      </c>
      <c r="W44" s="155">
        <f>ROUND(Z43*$D$15,2)</f>
        <v/>
      </c>
      <c r="X44" s="155">
        <f>MIN($E$15,Z43+W44)</f>
        <v/>
      </c>
      <c r="Y44" s="155">
        <f>MIN(Z43+W44-X44,MAX(0,$AQ44-(E44+I44+M44+Q44+U44)))</f>
        <v/>
      </c>
      <c r="Z44" s="155">
        <f>ROUND(Z43+W44-X44-Y44,2)</f>
        <v/>
      </c>
      <c r="AA44" s="155">
        <f>ROUND(AD43*$D$16,2)</f>
        <v/>
      </c>
      <c r="AB44" s="155">
        <f>MIN($E$16,AD43+AA44)</f>
        <v/>
      </c>
      <c r="AC44" s="155">
        <f>MIN(AD43+AA44-AB44,MAX(0,$AQ44-(E44+I44+M44+Q44+U44+Y44)))</f>
        <v/>
      </c>
      <c r="AD44" s="155">
        <f>ROUND(AD43+AA44-AB44-AC44,2)</f>
        <v/>
      </c>
      <c r="AE44" s="155">
        <f>ROUND(AH43*$D$17,2)</f>
        <v/>
      </c>
      <c r="AF44" s="155">
        <f>MIN($E$17,AH43+AE44)</f>
        <v/>
      </c>
      <c r="AG44" s="155">
        <f>MIN(AH43+AE44-AF44,MAX(0,$AQ44-(E44+I44+M44+Q44+U44+Y44+AC44)))</f>
        <v/>
      </c>
      <c r="AH44" s="155">
        <f>ROUND(AH43+AE44-AF44-AG44,2)</f>
        <v/>
      </c>
      <c r="AI44" s="155">
        <f>ROUND(AL43*$D$18,2)</f>
        <v/>
      </c>
      <c r="AJ44" s="155">
        <f>MIN($E$18,AL43+AI44)</f>
        <v/>
      </c>
      <c r="AK44" s="155">
        <f>MIN(AL43+AI44-AJ44,MAX(0,$AQ44-(E44+I44+M44+Q44+U44+Y44+AC44+AG44)))</f>
        <v/>
      </c>
      <c r="AL44" s="155">
        <f>ROUND(AL43+AI44-AJ44-AK44,2)</f>
        <v/>
      </c>
      <c r="AM44" s="155">
        <f>ROUND(AP43*$D$19,2)</f>
        <v/>
      </c>
      <c r="AN44" s="155">
        <f>MIN($E$19,AP43+AM44)</f>
        <v/>
      </c>
      <c r="AO44" s="155">
        <f>MIN(AP43+AM44-AN44,MAX(0,$AQ44-(E44+I44+M44+Q44+U44+Y44+AC44+AG44+AK44)))</f>
        <v/>
      </c>
      <c r="AP44" s="155">
        <f>ROUND(AP43+AM44-AN44-AO44,2)</f>
        <v/>
      </c>
      <c r="AQ44" s="155">
        <f>MAX(0,$B$6-(D44+H44+L44+P44+T44+X44+AB44+AF44+AJ44+AN44))</f>
        <v/>
      </c>
      <c r="AR44" s="155">
        <f>D44+H44+L44+P44+T44+X44+AB44+AF44+AJ44+AN44+E44+I44+M44+Q44+U44+Y44+AC44+AG44+AK44+AO44</f>
        <v/>
      </c>
      <c r="AS44" s="155">
        <f>C44+G44+K44+O44+S44+W44+AA44+AE44+AI44+AM44</f>
        <v/>
      </c>
      <c r="AT44" s="155">
        <f>F44+J44+N44+R44+V44+Z44+AD44+AH44+AL44+AP44</f>
        <v/>
      </c>
      <c r="AU44" s="157">
        <f>MID(IF(AND(F44=0,F43&gt;0),"; "&amp;$B$10,"")&amp;IF(AND(J44=0,J43&gt;0),"; "&amp;$B$11,"")&amp;IF(AND(N44=0,N43&gt;0),"; "&amp;$B$12,"")&amp;IF(AND(R44=0,R43&gt;0),"; "&amp;$B$13,"")&amp;IF(AND(V44=0,V43&gt;0),"; "&amp;$B$14,"")&amp;IF(AND(Z44=0,Z43&gt;0),"; "&amp;$B$15,"")&amp;IF(AND(AD44=0,AD43&gt;0),"; "&amp;$B$16,"")&amp;IF(AND(AH44=0,AH43&gt;0),"; "&amp;$B$17,"")&amp;IF(AND(AL44=0,AL43&gt;0),"; "&amp;$B$18,"")&amp;IF(AND(AP44=0,AP43&gt;0),"; "&amp;$B$19,""),3,200)</f>
        <v/>
      </c>
    </row>
    <row r="45">
      <c r="A45" s="154" t="n">
        <v>21</v>
      </c>
      <c r="B45" s="156">
        <f>EDATE($B$5,A45-1)</f>
        <v/>
      </c>
      <c r="C45" s="155">
        <f>ROUND(F44*$D$10,2)</f>
        <v/>
      </c>
      <c r="D45" s="155">
        <f>MIN($E$10,F44+C45)</f>
        <v/>
      </c>
      <c r="E45" s="155">
        <f>MIN(F44+C45-D45,MAX(0,$AQ45-(0)))</f>
        <v/>
      </c>
      <c r="F45" s="155">
        <f>ROUND(F44+C45-D45-E45,2)</f>
        <v/>
      </c>
      <c r="G45" s="155">
        <f>ROUND(J44*$D$11,2)</f>
        <v/>
      </c>
      <c r="H45" s="155">
        <f>MIN($E$11,J44+G45)</f>
        <v/>
      </c>
      <c r="I45" s="155">
        <f>MIN(J44+G45-H45,MAX(0,$AQ45-(E45)))</f>
        <v/>
      </c>
      <c r="J45" s="155">
        <f>ROUND(J44+G45-H45-I45,2)</f>
        <v/>
      </c>
      <c r="K45" s="155">
        <f>ROUND(N44*$D$12,2)</f>
        <v/>
      </c>
      <c r="L45" s="155">
        <f>MIN($E$12,N44+K45)</f>
        <v/>
      </c>
      <c r="M45" s="155">
        <f>MIN(N44+K45-L45,MAX(0,$AQ45-(E45+I45)))</f>
        <v/>
      </c>
      <c r="N45" s="155">
        <f>ROUND(N44+K45-L45-M45,2)</f>
        <v/>
      </c>
      <c r="O45" s="155">
        <f>ROUND(R44*$D$13,2)</f>
        <v/>
      </c>
      <c r="P45" s="155">
        <f>MIN($E$13,R44+O45)</f>
        <v/>
      </c>
      <c r="Q45" s="155">
        <f>MIN(R44+O45-P45,MAX(0,$AQ45-(E45+I45+M45)))</f>
        <v/>
      </c>
      <c r="R45" s="155">
        <f>ROUND(R44+O45-P45-Q45,2)</f>
        <v/>
      </c>
      <c r="S45" s="155">
        <f>ROUND(V44*$D$14,2)</f>
        <v/>
      </c>
      <c r="T45" s="155">
        <f>MIN($E$14,V44+S45)</f>
        <v/>
      </c>
      <c r="U45" s="155">
        <f>MIN(V44+S45-T45,MAX(0,$AQ45-(E45+I45+M45+Q45)))</f>
        <v/>
      </c>
      <c r="V45" s="155">
        <f>ROUND(V44+S45-T45-U45,2)</f>
        <v/>
      </c>
      <c r="W45" s="155">
        <f>ROUND(Z44*$D$15,2)</f>
        <v/>
      </c>
      <c r="X45" s="155">
        <f>MIN($E$15,Z44+W45)</f>
        <v/>
      </c>
      <c r="Y45" s="155">
        <f>MIN(Z44+W45-X45,MAX(0,$AQ45-(E45+I45+M45+Q45+U45)))</f>
        <v/>
      </c>
      <c r="Z45" s="155">
        <f>ROUND(Z44+W45-X45-Y45,2)</f>
        <v/>
      </c>
      <c r="AA45" s="155">
        <f>ROUND(AD44*$D$16,2)</f>
        <v/>
      </c>
      <c r="AB45" s="155">
        <f>MIN($E$16,AD44+AA45)</f>
        <v/>
      </c>
      <c r="AC45" s="155">
        <f>MIN(AD44+AA45-AB45,MAX(0,$AQ45-(E45+I45+M45+Q45+U45+Y45)))</f>
        <v/>
      </c>
      <c r="AD45" s="155">
        <f>ROUND(AD44+AA45-AB45-AC45,2)</f>
        <v/>
      </c>
      <c r="AE45" s="155">
        <f>ROUND(AH44*$D$17,2)</f>
        <v/>
      </c>
      <c r="AF45" s="155">
        <f>MIN($E$17,AH44+AE45)</f>
        <v/>
      </c>
      <c r="AG45" s="155">
        <f>MIN(AH44+AE45-AF45,MAX(0,$AQ45-(E45+I45+M45+Q45+U45+Y45+AC45)))</f>
        <v/>
      </c>
      <c r="AH45" s="155">
        <f>ROUND(AH44+AE45-AF45-AG45,2)</f>
        <v/>
      </c>
      <c r="AI45" s="155">
        <f>ROUND(AL44*$D$18,2)</f>
        <v/>
      </c>
      <c r="AJ45" s="155">
        <f>MIN($E$18,AL44+AI45)</f>
        <v/>
      </c>
      <c r="AK45" s="155">
        <f>MIN(AL44+AI45-AJ45,MAX(0,$AQ45-(E45+I45+M45+Q45+U45+Y45+AC45+AG45)))</f>
        <v/>
      </c>
      <c r="AL45" s="155">
        <f>ROUND(AL44+AI45-AJ45-AK45,2)</f>
        <v/>
      </c>
      <c r="AM45" s="155">
        <f>ROUND(AP44*$D$19,2)</f>
        <v/>
      </c>
      <c r="AN45" s="155">
        <f>MIN($E$19,AP44+AM45)</f>
        <v/>
      </c>
      <c r="AO45" s="155">
        <f>MIN(AP44+AM45-AN45,MAX(0,$AQ45-(E45+I45+M45+Q45+U45+Y45+AC45+AG45+AK45)))</f>
        <v/>
      </c>
      <c r="AP45" s="155">
        <f>ROUND(AP44+AM45-AN45-AO45,2)</f>
        <v/>
      </c>
      <c r="AQ45" s="155">
        <f>MAX(0,$B$6-(D45+H45+L45+P45+T45+X45+AB45+AF45+AJ45+AN45))</f>
        <v/>
      </c>
      <c r="AR45" s="155">
        <f>D45+H45+L45+P45+T45+X45+AB45+AF45+AJ45+AN45+E45+I45+M45+Q45+U45+Y45+AC45+AG45+AK45+AO45</f>
        <v/>
      </c>
      <c r="AS45" s="155">
        <f>C45+G45+K45+O45+S45+W45+AA45+AE45+AI45+AM45</f>
        <v/>
      </c>
      <c r="AT45" s="155">
        <f>F45+J45+N45+R45+V45+Z45+AD45+AH45+AL45+AP45</f>
        <v/>
      </c>
      <c r="AU45" s="157">
        <f>MID(IF(AND(F45=0,F44&gt;0),"; "&amp;$B$10,"")&amp;IF(AND(J45=0,J44&gt;0),"; "&amp;$B$11,"")&amp;IF(AND(N45=0,N44&gt;0),"; "&amp;$B$12,"")&amp;IF(AND(R45=0,R44&gt;0),"; "&amp;$B$13,"")&amp;IF(AND(V45=0,V44&gt;0),"; "&amp;$B$14,"")&amp;IF(AND(Z45=0,Z44&gt;0),"; "&amp;$B$15,"")&amp;IF(AND(AD45=0,AD44&gt;0),"; "&amp;$B$16,"")&amp;IF(AND(AH45=0,AH44&gt;0),"; "&amp;$B$17,"")&amp;IF(AND(AL45=0,AL44&gt;0),"; "&amp;$B$18,"")&amp;IF(AND(AP45=0,AP44&gt;0),"; "&amp;$B$19,""),3,200)</f>
        <v/>
      </c>
    </row>
    <row r="46">
      <c r="A46" s="154" t="n">
        <v>22</v>
      </c>
      <c r="B46" s="156">
        <f>EDATE($B$5,A46-1)</f>
        <v/>
      </c>
      <c r="C46" s="155">
        <f>ROUND(F45*$D$10,2)</f>
        <v/>
      </c>
      <c r="D46" s="155">
        <f>MIN($E$10,F45+C46)</f>
        <v/>
      </c>
      <c r="E46" s="155">
        <f>MIN(F45+C46-D46,MAX(0,$AQ46-(0)))</f>
        <v/>
      </c>
      <c r="F46" s="155">
        <f>ROUND(F45+C46-D46-E46,2)</f>
        <v/>
      </c>
      <c r="G46" s="155">
        <f>ROUND(J45*$D$11,2)</f>
        <v/>
      </c>
      <c r="H46" s="155">
        <f>MIN($E$11,J45+G46)</f>
        <v/>
      </c>
      <c r="I46" s="155">
        <f>MIN(J45+G46-H46,MAX(0,$AQ46-(E46)))</f>
        <v/>
      </c>
      <c r="J46" s="155">
        <f>ROUND(J45+G46-H46-I46,2)</f>
        <v/>
      </c>
      <c r="K46" s="155">
        <f>ROUND(N45*$D$12,2)</f>
        <v/>
      </c>
      <c r="L46" s="155">
        <f>MIN($E$12,N45+K46)</f>
        <v/>
      </c>
      <c r="M46" s="155">
        <f>MIN(N45+K46-L46,MAX(0,$AQ46-(E46+I46)))</f>
        <v/>
      </c>
      <c r="N46" s="155">
        <f>ROUND(N45+K46-L46-M46,2)</f>
        <v/>
      </c>
      <c r="O46" s="155">
        <f>ROUND(R45*$D$13,2)</f>
        <v/>
      </c>
      <c r="P46" s="155">
        <f>MIN($E$13,R45+O46)</f>
        <v/>
      </c>
      <c r="Q46" s="155">
        <f>MIN(R45+O46-P46,MAX(0,$AQ46-(E46+I46+M46)))</f>
        <v/>
      </c>
      <c r="R46" s="155">
        <f>ROUND(R45+O46-P46-Q46,2)</f>
        <v/>
      </c>
      <c r="S46" s="155">
        <f>ROUND(V45*$D$14,2)</f>
        <v/>
      </c>
      <c r="T46" s="155">
        <f>MIN($E$14,V45+S46)</f>
        <v/>
      </c>
      <c r="U46" s="155">
        <f>MIN(V45+S46-T46,MAX(0,$AQ46-(E46+I46+M46+Q46)))</f>
        <v/>
      </c>
      <c r="V46" s="155">
        <f>ROUND(V45+S46-T46-U46,2)</f>
        <v/>
      </c>
      <c r="W46" s="155">
        <f>ROUND(Z45*$D$15,2)</f>
        <v/>
      </c>
      <c r="X46" s="155">
        <f>MIN($E$15,Z45+W46)</f>
        <v/>
      </c>
      <c r="Y46" s="155">
        <f>MIN(Z45+W46-X46,MAX(0,$AQ46-(E46+I46+M46+Q46+U46)))</f>
        <v/>
      </c>
      <c r="Z46" s="155">
        <f>ROUND(Z45+W46-X46-Y46,2)</f>
        <v/>
      </c>
      <c r="AA46" s="155">
        <f>ROUND(AD45*$D$16,2)</f>
        <v/>
      </c>
      <c r="AB46" s="155">
        <f>MIN($E$16,AD45+AA46)</f>
        <v/>
      </c>
      <c r="AC46" s="155">
        <f>MIN(AD45+AA46-AB46,MAX(0,$AQ46-(E46+I46+M46+Q46+U46+Y46)))</f>
        <v/>
      </c>
      <c r="AD46" s="155">
        <f>ROUND(AD45+AA46-AB46-AC46,2)</f>
        <v/>
      </c>
      <c r="AE46" s="155">
        <f>ROUND(AH45*$D$17,2)</f>
        <v/>
      </c>
      <c r="AF46" s="155">
        <f>MIN($E$17,AH45+AE46)</f>
        <v/>
      </c>
      <c r="AG46" s="155">
        <f>MIN(AH45+AE46-AF46,MAX(0,$AQ46-(E46+I46+M46+Q46+U46+Y46+AC46)))</f>
        <v/>
      </c>
      <c r="AH46" s="155">
        <f>ROUND(AH45+AE46-AF46-AG46,2)</f>
        <v/>
      </c>
      <c r="AI46" s="155">
        <f>ROUND(AL45*$D$18,2)</f>
        <v/>
      </c>
      <c r="AJ46" s="155">
        <f>MIN($E$18,AL45+AI46)</f>
        <v/>
      </c>
      <c r="AK46" s="155">
        <f>MIN(AL45+AI46-AJ46,MAX(0,$AQ46-(E46+I46+M46+Q46+U46+Y46+AC46+AG46)))</f>
        <v/>
      </c>
      <c r="AL46" s="155">
        <f>ROUND(AL45+AI46-AJ46-AK46,2)</f>
        <v/>
      </c>
      <c r="AM46" s="155">
        <f>ROUND(AP45*$D$19,2)</f>
        <v/>
      </c>
      <c r="AN46" s="155">
        <f>MIN($E$19,AP45+AM46)</f>
        <v/>
      </c>
      <c r="AO46" s="155">
        <f>MIN(AP45+AM46-AN46,MAX(0,$AQ46-(E46+I46+M46+Q46+U46+Y46+AC46+AG46+AK46)))</f>
        <v/>
      </c>
      <c r="AP46" s="155">
        <f>ROUND(AP45+AM46-AN46-AO46,2)</f>
        <v/>
      </c>
      <c r="AQ46" s="155">
        <f>MAX(0,$B$6-(D46+H46+L46+P46+T46+X46+AB46+AF46+AJ46+AN46))</f>
        <v/>
      </c>
      <c r="AR46" s="155">
        <f>D46+H46+L46+P46+T46+X46+AB46+AF46+AJ46+AN46+E46+I46+M46+Q46+U46+Y46+AC46+AG46+AK46+AO46</f>
        <v/>
      </c>
      <c r="AS46" s="155">
        <f>C46+G46+K46+O46+S46+W46+AA46+AE46+AI46+AM46</f>
        <v/>
      </c>
      <c r="AT46" s="155">
        <f>F46+J46+N46+R46+V46+Z46+AD46+AH46+AL46+AP46</f>
        <v/>
      </c>
      <c r="AU46" s="157">
        <f>MID(IF(AND(F46=0,F45&gt;0),"; "&amp;$B$10,"")&amp;IF(AND(J46=0,J45&gt;0),"; "&amp;$B$11,"")&amp;IF(AND(N46=0,N45&gt;0),"; "&amp;$B$12,"")&amp;IF(AND(R46=0,R45&gt;0),"; "&amp;$B$13,"")&amp;IF(AND(V46=0,V45&gt;0),"; "&amp;$B$14,"")&amp;IF(AND(Z46=0,Z45&gt;0),"; "&amp;$B$15,"")&amp;IF(AND(AD46=0,AD45&gt;0),"; "&amp;$B$16,"")&amp;IF(AND(AH46=0,AH45&gt;0),"; "&amp;$B$17,"")&amp;IF(AND(AL46=0,AL45&gt;0),"; "&amp;$B$18,"")&amp;IF(AND(AP46=0,AP45&gt;0),"; "&amp;$B$19,""),3,200)</f>
        <v/>
      </c>
    </row>
    <row r="47">
      <c r="A47" s="154" t="n">
        <v>23</v>
      </c>
      <c r="B47" s="156">
        <f>EDATE($B$5,A47-1)</f>
        <v/>
      </c>
      <c r="C47" s="155">
        <f>ROUND(F46*$D$10,2)</f>
        <v/>
      </c>
      <c r="D47" s="155">
        <f>MIN($E$10,F46+C47)</f>
        <v/>
      </c>
      <c r="E47" s="155">
        <f>MIN(F46+C47-D47,MAX(0,$AQ47-(0)))</f>
        <v/>
      </c>
      <c r="F47" s="155">
        <f>ROUND(F46+C47-D47-E47,2)</f>
        <v/>
      </c>
      <c r="G47" s="155">
        <f>ROUND(J46*$D$11,2)</f>
        <v/>
      </c>
      <c r="H47" s="155">
        <f>MIN($E$11,J46+G47)</f>
        <v/>
      </c>
      <c r="I47" s="155">
        <f>MIN(J46+G47-H47,MAX(0,$AQ47-(E47)))</f>
        <v/>
      </c>
      <c r="J47" s="155">
        <f>ROUND(J46+G47-H47-I47,2)</f>
        <v/>
      </c>
      <c r="K47" s="155">
        <f>ROUND(N46*$D$12,2)</f>
        <v/>
      </c>
      <c r="L47" s="155">
        <f>MIN($E$12,N46+K47)</f>
        <v/>
      </c>
      <c r="M47" s="155">
        <f>MIN(N46+K47-L47,MAX(0,$AQ47-(E47+I47)))</f>
        <v/>
      </c>
      <c r="N47" s="155">
        <f>ROUND(N46+K47-L47-M47,2)</f>
        <v/>
      </c>
      <c r="O47" s="155">
        <f>ROUND(R46*$D$13,2)</f>
        <v/>
      </c>
      <c r="P47" s="155">
        <f>MIN($E$13,R46+O47)</f>
        <v/>
      </c>
      <c r="Q47" s="155">
        <f>MIN(R46+O47-P47,MAX(0,$AQ47-(E47+I47+M47)))</f>
        <v/>
      </c>
      <c r="R47" s="155">
        <f>ROUND(R46+O47-P47-Q47,2)</f>
        <v/>
      </c>
      <c r="S47" s="155">
        <f>ROUND(V46*$D$14,2)</f>
        <v/>
      </c>
      <c r="T47" s="155">
        <f>MIN($E$14,V46+S47)</f>
        <v/>
      </c>
      <c r="U47" s="155">
        <f>MIN(V46+S47-T47,MAX(0,$AQ47-(E47+I47+M47+Q47)))</f>
        <v/>
      </c>
      <c r="V47" s="155">
        <f>ROUND(V46+S47-T47-U47,2)</f>
        <v/>
      </c>
      <c r="W47" s="155">
        <f>ROUND(Z46*$D$15,2)</f>
        <v/>
      </c>
      <c r="X47" s="155">
        <f>MIN($E$15,Z46+W47)</f>
        <v/>
      </c>
      <c r="Y47" s="155">
        <f>MIN(Z46+W47-X47,MAX(0,$AQ47-(E47+I47+M47+Q47+U47)))</f>
        <v/>
      </c>
      <c r="Z47" s="155">
        <f>ROUND(Z46+W47-X47-Y47,2)</f>
        <v/>
      </c>
      <c r="AA47" s="155">
        <f>ROUND(AD46*$D$16,2)</f>
        <v/>
      </c>
      <c r="AB47" s="155">
        <f>MIN($E$16,AD46+AA47)</f>
        <v/>
      </c>
      <c r="AC47" s="155">
        <f>MIN(AD46+AA47-AB47,MAX(0,$AQ47-(E47+I47+M47+Q47+U47+Y47)))</f>
        <v/>
      </c>
      <c r="AD47" s="155">
        <f>ROUND(AD46+AA47-AB47-AC47,2)</f>
        <v/>
      </c>
      <c r="AE47" s="155">
        <f>ROUND(AH46*$D$17,2)</f>
        <v/>
      </c>
      <c r="AF47" s="155">
        <f>MIN($E$17,AH46+AE47)</f>
        <v/>
      </c>
      <c r="AG47" s="155">
        <f>MIN(AH46+AE47-AF47,MAX(0,$AQ47-(E47+I47+M47+Q47+U47+Y47+AC47)))</f>
        <v/>
      </c>
      <c r="AH47" s="155">
        <f>ROUND(AH46+AE47-AF47-AG47,2)</f>
        <v/>
      </c>
      <c r="AI47" s="155">
        <f>ROUND(AL46*$D$18,2)</f>
        <v/>
      </c>
      <c r="AJ47" s="155">
        <f>MIN($E$18,AL46+AI47)</f>
        <v/>
      </c>
      <c r="AK47" s="155">
        <f>MIN(AL46+AI47-AJ47,MAX(0,$AQ47-(E47+I47+M47+Q47+U47+Y47+AC47+AG47)))</f>
        <v/>
      </c>
      <c r="AL47" s="155">
        <f>ROUND(AL46+AI47-AJ47-AK47,2)</f>
        <v/>
      </c>
      <c r="AM47" s="155">
        <f>ROUND(AP46*$D$19,2)</f>
        <v/>
      </c>
      <c r="AN47" s="155">
        <f>MIN($E$19,AP46+AM47)</f>
        <v/>
      </c>
      <c r="AO47" s="155">
        <f>MIN(AP46+AM47-AN47,MAX(0,$AQ47-(E47+I47+M47+Q47+U47+Y47+AC47+AG47+AK47)))</f>
        <v/>
      </c>
      <c r="AP47" s="155">
        <f>ROUND(AP46+AM47-AN47-AO47,2)</f>
        <v/>
      </c>
      <c r="AQ47" s="155">
        <f>MAX(0,$B$6-(D47+H47+L47+P47+T47+X47+AB47+AF47+AJ47+AN47))</f>
        <v/>
      </c>
      <c r="AR47" s="155">
        <f>D47+H47+L47+P47+T47+X47+AB47+AF47+AJ47+AN47+E47+I47+M47+Q47+U47+Y47+AC47+AG47+AK47+AO47</f>
        <v/>
      </c>
      <c r="AS47" s="155">
        <f>C47+G47+K47+O47+S47+W47+AA47+AE47+AI47+AM47</f>
        <v/>
      </c>
      <c r="AT47" s="155">
        <f>F47+J47+N47+R47+V47+Z47+AD47+AH47+AL47+AP47</f>
        <v/>
      </c>
      <c r="AU47" s="157">
        <f>MID(IF(AND(F47=0,F46&gt;0),"; "&amp;$B$10,"")&amp;IF(AND(J47=0,J46&gt;0),"; "&amp;$B$11,"")&amp;IF(AND(N47=0,N46&gt;0),"; "&amp;$B$12,"")&amp;IF(AND(R47=0,R46&gt;0),"; "&amp;$B$13,"")&amp;IF(AND(V47=0,V46&gt;0),"; "&amp;$B$14,"")&amp;IF(AND(Z47=0,Z46&gt;0),"; "&amp;$B$15,"")&amp;IF(AND(AD47=0,AD46&gt;0),"; "&amp;$B$16,"")&amp;IF(AND(AH47=0,AH46&gt;0),"; "&amp;$B$17,"")&amp;IF(AND(AL47=0,AL46&gt;0),"; "&amp;$B$18,"")&amp;IF(AND(AP47=0,AP46&gt;0),"; "&amp;$B$19,""),3,200)</f>
        <v/>
      </c>
    </row>
    <row r="48">
      <c r="A48" s="154" t="n">
        <v>24</v>
      </c>
      <c r="B48" s="156">
        <f>EDATE($B$5,A48-1)</f>
        <v/>
      </c>
      <c r="C48" s="155">
        <f>ROUND(F47*$D$10,2)</f>
        <v/>
      </c>
      <c r="D48" s="155">
        <f>MIN($E$10,F47+C48)</f>
        <v/>
      </c>
      <c r="E48" s="155">
        <f>MIN(F47+C48-D48,MAX(0,$AQ48-(0)))</f>
        <v/>
      </c>
      <c r="F48" s="155">
        <f>ROUND(F47+C48-D48-E48,2)</f>
        <v/>
      </c>
      <c r="G48" s="155">
        <f>ROUND(J47*$D$11,2)</f>
        <v/>
      </c>
      <c r="H48" s="155">
        <f>MIN($E$11,J47+G48)</f>
        <v/>
      </c>
      <c r="I48" s="155">
        <f>MIN(J47+G48-H48,MAX(0,$AQ48-(E48)))</f>
        <v/>
      </c>
      <c r="J48" s="155">
        <f>ROUND(J47+G48-H48-I48,2)</f>
        <v/>
      </c>
      <c r="K48" s="155">
        <f>ROUND(N47*$D$12,2)</f>
        <v/>
      </c>
      <c r="L48" s="155">
        <f>MIN($E$12,N47+K48)</f>
        <v/>
      </c>
      <c r="M48" s="155">
        <f>MIN(N47+K48-L48,MAX(0,$AQ48-(E48+I48)))</f>
        <v/>
      </c>
      <c r="N48" s="155">
        <f>ROUND(N47+K48-L48-M48,2)</f>
        <v/>
      </c>
      <c r="O48" s="155">
        <f>ROUND(R47*$D$13,2)</f>
        <v/>
      </c>
      <c r="P48" s="155">
        <f>MIN($E$13,R47+O48)</f>
        <v/>
      </c>
      <c r="Q48" s="155">
        <f>MIN(R47+O48-P48,MAX(0,$AQ48-(E48+I48+M48)))</f>
        <v/>
      </c>
      <c r="R48" s="155">
        <f>ROUND(R47+O48-P48-Q48,2)</f>
        <v/>
      </c>
      <c r="S48" s="155">
        <f>ROUND(V47*$D$14,2)</f>
        <v/>
      </c>
      <c r="T48" s="155">
        <f>MIN($E$14,V47+S48)</f>
        <v/>
      </c>
      <c r="U48" s="155">
        <f>MIN(V47+S48-T48,MAX(0,$AQ48-(E48+I48+M48+Q48)))</f>
        <v/>
      </c>
      <c r="V48" s="155">
        <f>ROUND(V47+S48-T48-U48,2)</f>
        <v/>
      </c>
      <c r="W48" s="155">
        <f>ROUND(Z47*$D$15,2)</f>
        <v/>
      </c>
      <c r="X48" s="155">
        <f>MIN($E$15,Z47+W48)</f>
        <v/>
      </c>
      <c r="Y48" s="155">
        <f>MIN(Z47+W48-X48,MAX(0,$AQ48-(E48+I48+M48+Q48+U48)))</f>
        <v/>
      </c>
      <c r="Z48" s="155">
        <f>ROUND(Z47+W48-X48-Y48,2)</f>
        <v/>
      </c>
      <c r="AA48" s="155">
        <f>ROUND(AD47*$D$16,2)</f>
        <v/>
      </c>
      <c r="AB48" s="155">
        <f>MIN($E$16,AD47+AA48)</f>
        <v/>
      </c>
      <c r="AC48" s="155">
        <f>MIN(AD47+AA48-AB48,MAX(0,$AQ48-(E48+I48+M48+Q48+U48+Y48)))</f>
        <v/>
      </c>
      <c r="AD48" s="155">
        <f>ROUND(AD47+AA48-AB48-AC48,2)</f>
        <v/>
      </c>
      <c r="AE48" s="155">
        <f>ROUND(AH47*$D$17,2)</f>
        <v/>
      </c>
      <c r="AF48" s="155">
        <f>MIN($E$17,AH47+AE48)</f>
        <v/>
      </c>
      <c r="AG48" s="155">
        <f>MIN(AH47+AE48-AF48,MAX(0,$AQ48-(E48+I48+M48+Q48+U48+Y48+AC48)))</f>
        <v/>
      </c>
      <c r="AH48" s="155">
        <f>ROUND(AH47+AE48-AF48-AG48,2)</f>
        <v/>
      </c>
      <c r="AI48" s="155">
        <f>ROUND(AL47*$D$18,2)</f>
        <v/>
      </c>
      <c r="AJ48" s="155">
        <f>MIN($E$18,AL47+AI48)</f>
        <v/>
      </c>
      <c r="AK48" s="155">
        <f>MIN(AL47+AI48-AJ48,MAX(0,$AQ48-(E48+I48+M48+Q48+U48+Y48+AC48+AG48)))</f>
        <v/>
      </c>
      <c r="AL48" s="155">
        <f>ROUND(AL47+AI48-AJ48-AK48,2)</f>
        <v/>
      </c>
      <c r="AM48" s="155">
        <f>ROUND(AP47*$D$19,2)</f>
        <v/>
      </c>
      <c r="AN48" s="155">
        <f>MIN($E$19,AP47+AM48)</f>
        <v/>
      </c>
      <c r="AO48" s="155">
        <f>MIN(AP47+AM48-AN48,MAX(0,$AQ48-(E48+I48+M48+Q48+U48+Y48+AC48+AG48+AK48)))</f>
        <v/>
      </c>
      <c r="AP48" s="155">
        <f>ROUND(AP47+AM48-AN48-AO48,2)</f>
        <v/>
      </c>
      <c r="AQ48" s="155">
        <f>MAX(0,$B$6-(D48+H48+L48+P48+T48+X48+AB48+AF48+AJ48+AN48))</f>
        <v/>
      </c>
      <c r="AR48" s="155">
        <f>D48+H48+L48+P48+T48+X48+AB48+AF48+AJ48+AN48+E48+I48+M48+Q48+U48+Y48+AC48+AG48+AK48+AO48</f>
        <v/>
      </c>
      <c r="AS48" s="155">
        <f>C48+G48+K48+O48+S48+W48+AA48+AE48+AI48+AM48</f>
        <v/>
      </c>
      <c r="AT48" s="155">
        <f>F48+J48+N48+R48+V48+Z48+AD48+AH48+AL48+AP48</f>
        <v/>
      </c>
      <c r="AU48" s="157">
        <f>MID(IF(AND(F48=0,F47&gt;0),"; "&amp;$B$10,"")&amp;IF(AND(J48=0,J47&gt;0),"; "&amp;$B$11,"")&amp;IF(AND(N48=0,N47&gt;0),"; "&amp;$B$12,"")&amp;IF(AND(R48=0,R47&gt;0),"; "&amp;$B$13,"")&amp;IF(AND(V48=0,V47&gt;0),"; "&amp;$B$14,"")&amp;IF(AND(Z48=0,Z47&gt;0),"; "&amp;$B$15,"")&amp;IF(AND(AD48=0,AD47&gt;0),"; "&amp;$B$16,"")&amp;IF(AND(AH48=0,AH47&gt;0),"; "&amp;$B$17,"")&amp;IF(AND(AL48=0,AL47&gt;0),"; "&amp;$B$18,"")&amp;IF(AND(AP48=0,AP47&gt;0),"; "&amp;$B$19,""),3,200)</f>
        <v/>
      </c>
    </row>
    <row r="49">
      <c r="A49" s="154" t="n">
        <v>25</v>
      </c>
      <c r="B49" s="156">
        <f>EDATE($B$5,A49-1)</f>
        <v/>
      </c>
      <c r="C49" s="155">
        <f>ROUND(F48*$D$10,2)</f>
        <v/>
      </c>
      <c r="D49" s="155">
        <f>MIN($E$10,F48+C49)</f>
        <v/>
      </c>
      <c r="E49" s="155">
        <f>MIN(F48+C49-D49,MAX(0,$AQ49-(0)))</f>
        <v/>
      </c>
      <c r="F49" s="155">
        <f>ROUND(F48+C49-D49-E49,2)</f>
        <v/>
      </c>
      <c r="G49" s="155">
        <f>ROUND(J48*$D$11,2)</f>
        <v/>
      </c>
      <c r="H49" s="155">
        <f>MIN($E$11,J48+G49)</f>
        <v/>
      </c>
      <c r="I49" s="155">
        <f>MIN(J48+G49-H49,MAX(0,$AQ49-(E49)))</f>
        <v/>
      </c>
      <c r="J49" s="155">
        <f>ROUND(J48+G49-H49-I49,2)</f>
        <v/>
      </c>
      <c r="K49" s="155">
        <f>ROUND(N48*$D$12,2)</f>
        <v/>
      </c>
      <c r="L49" s="155">
        <f>MIN($E$12,N48+K49)</f>
        <v/>
      </c>
      <c r="M49" s="155">
        <f>MIN(N48+K49-L49,MAX(0,$AQ49-(E49+I49)))</f>
        <v/>
      </c>
      <c r="N49" s="155">
        <f>ROUND(N48+K49-L49-M49,2)</f>
        <v/>
      </c>
      <c r="O49" s="155">
        <f>ROUND(R48*$D$13,2)</f>
        <v/>
      </c>
      <c r="P49" s="155">
        <f>MIN($E$13,R48+O49)</f>
        <v/>
      </c>
      <c r="Q49" s="155">
        <f>MIN(R48+O49-P49,MAX(0,$AQ49-(E49+I49+M49)))</f>
        <v/>
      </c>
      <c r="R49" s="155">
        <f>ROUND(R48+O49-P49-Q49,2)</f>
        <v/>
      </c>
      <c r="S49" s="155">
        <f>ROUND(V48*$D$14,2)</f>
        <v/>
      </c>
      <c r="T49" s="155">
        <f>MIN($E$14,V48+S49)</f>
        <v/>
      </c>
      <c r="U49" s="155">
        <f>MIN(V48+S49-T49,MAX(0,$AQ49-(E49+I49+M49+Q49)))</f>
        <v/>
      </c>
      <c r="V49" s="155">
        <f>ROUND(V48+S49-T49-U49,2)</f>
        <v/>
      </c>
      <c r="W49" s="155">
        <f>ROUND(Z48*$D$15,2)</f>
        <v/>
      </c>
      <c r="X49" s="155">
        <f>MIN($E$15,Z48+W49)</f>
        <v/>
      </c>
      <c r="Y49" s="155">
        <f>MIN(Z48+W49-X49,MAX(0,$AQ49-(E49+I49+M49+Q49+U49)))</f>
        <v/>
      </c>
      <c r="Z49" s="155">
        <f>ROUND(Z48+W49-X49-Y49,2)</f>
        <v/>
      </c>
      <c r="AA49" s="155">
        <f>ROUND(AD48*$D$16,2)</f>
        <v/>
      </c>
      <c r="AB49" s="155">
        <f>MIN($E$16,AD48+AA49)</f>
        <v/>
      </c>
      <c r="AC49" s="155">
        <f>MIN(AD48+AA49-AB49,MAX(0,$AQ49-(E49+I49+M49+Q49+U49+Y49)))</f>
        <v/>
      </c>
      <c r="AD49" s="155">
        <f>ROUND(AD48+AA49-AB49-AC49,2)</f>
        <v/>
      </c>
      <c r="AE49" s="155">
        <f>ROUND(AH48*$D$17,2)</f>
        <v/>
      </c>
      <c r="AF49" s="155">
        <f>MIN($E$17,AH48+AE49)</f>
        <v/>
      </c>
      <c r="AG49" s="155">
        <f>MIN(AH48+AE49-AF49,MAX(0,$AQ49-(E49+I49+M49+Q49+U49+Y49+AC49)))</f>
        <v/>
      </c>
      <c r="AH49" s="155">
        <f>ROUND(AH48+AE49-AF49-AG49,2)</f>
        <v/>
      </c>
      <c r="AI49" s="155">
        <f>ROUND(AL48*$D$18,2)</f>
        <v/>
      </c>
      <c r="AJ49" s="155">
        <f>MIN($E$18,AL48+AI49)</f>
        <v/>
      </c>
      <c r="AK49" s="155">
        <f>MIN(AL48+AI49-AJ49,MAX(0,$AQ49-(E49+I49+M49+Q49+U49+Y49+AC49+AG49)))</f>
        <v/>
      </c>
      <c r="AL49" s="155">
        <f>ROUND(AL48+AI49-AJ49-AK49,2)</f>
        <v/>
      </c>
      <c r="AM49" s="155">
        <f>ROUND(AP48*$D$19,2)</f>
        <v/>
      </c>
      <c r="AN49" s="155">
        <f>MIN($E$19,AP48+AM49)</f>
        <v/>
      </c>
      <c r="AO49" s="155">
        <f>MIN(AP48+AM49-AN49,MAX(0,$AQ49-(E49+I49+M49+Q49+U49+Y49+AC49+AG49+AK49)))</f>
        <v/>
      </c>
      <c r="AP49" s="155">
        <f>ROUND(AP48+AM49-AN49-AO49,2)</f>
        <v/>
      </c>
      <c r="AQ49" s="155">
        <f>MAX(0,$B$6-(D49+H49+L49+P49+T49+X49+AB49+AF49+AJ49+AN49))</f>
        <v/>
      </c>
      <c r="AR49" s="155">
        <f>D49+H49+L49+P49+T49+X49+AB49+AF49+AJ49+AN49+E49+I49+M49+Q49+U49+Y49+AC49+AG49+AK49+AO49</f>
        <v/>
      </c>
      <c r="AS49" s="155">
        <f>C49+G49+K49+O49+S49+W49+AA49+AE49+AI49+AM49</f>
        <v/>
      </c>
      <c r="AT49" s="155">
        <f>F49+J49+N49+R49+V49+Z49+AD49+AH49+AL49+AP49</f>
        <v/>
      </c>
      <c r="AU49" s="157">
        <f>MID(IF(AND(F49=0,F48&gt;0),"; "&amp;$B$10,"")&amp;IF(AND(J49=0,J48&gt;0),"; "&amp;$B$11,"")&amp;IF(AND(N49=0,N48&gt;0),"; "&amp;$B$12,"")&amp;IF(AND(R49=0,R48&gt;0),"; "&amp;$B$13,"")&amp;IF(AND(V49=0,V48&gt;0),"; "&amp;$B$14,"")&amp;IF(AND(Z49=0,Z48&gt;0),"; "&amp;$B$15,"")&amp;IF(AND(AD49=0,AD48&gt;0),"; "&amp;$B$16,"")&amp;IF(AND(AH49=0,AH48&gt;0),"; "&amp;$B$17,"")&amp;IF(AND(AL49=0,AL48&gt;0),"; "&amp;$B$18,"")&amp;IF(AND(AP49=0,AP48&gt;0),"; "&amp;$B$19,""),3,200)</f>
        <v/>
      </c>
    </row>
    <row r="50">
      <c r="A50" s="154" t="n">
        <v>26</v>
      </c>
      <c r="B50" s="156">
        <f>EDATE($B$5,A50-1)</f>
        <v/>
      </c>
      <c r="C50" s="155">
        <f>ROUND(F49*$D$10,2)</f>
        <v/>
      </c>
      <c r="D50" s="155">
        <f>MIN($E$10,F49+C50)</f>
        <v/>
      </c>
      <c r="E50" s="155">
        <f>MIN(F49+C50-D50,MAX(0,$AQ50-(0)))</f>
        <v/>
      </c>
      <c r="F50" s="155">
        <f>ROUND(F49+C50-D50-E50,2)</f>
        <v/>
      </c>
      <c r="G50" s="155">
        <f>ROUND(J49*$D$11,2)</f>
        <v/>
      </c>
      <c r="H50" s="155">
        <f>MIN($E$11,J49+G50)</f>
        <v/>
      </c>
      <c r="I50" s="155">
        <f>MIN(J49+G50-H50,MAX(0,$AQ50-(E50)))</f>
        <v/>
      </c>
      <c r="J50" s="155">
        <f>ROUND(J49+G50-H50-I50,2)</f>
        <v/>
      </c>
      <c r="K50" s="155">
        <f>ROUND(N49*$D$12,2)</f>
        <v/>
      </c>
      <c r="L50" s="155">
        <f>MIN($E$12,N49+K50)</f>
        <v/>
      </c>
      <c r="M50" s="155">
        <f>MIN(N49+K50-L50,MAX(0,$AQ50-(E50+I50)))</f>
        <v/>
      </c>
      <c r="N50" s="155">
        <f>ROUND(N49+K50-L50-M50,2)</f>
        <v/>
      </c>
      <c r="O50" s="155">
        <f>ROUND(R49*$D$13,2)</f>
        <v/>
      </c>
      <c r="P50" s="155">
        <f>MIN($E$13,R49+O50)</f>
        <v/>
      </c>
      <c r="Q50" s="155">
        <f>MIN(R49+O50-P50,MAX(0,$AQ50-(E50+I50+M50)))</f>
        <v/>
      </c>
      <c r="R50" s="155">
        <f>ROUND(R49+O50-P50-Q50,2)</f>
        <v/>
      </c>
      <c r="S50" s="155">
        <f>ROUND(V49*$D$14,2)</f>
        <v/>
      </c>
      <c r="T50" s="155">
        <f>MIN($E$14,V49+S50)</f>
        <v/>
      </c>
      <c r="U50" s="155">
        <f>MIN(V49+S50-T50,MAX(0,$AQ50-(E50+I50+M50+Q50)))</f>
        <v/>
      </c>
      <c r="V50" s="155">
        <f>ROUND(V49+S50-T50-U50,2)</f>
        <v/>
      </c>
      <c r="W50" s="155">
        <f>ROUND(Z49*$D$15,2)</f>
        <v/>
      </c>
      <c r="X50" s="155">
        <f>MIN($E$15,Z49+W50)</f>
        <v/>
      </c>
      <c r="Y50" s="155">
        <f>MIN(Z49+W50-X50,MAX(0,$AQ50-(E50+I50+M50+Q50+U50)))</f>
        <v/>
      </c>
      <c r="Z50" s="155">
        <f>ROUND(Z49+W50-X50-Y50,2)</f>
        <v/>
      </c>
      <c r="AA50" s="155">
        <f>ROUND(AD49*$D$16,2)</f>
        <v/>
      </c>
      <c r="AB50" s="155">
        <f>MIN($E$16,AD49+AA50)</f>
        <v/>
      </c>
      <c r="AC50" s="155">
        <f>MIN(AD49+AA50-AB50,MAX(0,$AQ50-(E50+I50+M50+Q50+U50+Y50)))</f>
        <v/>
      </c>
      <c r="AD50" s="155">
        <f>ROUND(AD49+AA50-AB50-AC50,2)</f>
        <v/>
      </c>
      <c r="AE50" s="155">
        <f>ROUND(AH49*$D$17,2)</f>
        <v/>
      </c>
      <c r="AF50" s="155">
        <f>MIN($E$17,AH49+AE50)</f>
        <v/>
      </c>
      <c r="AG50" s="155">
        <f>MIN(AH49+AE50-AF50,MAX(0,$AQ50-(E50+I50+M50+Q50+U50+Y50+AC50)))</f>
        <v/>
      </c>
      <c r="AH50" s="155">
        <f>ROUND(AH49+AE50-AF50-AG50,2)</f>
        <v/>
      </c>
      <c r="AI50" s="155">
        <f>ROUND(AL49*$D$18,2)</f>
        <v/>
      </c>
      <c r="AJ50" s="155">
        <f>MIN($E$18,AL49+AI50)</f>
        <v/>
      </c>
      <c r="AK50" s="155">
        <f>MIN(AL49+AI50-AJ50,MAX(0,$AQ50-(E50+I50+M50+Q50+U50+Y50+AC50+AG50)))</f>
        <v/>
      </c>
      <c r="AL50" s="155">
        <f>ROUND(AL49+AI50-AJ50-AK50,2)</f>
        <v/>
      </c>
      <c r="AM50" s="155">
        <f>ROUND(AP49*$D$19,2)</f>
        <v/>
      </c>
      <c r="AN50" s="155">
        <f>MIN($E$19,AP49+AM50)</f>
        <v/>
      </c>
      <c r="AO50" s="155">
        <f>MIN(AP49+AM50-AN50,MAX(0,$AQ50-(E50+I50+M50+Q50+U50+Y50+AC50+AG50+AK50)))</f>
        <v/>
      </c>
      <c r="AP50" s="155">
        <f>ROUND(AP49+AM50-AN50-AO50,2)</f>
        <v/>
      </c>
      <c r="AQ50" s="155">
        <f>MAX(0,$B$6-(D50+H50+L50+P50+T50+X50+AB50+AF50+AJ50+AN50))</f>
        <v/>
      </c>
      <c r="AR50" s="155">
        <f>D50+H50+L50+P50+T50+X50+AB50+AF50+AJ50+AN50+E50+I50+M50+Q50+U50+Y50+AC50+AG50+AK50+AO50</f>
        <v/>
      </c>
      <c r="AS50" s="155">
        <f>C50+G50+K50+O50+S50+W50+AA50+AE50+AI50+AM50</f>
        <v/>
      </c>
      <c r="AT50" s="155">
        <f>F50+J50+N50+R50+V50+Z50+AD50+AH50+AL50+AP50</f>
        <v/>
      </c>
      <c r="AU50" s="157">
        <f>MID(IF(AND(F50=0,F49&gt;0),"; "&amp;$B$10,"")&amp;IF(AND(J50=0,J49&gt;0),"; "&amp;$B$11,"")&amp;IF(AND(N50=0,N49&gt;0),"; "&amp;$B$12,"")&amp;IF(AND(R50=0,R49&gt;0),"; "&amp;$B$13,"")&amp;IF(AND(V50=0,V49&gt;0),"; "&amp;$B$14,"")&amp;IF(AND(Z50=0,Z49&gt;0),"; "&amp;$B$15,"")&amp;IF(AND(AD50=0,AD49&gt;0),"; "&amp;$B$16,"")&amp;IF(AND(AH50=0,AH49&gt;0),"; "&amp;$B$17,"")&amp;IF(AND(AL50=0,AL49&gt;0),"; "&amp;$B$18,"")&amp;IF(AND(AP50=0,AP49&gt;0),"; "&amp;$B$19,""),3,200)</f>
        <v/>
      </c>
    </row>
    <row r="51">
      <c r="A51" s="154" t="n">
        <v>27</v>
      </c>
      <c r="B51" s="156">
        <f>EDATE($B$5,A51-1)</f>
        <v/>
      </c>
      <c r="C51" s="155">
        <f>ROUND(F50*$D$10,2)</f>
        <v/>
      </c>
      <c r="D51" s="155">
        <f>MIN($E$10,F50+C51)</f>
        <v/>
      </c>
      <c r="E51" s="155">
        <f>MIN(F50+C51-D51,MAX(0,$AQ51-(0)))</f>
        <v/>
      </c>
      <c r="F51" s="155">
        <f>ROUND(F50+C51-D51-E51,2)</f>
        <v/>
      </c>
      <c r="G51" s="155">
        <f>ROUND(J50*$D$11,2)</f>
        <v/>
      </c>
      <c r="H51" s="155">
        <f>MIN($E$11,J50+G51)</f>
        <v/>
      </c>
      <c r="I51" s="155">
        <f>MIN(J50+G51-H51,MAX(0,$AQ51-(E51)))</f>
        <v/>
      </c>
      <c r="J51" s="155">
        <f>ROUND(J50+G51-H51-I51,2)</f>
        <v/>
      </c>
      <c r="K51" s="155">
        <f>ROUND(N50*$D$12,2)</f>
        <v/>
      </c>
      <c r="L51" s="155">
        <f>MIN($E$12,N50+K51)</f>
        <v/>
      </c>
      <c r="M51" s="155">
        <f>MIN(N50+K51-L51,MAX(0,$AQ51-(E51+I51)))</f>
        <v/>
      </c>
      <c r="N51" s="155">
        <f>ROUND(N50+K51-L51-M51,2)</f>
        <v/>
      </c>
      <c r="O51" s="155">
        <f>ROUND(R50*$D$13,2)</f>
        <v/>
      </c>
      <c r="P51" s="155">
        <f>MIN($E$13,R50+O51)</f>
        <v/>
      </c>
      <c r="Q51" s="155">
        <f>MIN(R50+O51-P51,MAX(0,$AQ51-(E51+I51+M51)))</f>
        <v/>
      </c>
      <c r="R51" s="155">
        <f>ROUND(R50+O51-P51-Q51,2)</f>
        <v/>
      </c>
      <c r="S51" s="155">
        <f>ROUND(V50*$D$14,2)</f>
        <v/>
      </c>
      <c r="T51" s="155">
        <f>MIN($E$14,V50+S51)</f>
        <v/>
      </c>
      <c r="U51" s="155">
        <f>MIN(V50+S51-T51,MAX(0,$AQ51-(E51+I51+M51+Q51)))</f>
        <v/>
      </c>
      <c r="V51" s="155">
        <f>ROUND(V50+S51-T51-U51,2)</f>
        <v/>
      </c>
      <c r="W51" s="155">
        <f>ROUND(Z50*$D$15,2)</f>
        <v/>
      </c>
      <c r="X51" s="155">
        <f>MIN($E$15,Z50+W51)</f>
        <v/>
      </c>
      <c r="Y51" s="155">
        <f>MIN(Z50+W51-X51,MAX(0,$AQ51-(E51+I51+M51+Q51+U51)))</f>
        <v/>
      </c>
      <c r="Z51" s="155">
        <f>ROUND(Z50+W51-X51-Y51,2)</f>
        <v/>
      </c>
      <c r="AA51" s="155">
        <f>ROUND(AD50*$D$16,2)</f>
        <v/>
      </c>
      <c r="AB51" s="155">
        <f>MIN($E$16,AD50+AA51)</f>
        <v/>
      </c>
      <c r="AC51" s="155">
        <f>MIN(AD50+AA51-AB51,MAX(0,$AQ51-(E51+I51+M51+Q51+U51+Y51)))</f>
        <v/>
      </c>
      <c r="AD51" s="155">
        <f>ROUND(AD50+AA51-AB51-AC51,2)</f>
        <v/>
      </c>
      <c r="AE51" s="155">
        <f>ROUND(AH50*$D$17,2)</f>
        <v/>
      </c>
      <c r="AF51" s="155">
        <f>MIN($E$17,AH50+AE51)</f>
        <v/>
      </c>
      <c r="AG51" s="155">
        <f>MIN(AH50+AE51-AF51,MAX(0,$AQ51-(E51+I51+M51+Q51+U51+Y51+AC51)))</f>
        <v/>
      </c>
      <c r="AH51" s="155">
        <f>ROUND(AH50+AE51-AF51-AG51,2)</f>
        <v/>
      </c>
      <c r="AI51" s="155">
        <f>ROUND(AL50*$D$18,2)</f>
        <v/>
      </c>
      <c r="AJ51" s="155">
        <f>MIN($E$18,AL50+AI51)</f>
        <v/>
      </c>
      <c r="AK51" s="155">
        <f>MIN(AL50+AI51-AJ51,MAX(0,$AQ51-(E51+I51+M51+Q51+U51+Y51+AC51+AG51)))</f>
        <v/>
      </c>
      <c r="AL51" s="155">
        <f>ROUND(AL50+AI51-AJ51-AK51,2)</f>
        <v/>
      </c>
      <c r="AM51" s="155">
        <f>ROUND(AP50*$D$19,2)</f>
        <v/>
      </c>
      <c r="AN51" s="155">
        <f>MIN($E$19,AP50+AM51)</f>
        <v/>
      </c>
      <c r="AO51" s="155">
        <f>MIN(AP50+AM51-AN51,MAX(0,$AQ51-(E51+I51+M51+Q51+U51+Y51+AC51+AG51+AK51)))</f>
        <v/>
      </c>
      <c r="AP51" s="155">
        <f>ROUND(AP50+AM51-AN51-AO51,2)</f>
        <v/>
      </c>
      <c r="AQ51" s="155">
        <f>MAX(0,$B$6-(D51+H51+L51+P51+T51+X51+AB51+AF51+AJ51+AN51))</f>
        <v/>
      </c>
      <c r="AR51" s="155">
        <f>D51+H51+L51+P51+T51+X51+AB51+AF51+AJ51+AN51+E51+I51+M51+Q51+U51+Y51+AC51+AG51+AK51+AO51</f>
        <v/>
      </c>
      <c r="AS51" s="155">
        <f>C51+G51+K51+O51+S51+W51+AA51+AE51+AI51+AM51</f>
        <v/>
      </c>
      <c r="AT51" s="155">
        <f>F51+J51+N51+R51+V51+Z51+AD51+AH51+AL51+AP51</f>
        <v/>
      </c>
      <c r="AU51" s="157">
        <f>MID(IF(AND(F51=0,F50&gt;0),"; "&amp;$B$10,"")&amp;IF(AND(J51=0,J50&gt;0),"; "&amp;$B$11,"")&amp;IF(AND(N51=0,N50&gt;0),"; "&amp;$B$12,"")&amp;IF(AND(R51=0,R50&gt;0),"; "&amp;$B$13,"")&amp;IF(AND(V51=0,V50&gt;0),"; "&amp;$B$14,"")&amp;IF(AND(Z51=0,Z50&gt;0),"; "&amp;$B$15,"")&amp;IF(AND(AD51=0,AD50&gt;0),"; "&amp;$B$16,"")&amp;IF(AND(AH51=0,AH50&gt;0),"; "&amp;$B$17,"")&amp;IF(AND(AL51=0,AL50&gt;0),"; "&amp;$B$18,"")&amp;IF(AND(AP51=0,AP50&gt;0),"; "&amp;$B$19,""),3,200)</f>
        <v/>
      </c>
    </row>
    <row r="52">
      <c r="A52" s="154" t="n">
        <v>28</v>
      </c>
      <c r="B52" s="156">
        <f>EDATE($B$5,A52-1)</f>
        <v/>
      </c>
      <c r="C52" s="155">
        <f>ROUND(F51*$D$10,2)</f>
        <v/>
      </c>
      <c r="D52" s="155">
        <f>MIN($E$10,F51+C52)</f>
        <v/>
      </c>
      <c r="E52" s="155">
        <f>MIN(F51+C52-D52,MAX(0,$AQ52-(0)))</f>
        <v/>
      </c>
      <c r="F52" s="155">
        <f>ROUND(F51+C52-D52-E52,2)</f>
        <v/>
      </c>
      <c r="G52" s="155">
        <f>ROUND(J51*$D$11,2)</f>
        <v/>
      </c>
      <c r="H52" s="155">
        <f>MIN($E$11,J51+G52)</f>
        <v/>
      </c>
      <c r="I52" s="155">
        <f>MIN(J51+G52-H52,MAX(0,$AQ52-(E52)))</f>
        <v/>
      </c>
      <c r="J52" s="155">
        <f>ROUND(J51+G52-H52-I52,2)</f>
        <v/>
      </c>
      <c r="K52" s="155">
        <f>ROUND(N51*$D$12,2)</f>
        <v/>
      </c>
      <c r="L52" s="155">
        <f>MIN($E$12,N51+K52)</f>
        <v/>
      </c>
      <c r="M52" s="155">
        <f>MIN(N51+K52-L52,MAX(0,$AQ52-(E52+I52)))</f>
        <v/>
      </c>
      <c r="N52" s="155">
        <f>ROUND(N51+K52-L52-M52,2)</f>
        <v/>
      </c>
      <c r="O52" s="155">
        <f>ROUND(R51*$D$13,2)</f>
        <v/>
      </c>
      <c r="P52" s="155">
        <f>MIN($E$13,R51+O52)</f>
        <v/>
      </c>
      <c r="Q52" s="155">
        <f>MIN(R51+O52-P52,MAX(0,$AQ52-(E52+I52+M52)))</f>
        <v/>
      </c>
      <c r="R52" s="155">
        <f>ROUND(R51+O52-P52-Q52,2)</f>
        <v/>
      </c>
      <c r="S52" s="155">
        <f>ROUND(V51*$D$14,2)</f>
        <v/>
      </c>
      <c r="T52" s="155">
        <f>MIN($E$14,V51+S52)</f>
        <v/>
      </c>
      <c r="U52" s="155">
        <f>MIN(V51+S52-T52,MAX(0,$AQ52-(E52+I52+M52+Q52)))</f>
        <v/>
      </c>
      <c r="V52" s="155">
        <f>ROUND(V51+S52-T52-U52,2)</f>
        <v/>
      </c>
      <c r="W52" s="155">
        <f>ROUND(Z51*$D$15,2)</f>
        <v/>
      </c>
      <c r="X52" s="155">
        <f>MIN($E$15,Z51+W52)</f>
        <v/>
      </c>
      <c r="Y52" s="155">
        <f>MIN(Z51+W52-X52,MAX(0,$AQ52-(E52+I52+M52+Q52+U52)))</f>
        <v/>
      </c>
      <c r="Z52" s="155">
        <f>ROUND(Z51+W52-X52-Y52,2)</f>
        <v/>
      </c>
      <c r="AA52" s="155">
        <f>ROUND(AD51*$D$16,2)</f>
        <v/>
      </c>
      <c r="AB52" s="155">
        <f>MIN($E$16,AD51+AA52)</f>
        <v/>
      </c>
      <c r="AC52" s="155">
        <f>MIN(AD51+AA52-AB52,MAX(0,$AQ52-(E52+I52+M52+Q52+U52+Y52)))</f>
        <v/>
      </c>
      <c r="AD52" s="155">
        <f>ROUND(AD51+AA52-AB52-AC52,2)</f>
        <v/>
      </c>
      <c r="AE52" s="155">
        <f>ROUND(AH51*$D$17,2)</f>
        <v/>
      </c>
      <c r="AF52" s="155">
        <f>MIN($E$17,AH51+AE52)</f>
        <v/>
      </c>
      <c r="AG52" s="155">
        <f>MIN(AH51+AE52-AF52,MAX(0,$AQ52-(E52+I52+M52+Q52+U52+Y52+AC52)))</f>
        <v/>
      </c>
      <c r="AH52" s="155">
        <f>ROUND(AH51+AE52-AF52-AG52,2)</f>
        <v/>
      </c>
      <c r="AI52" s="155">
        <f>ROUND(AL51*$D$18,2)</f>
        <v/>
      </c>
      <c r="AJ52" s="155">
        <f>MIN($E$18,AL51+AI52)</f>
        <v/>
      </c>
      <c r="AK52" s="155">
        <f>MIN(AL51+AI52-AJ52,MAX(0,$AQ52-(E52+I52+M52+Q52+U52+Y52+AC52+AG52)))</f>
        <v/>
      </c>
      <c r="AL52" s="155">
        <f>ROUND(AL51+AI52-AJ52-AK52,2)</f>
        <v/>
      </c>
      <c r="AM52" s="155">
        <f>ROUND(AP51*$D$19,2)</f>
        <v/>
      </c>
      <c r="AN52" s="155">
        <f>MIN($E$19,AP51+AM52)</f>
        <v/>
      </c>
      <c r="AO52" s="155">
        <f>MIN(AP51+AM52-AN52,MAX(0,$AQ52-(E52+I52+M52+Q52+U52+Y52+AC52+AG52+AK52)))</f>
        <v/>
      </c>
      <c r="AP52" s="155">
        <f>ROUND(AP51+AM52-AN52-AO52,2)</f>
        <v/>
      </c>
      <c r="AQ52" s="155">
        <f>MAX(0,$B$6-(D52+H52+L52+P52+T52+X52+AB52+AF52+AJ52+AN52))</f>
        <v/>
      </c>
      <c r="AR52" s="155">
        <f>D52+H52+L52+P52+T52+X52+AB52+AF52+AJ52+AN52+E52+I52+M52+Q52+U52+Y52+AC52+AG52+AK52+AO52</f>
        <v/>
      </c>
      <c r="AS52" s="155">
        <f>C52+G52+K52+O52+S52+W52+AA52+AE52+AI52+AM52</f>
        <v/>
      </c>
      <c r="AT52" s="155">
        <f>F52+J52+N52+R52+V52+Z52+AD52+AH52+AL52+AP52</f>
        <v/>
      </c>
      <c r="AU52" s="157">
        <f>MID(IF(AND(F52=0,F51&gt;0),"; "&amp;$B$10,"")&amp;IF(AND(J52=0,J51&gt;0),"; "&amp;$B$11,"")&amp;IF(AND(N52=0,N51&gt;0),"; "&amp;$B$12,"")&amp;IF(AND(R52=0,R51&gt;0),"; "&amp;$B$13,"")&amp;IF(AND(V52=0,V51&gt;0),"; "&amp;$B$14,"")&amp;IF(AND(Z52=0,Z51&gt;0),"; "&amp;$B$15,"")&amp;IF(AND(AD52=0,AD51&gt;0),"; "&amp;$B$16,"")&amp;IF(AND(AH52=0,AH51&gt;0),"; "&amp;$B$17,"")&amp;IF(AND(AL52=0,AL51&gt;0),"; "&amp;$B$18,"")&amp;IF(AND(AP52=0,AP51&gt;0),"; "&amp;$B$19,""),3,200)</f>
        <v/>
      </c>
    </row>
    <row r="53">
      <c r="A53" s="154" t="n">
        <v>29</v>
      </c>
      <c r="B53" s="156">
        <f>EDATE($B$5,A53-1)</f>
        <v/>
      </c>
      <c r="C53" s="155">
        <f>ROUND(F52*$D$10,2)</f>
        <v/>
      </c>
      <c r="D53" s="155">
        <f>MIN($E$10,F52+C53)</f>
        <v/>
      </c>
      <c r="E53" s="155">
        <f>MIN(F52+C53-D53,MAX(0,$AQ53-(0)))</f>
        <v/>
      </c>
      <c r="F53" s="155">
        <f>ROUND(F52+C53-D53-E53,2)</f>
        <v/>
      </c>
      <c r="G53" s="155">
        <f>ROUND(J52*$D$11,2)</f>
        <v/>
      </c>
      <c r="H53" s="155">
        <f>MIN($E$11,J52+G53)</f>
        <v/>
      </c>
      <c r="I53" s="155">
        <f>MIN(J52+G53-H53,MAX(0,$AQ53-(E53)))</f>
        <v/>
      </c>
      <c r="J53" s="155">
        <f>ROUND(J52+G53-H53-I53,2)</f>
        <v/>
      </c>
      <c r="K53" s="155">
        <f>ROUND(N52*$D$12,2)</f>
        <v/>
      </c>
      <c r="L53" s="155">
        <f>MIN($E$12,N52+K53)</f>
        <v/>
      </c>
      <c r="M53" s="155">
        <f>MIN(N52+K53-L53,MAX(0,$AQ53-(E53+I53)))</f>
        <v/>
      </c>
      <c r="N53" s="155">
        <f>ROUND(N52+K53-L53-M53,2)</f>
        <v/>
      </c>
      <c r="O53" s="155">
        <f>ROUND(R52*$D$13,2)</f>
        <v/>
      </c>
      <c r="P53" s="155">
        <f>MIN($E$13,R52+O53)</f>
        <v/>
      </c>
      <c r="Q53" s="155">
        <f>MIN(R52+O53-P53,MAX(0,$AQ53-(E53+I53+M53)))</f>
        <v/>
      </c>
      <c r="R53" s="155">
        <f>ROUND(R52+O53-P53-Q53,2)</f>
        <v/>
      </c>
      <c r="S53" s="155">
        <f>ROUND(V52*$D$14,2)</f>
        <v/>
      </c>
      <c r="T53" s="155">
        <f>MIN($E$14,V52+S53)</f>
        <v/>
      </c>
      <c r="U53" s="155">
        <f>MIN(V52+S53-T53,MAX(0,$AQ53-(E53+I53+M53+Q53)))</f>
        <v/>
      </c>
      <c r="V53" s="155">
        <f>ROUND(V52+S53-T53-U53,2)</f>
        <v/>
      </c>
      <c r="W53" s="155">
        <f>ROUND(Z52*$D$15,2)</f>
        <v/>
      </c>
      <c r="X53" s="155">
        <f>MIN($E$15,Z52+W53)</f>
        <v/>
      </c>
      <c r="Y53" s="155">
        <f>MIN(Z52+W53-X53,MAX(0,$AQ53-(E53+I53+M53+Q53+U53)))</f>
        <v/>
      </c>
      <c r="Z53" s="155">
        <f>ROUND(Z52+W53-X53-Y53,2)</f>
        <v/>
      </c>
      <c r="AA53" s="155">
        <f>ROUND(AD52*$D$16,2)</f>
        <v/>
      </c>
      <c r="AB53" s="155">
        <f>MIN($E$16,AD52+AA53)</f>
        <v/>
      </c>
      <c r="AC53" s="155">
        <f>MIN(AD52+AA53-AB53,MAX(0,$AQ53-(E53+I53+M53+Q53+U53+Y53)))</f>
        <v/>
      </c>
      <c r="AD53" s="155">
        <f>ROUND(AD52+AA53-AB53-AC53,2)</f>
        <v/>
      </c>
      <c r="AE53" s="155">
        <f>ROUND(AH52*$D$17,2)</f>
        <v/>
      </c>
      <c r="AF53" s="155">
        <f>MIN($E$17,AH52+AE53)</f>
        <v/>
      </c>
      <c r="AG53" s="155">
        <f>MIN(AH52+AE53-AF53,MAX(0,$AQ53-(E53+I53+M53+Q53+U53+Y53+AC53)))</f>
        <v/>
      </c>
      <c r="AH53" s="155">
        <f>ROUND(AH52+AE53-AF53-AG53,2)</f>
        <v/>
      </c>
      <c r="AI53" s="155">
        <f>ROUND(AL52*$D$18,2)</f>
        <v/>
      </c>
      <c r="AJ53" s="155">
        <f>MIN($E$18,AL52+AI53)</f>
        <v/>
      </c>
      <c r="AK53" s="155">
        <f>MIN(AL52+AI53-AJ53,MAX(0,$AQ53-(E53+I53+M53+Q53+U53+Y53+AC53+AG53)))</f>
        <v/>
      </c>
      <c r="AL53" s="155">
        <f>ROUND(AL52+AI53-AJ53-AK53,2)</f>
        <v/>
      </c>
      <c r="AM53" s="155">
        <f>ROUND(AP52*$D$19,2)</f>
        <v/>
      </c>
      <c r="AN53" s="155">
        <f>MIN($E$19,AP52+AM53)</f>
        <v/>
      </c>
      <c r="AO53" s="155">
        <f>MIN(AP52+AM53-AN53,MAX(0,$AQ53-(E53+I53+M53+Q53+U53+Y53+AC53+AG53+AK53)))</f>
        <v/>
      </c>
      <c r="AP53" s="155">
        <f>ROUND(AP52+AM53-AN53-AO53,2)</f>
        <v/>
      </c>
      <c r="AQ53" s="155">
        <f>MAX(0,$B$6-(D53+H53+L53+P53+T53+X53+AB53+AF53+AJ53+AN53))</f>
        <v/>
      </c>
      <c r="AR53" s="155">
        <f>D53+H53+L53+P53+T53+X53+AB53+AF53+AJ53+AN53+E53+I53+M53+Q53+U53+Y53+AC53+AG53+AK53+AO53</f>
        <v/>
      </c>
      <c r="AS53" s="155">
        <f>C53+G53+K53+O53+S53+W53+AA53+AE53+AI53+AM53</f>
        <v/>
      </c>
      <c r="AT53" s="155">
        <f>F53+J53+N53+R53+V53+Z53+AD53+AH53+AL53+AP53</f>
        <v/>
      </c>
      <c r="AU53" s="157">
        <f>MID(IF(AND(F53=0,F52&gt;0),"; "&amp;$B$10,"")&amp;IF(AND(J53=0,J52&gt;0),"; "&amp;$B$11,"")&amp;IF(AND(N53=0,N52&gt;0),"; "&amp;$B$12,"")&amp;IF(AND(R53=0,R52&gt;0),"; "&amp;$B$13,"")&amp;IF(AND(V53=0,V52&gt;0),"; "&amp;$B$14,"")&amp;IF(AND(Z53=0,Z52&gt;0),"; "&amp;$B$15,"")&amp;IF(AND(AD53=0,AD52&gt;0),"; "&amp;$B$16,"")&amp;IF(AND(AH53=0,AH52&gt;0),"; "&amp;$B$17,"")&amp;IF(AND(AL53=0,AL52&gt;0),"; "&amp;$B$18,"")&amp;IF(AND(AP53=0,AP52&gt;0),"; "&amp;$B$19,""),3,200)</f>
        <v/>
      </c>
    </row>
    <row r="54">
      <c r="A54" s="154" t="n">
        <v>30</v>
      </c>
      <c r="B54" s="156">
        <f>EDATE($B$5,A54-1)</f>
        <v/>
      </c>
      <c r="C54" s="155">
        <f>ROUND(F53*$D$10,2)</f>
        <v/>
      </c>
      <c r="D54" s="155">
        <f>MIN($E$10,F53+C54)</f>
        <v/>
      </c>
      <c r="E54" s="155">
        <f>MIN(F53+C54-D54,MAX(0,$AQ54-(0)))</f>
        <v/>
      </c>
      <c r="F54" s="155">
        <f>ROUND(F53+C54-D54-E54,2)</f>
        <v/>
      </c>
      <c r="G54" s="155">
        <f>ROUND(J53*$D$11,2)</f>
        <v/>
      </c>
      <c r="H54" s="155">
        <f>MIN($E$11,J53+G54)</f>
        <v/>
      </c>
      <c r="I54" s="155">
        <f>MIN(J53+G54-H54,MAX(0,$AQ54-(E54)))</f>
        <v/>
      </c>
      <c r="J54" s="155">
        <f>ROUND(J53+G54-H54-I54,2)</f>
        <v/>
      </c>
      <c r="K54" s="155">
        <f>ROUND(N53*$D$12,2)</f>
        <v/>
      </c>
      <c r="L54" s="155">
        <f>MIN($E$12,N53+K54)</f>
        <v/>
      </c>
      <c r="M54" s="155">
        <f>MIN(N53+K54-L54,MAX(0,$AQ54-(E54+I54)))</f>
        <v/>
      </c>
      <c r="N54" s="155">
        <f>ROUND(N53+K54-L54-M54,2)</f>
        <v/>
      </c>
      <c r="O54" s="155">
        <f>ROUND(R53*$D$13,2)</f>
        <v/>
      </c>
      <c r="P54" s="155">
        <f>MIN($E$13,R53+O54)</f>
        <v/>
      </c>
      <c r="Q54" s="155">
        <f>MIN(R53+O54-P54,MAX(0,$AQ54-(E54+I54+M54)))</f>
        <v/>
      </c>
      <c r="R54" s="155">
        <f>ROUND(R53+O54-P54-Q54,2)</f>
        <v/>
      </c>
      <c r="S54" s="155">
        <f>ROUND(V53*$D$14,2)</f>
        <v/>
      </c>
      <c r="T54" s="155">
        <f>MIN($E$14,V53+S54)</f>
        <v/>
      </c>
      <c r="U54" s="155">
        <f>MIN(V53+S54-T54,MAX(0,$AQ54-(E54+I54+M54+Q54)))</f>
        <v/>
      </c>
      <c r="V54" s="155">
        <f>ROUND(V53+S54-T54-U54,2)</f>
        <v/>
      </c>
      <c r="W54" s="155">
        <f>ROUND(Z53*$D$15,2)</f>
        <v/>
      </c>
      <c r="X54" s="155">
        <f>MIN($E$15,Z53+W54)</f>
        <v/>
      </c>
      <c r="Y54" s="155">
        <f>MIN(Z53+W54-X54,MAX(0,$AQ54-(E54+I54+M54+Q54+U54)))</f>
        <v/>
      </c>
      <c r="Z54" s="155">
        <f>ROUND(Z53+W54-X54-Y54,2)</f>
        <v/>
      </c>
      <c r="AA54" s="155">
        <f>ROUND(AD53*$D$16,2)</f>
        <v/>
      </c>
      <c r="AB54" s="155">
        <f>MIN($E$16,AD53+AA54)</f>
        <v/>
      </c>
      <c r="AC54" s="155">
        <f>MIN(AD53+AA54-AB54,MAX(0,$AQ54-(E54+I54+M54+Q54+U54+Y54)))</f>
        <v/>
      </c>
      <c r="AD54" s="155">
        <f>ROUND(AD53+AA54-AB54-AC54,2)</f>
        <v/>
      </c>
      <c r="AE54" s="155">
        <f>ROUND(AH53*$D$17,2)</f>
        <v/>
      </c>
      <c r="AF54" s="155">
        <f>MIN($E$17,AH53+AE54)</f>
        <v/>
      </c>
      <c r="AG54" s="155">
        <f>MIN(AH53+AE54-AF54,MAX(0,$AQ54-(E54+I54+M54+Q54+U54+Y54+AC54)))</f>
        <v/>
      </c>
      <c r="AH54" s="155">
        <f>ROUND(AH53+AE54-AF54-AG54,2)</f>
        <v/>
      </c>
      <c r="AI54" s="155">
        <f>ROUND(AL53*$D$18,2)</f>
        <v/>
      </c>
      <c r="AJ54" s="155">
        <f>MIN($E$18,AL53+AI54)</f>
        <v/>
      </c>
      <c r="AK54" s="155">
        <f>MIN(AL53+AI54-AJ54,MAX(0,$AQ54-(E54+I54+M54+Q54+U54+Y54+AC54+AG54)))</f>
        <v/>
      </c>
      <c r="AL54" s="155">
        <f>ROUND(AL53+AI54-AJ54-AK54,2)</f>
        <v/>
      </c>
      <c r="AM54" s="155">
        <f>ROUND(AP53*$D$19,2)</f>
        <v/>
      </c>
      <c r="AN54" s="155">
        <f>MIN($E$19,AP53+AM54)</f>
        <v/>
      </c>
      <c r="AO54" s="155">
        <f>MIN(AP53+AM54-AN54,MAX(0,$AQ54-(E54+I54+M54+Q54+U54+Y54+AC54+AG54+AK54)))</f>
        <v/>
      </c>
      <c r="AP54" s="155">
        <f>ROUND(AP53+AM54-AN54-AO54,2)</f>
        <v/>
      </c>
      <c r="AQ54" s="155">
        <f>MAX(0,$B$6-(D54+H54+L54+P54+T54+X54+AB54+AF54+AJ54+AN54))</f>
        <v/>
      </c>
      <c r="AR54" s="155">
        <f>D54+H54+L54+P54+T54+X54+AB54+AF54+AJ54+AN54+E54+I54+M54+Q54+U54+Y54+AC54+AG54+AK54+AO54</f>
        <v/>
      </c>
      <c r="AS54" s="155">
        <f>C54+G54+K54+O54+S54+W54+AA54+AE54+AI54+AM54</f>
        <v/>
      </c>
      <c r="AT54" s="155">
        <f>F54+J54+N54+R54+V54+Z54+AD54+AH54+AL54+AP54</f>
        <v/>
      </c>
      <c r="AU54" s="157">
        <f>MID(IF(AND(F54=0,F53&gt;0),"; "&amp;$B$10,"")&amp;IF(AND(J54=0,J53&gt;0),"; "&amp;$B$11,"")&amp;IF(AND(N54=0,N53&gt;0),"; "&amp;$B$12,"")&amp;IF(AND(R54=0,R53&gt;0),"; "&amp;$B$13,"")&amp;IF(AND(V54=0,V53&gt;0),"; "&amp;$B$14,"")&amp;IF(AND(Z54=0,Z53&gt;0),"; "&amp;$B$15,"")&amp;IF(AND(AD54=0,AD53&gt;0),"; "&amp;$B$16,"")&amp;IF(AND(AH54=0,AH53&gt;0),"; "&amp;$B$17,"")&amp;IF(AND(AL54=0,AL53&gt;0),"; "&amp;$B$18,"")&amp;IF(AND(AP54=0,AP53&gt;0),"; "&amp;$B$19,""),3,200)</f>
        <v/>
      </c>
    </row>
    <row r="55">
      <c r="A55" s="154" t="n">
        <v>31</v>
      </c>
      <c r="B55" s="156">
        <f>EDATE($B$5,A55-1)</f>
        <v/>
      </c>
      <c r="C55" s="155">
        <f>ROUND(F54*$D$10,2)</f>
        <v/>
      </c>
      <c r="D55" s="155">
        <f>MIN($E$10,F54+C55)</f>
        <v/>
      </c>
      <c r="E55" s="155">
        <f>MIN(F54+C55-D55,MAX(0,$AQ55-(0)))</f>
        <v/>
      </c>
      <c r="F55" s="155">
        <f>ROUND(F54+C55-D55-E55,2)</f>
        <v/>
      </c>
      <c r="G55" s="155">
        <f>ROUND(J54*$D$11,2)</f>
        <v/>
      </c>
      <c r="H55" s="155">
        <f>MIN($E$11,J54+G55)</f>
        <v/>
      </c>
      <c r="I55" s="155">
        <f>MIN(J54+G55-H55,MAX(0,$AQ55-(E55)))</f>
        <v/>
      </c>
      <c r="J55" s="155">
        <f>ROUND(J54+G55-H55-I55,2)</f>
        <v/>
      </c>
      <c r="K55" s="155">
        <f>ROUND(N54*$D$12,2)</f>
        <v/>
      </c>
      <c r="L55" s="155">
        <f>MIN($E$12,N54+K55)</f>
        <v/>
      </c>
      <c r="M55" s="155">
        <f>MIN(N54+K55-L55,MAX(0,$AQ55-(E55+I55)))</f>
        <v/>
      </c>
      <c r="N55" s="155">
        <f>ROUND(N54+K55-L55-M55,2)</f>
        <v/>
      </c>
      <c r="O55" s="155">
        <f>ROUND(R54*$D$13,2)</f>
        <v/>
      </c>
      <c r="P55" s="155">
        <f>MIN($E$13,R54+O55)</f>
        <v/>
      </c>
      <c r="Q55" s="155">
        <f>MIN(R54+O55-P55,MAX(0,$AQ55-(E55+I55+M55)))</f>
        <v/>
      </c>
      <c r="R55" s="155">
        <f>ROUND(R54+O55-P55-Q55,2)</f>
        <v/>
      </c>
      <c r="S55" s="155">
        <f>ROUND(V54*$D$14,2)</f>
        <v/>
      </c>
      <c r="T55" s="155">
        <f>MIN($E$14,V54+S55)</f>
        <v/>
      </c>
      <c r="U55" s="155">
        <f>MIN(V54+S55-T55,MAX(0,$AQ55-(E55+I55+M55+Q55)))</f>
        <v/>
      </c>
      <c r="V55" s="155">
        <f>ROUND(V54+S55-T55-U55,2)</f>
        <v/>
      </c>
      <c r="W55" s="155">
        <f>ROUND(Z54*$D$15,2)</f>
        <v/>
      </c>
      <c r="X55" s="155">
        <f>MIN($E$15,Z54+W55)</f>
        <v/>
      </c>
      <c r="Y55" s="155">
        <f>MIN(Z54+W55-X55,MAX(0,$AQ55-(E55+I55+M55+Q55+U55)))</f>
        <v/>
      </c>
      <c r="Z55" s="155">
        <f>ROUND(Z54+W55-X55-Y55,2)</f>
        <v/>
      </c>
      <c r="AA55" s="155">
        <f>ROUND(AD54*$D$16,2)</f>
        <v/>
      </c>
      <c r="AB55" s="155">
        <f>MIN($E$16,AD54+AA55)</f>
        <v/>
      </c>
      <c r="AC55" s="155">
        <f>MIN(AD54+AA55-AB55,MAX(0,$AQ55-(E55+I55+M55+Q55+U55+Y55)))</f>
        <v/>
      </c>
      <c r="AD55" s="155">
        <f>ROUND(AD54+AA55-AB55-AC55,2)</f>
        <v/>
      </c>
      <c r="AE55" s="155">
        <f>ROUND(AH54*$D$17,2)</f>
        <v/>
      </c>
      <c r="AF55" s="155">
        <f>MIN($E$17,AH54+AE55)</f>
        <v/>
      </c>
      <c r="AG55" s="155">
        <f>MIN(AH54+AE55-AF55,MAX(0,$AQ55-(E55+I55+M55+Q55+U55+Y55+AC55)))</f>
        <v/>
      </c>
      <c r="AH55" s="155">
        <f>ROUND(AH54+AE55-AF55-AG55,2)</f>
        <v/>
      </c>
      <c r="AI55" s="155">
        <f>ROUND(AL54*$D$18,2)</f>
        <v/>
      </c>
      <c r="AJ55" s="155">
        <f>MIN($E$18,AL54+AI55)</f>
        <v/>
      </c>
      <c r="AK55" s="155">
        <f>MIN(AL54+AI55-AJ55,MAX(0,$AQ55-(E55+I55+M55+Q55+U55+Y55+AC55+AG55)))</f>
        <v/>
      </c>
      <c r="AL55" s="155">
        <f>ROUND(AL54+AI55-AJ55-AK55,2)</f>
        <v/>
      </c>
      <c r="AM55" s="155">
        <f>ROUND(AP54*$D$19,2)</f>
        <v/>
      </c>
      <c r="AN55" s="155">
        <f>MIN($E$19,AP54+AM55)</f>
        <v/>
      </c>
      <c r="AO55" s="155">
        <f>MIN(AP54+AM55-AN55,MAX(0,$AQ55-(E55+I55+M55+Q55+U55+Y55+AC55+AG55+AK55)))</f>
        <v/>
      </c>
      <c r="AP55" s="155">
        <f>ROUND(AP54+AM55-AN55-AO55,2)</f>
        <v/>
      </c>
      <c r="AQ55" s="155">
        <f>MAX(0,$B$6-(D55+H55+L55+P55+T55+X55+AB55+AF55+AJ55+AN55))</f>
        <v/>
      </c>
      <c r="AR55" s="155">
        <f>D55+H55+L55+P55+T55+X55+AB55+AF55+AJ55+AN55+E55+I55+M55+Q55+U55+Y55+AC55+AG55+AK55+AO55</f>
        <v/>
      </c>
      <c r="AS55" s="155">
        <f>C55+G55+K55+O55+S55+W55+AA55+AE55+AI55+AM55</f>
        <v/>
      </c>
      <c r="AT55" s="155">
        <f>F55+J55+N55+R55+V55+Z55+AD55+AH55+AL55+AP55</f>
        <v/>
      </c>
      <c r="AU55" s="157">
        <f>MID(IF(AND(F55=0,F54&gt;0),"; "&amp;$B$10,"")&amp;IF(AND(J55=0,J54&gt;0),"; "&amp;$B$11,"")&amp;IF(AND(N55=0,N54&gt;0),"; "&amp;$B$12,"")&amp;IF(AND(R55=0,R54&gt;0),"; "&amp;$B$13,"")&amp;IF(AND(V55=0,V54&gt;0),"; "&amp;$B$14,"")&amp;IF(AND(Z55=0,Z54&gt;0),"; "&amp;$B$15,"")&amp;IF(AND(AD55=0,AD54&gt;0),"; "&amp;$B$16,"")&amp;IF(AND(AH55=0,AH54&gt;0),"; "&amp;$B$17,"")&amp;IF(AND(AL55=0,AL54&gt;0),"; "&amp;$B$18,"")&amp;IF(AND(AP55=0,AP54&gt;0),"; "&amp;$B$19,""),3,200)</f>
        <v/>
      </c>
    </row>
    <row r="56">
      <c r="A56" s="154" t="n">
        <v>32</v>
      </c>
      <c r="B56" s="156">
        <f>EDATE($B$5,A56-1)</f>
        <v/>
      </c>
      <c r="C56" s="155">
        <f>ROUND(F55*$D$10,2)</f>
        <v/>
      </c>
      <c r="D56" s="155">
        <f>MIN($E$10,F55+C56)</f>
        <v/>
      </c>
      <c r="E56" s="155">
        <f>MIN(F55+C56-D56,MAX(0,$AQ56-(0)))</f>
        <v/>
      </c>
      <c r="F56" s="155">
        <f>ROUND(F55+C56-D56-E56,2)</f>
        <v/>
      </c>
      <c r="G56" s="155">
        <f>ROUND(J55*$D$11,2)</f>
        <v/>
      </c>
      <c r="H56" s="155">
        <f>MIN($E$11,J55+G56)</f>
        <v/>
      </c>
      <c r="I56" s="155">
        <f>MIN(J55+G56-H56,MAX(0,$AQ56-(E56)))</f>
        <v/>
      </c>
      <c r="J56" s="155">
        <f>ROUND(J55+G56-H56-I56,2)</f>
        <v/>
      </c>
      <c r="K56" s="155">
        <f>ROUND(N55*$D$12,2)</f>
        <v/>
      </c>
      <c r="L56" s="155">
        <f>MIN($E$12,N55+K56)</f>
        <v/>
      </c>
      <c r="M56" s="155">
        <f>MIN(N55+K56-L56,MAX(0,$AQ56-(E56+I56)))</f>
        <v/>
      </c>
      <c r="N56" s="155">
        <f>ROUND(N55+K56-L56-M56,2)</f>
        <v/>
      </c>
      <c r="O56" s="155">
        <f>ROUND(R55*$D$13,2)</f>
        <v/>
      </c>
      <c r="P56" s="155">
        <f>MIN($E$13,R55+O56)</f>
        <v/>
      </c>
      <c r="Q56" s="155">
        <f>MIN(R55+O56-P56,MAX(0,$AQ56-(E56+I56+M56)))</f>
        <v/>
      </c>
      <c r="R56" s="155">
        <f>ROUND(R55+O56-P56-Q56,2)</f>
        <v/>
      </c>
      <c r="S56" s="155">
        <f>ROUND(V55*$D$14,2)</f>
        <v/>
      </c>
      <c r="T56" s="155">
        <f>MIN($E$14,V55+S56)</f>
        <v/>
      </c>
      <c r="U56" s="155">
        <f>MIN(V55+S56-T56,MAX(0,$AQ56-(E56+I56+M56+Q56)))</f>
        <v/>
      </c>
      <c r="V56" s="155">
        <f>ROUND(V55+S56-T56-U56,2)</f>
        <v/>
      </c>
      <c r="W56" s="155">
        <f>ROUND(Z55*$D$15,2)</f>
        <v/>
      </c>
      <c r="X56" s="155">
        <f>MIN($E$15,Z55+W56)</f>
        <v/>
      </c>
      <c r="Y56" s="155">
        <f>MIN(Z55+W56-X56,MAX(0,$AQ56-(E56+I56+M56+Q56+U56)))</f>
        <v/>
      </c>
      <c r="Z56" s="155">
        <f>ROUND(Z55+W56-X56-Y56,2)</f>
        <v/>
      </c>
      <c r="AA56" s="155">
        <f>ROUND(AD55*$D$16,2)</f>
        <v/>
      </c>
      <c r="AB56" s="155">
        <f>MIN($E$16,AD55+AA56)</f>
        <v/>
      </c>
      <c r="AC56" s="155">
        <f>MIN(AD55+AA56-AB56,MAX(0,$AQ56-(E56+I56+M56+Q56+U56+Y56)))</f>
        <v/>
      </c>
      <c r="AD56" s="155">
        <f>ROUND(AD55+AA56-AB56-AC56,2)</f>
        <v/>
      </c>
      <c r="AE56" s="155">
        <f>ROUND(AH55*$D$17,2)</f>
        <v/>
      </c>
      <c r="AF56" s="155">
        <f>MIN($E$17,AH55+AE56)</f>
        <v/>
      </c>
      <c r="AG56" s="155">
        <f>MIN(AH55+AE56-AF56,MAX(0,$AQ56-(E56+I56+M56+Q56+U56+Y56+AC56)))</f>
        <v/>
      </c>
      <c r="AH56" s="155">
        <f>ROUND(AH55+AE56-AF56-AG56,2)</f>
        <v/>
      </c>
      <c r="AI56" s="155">
        <f>ROUND(AL55*$D$18,2)</f>
        <v/>
      </c>
      <c r="AJ56" s="155">
        <f>MIN($E$18,AL55+AI56)</f>
        <v/>
      </c>
      <c r="AK56" s="155">
        <f>MIN(AL55+AI56-AJ56,MAX(0,$AQ56-(E56+I56+M56+Q56+U56+Y56+AC56+AG56)))</f>
        <v/>
      </c>
      <c r="AL56" s="155">
        <f>ROUND(AL55+AI56-AJ56-AK56,2)</f>
        <v/>
      </c>
      <c r="AM56" s="155">
        <f>ROUND(AP55*$D$19,2)</f>
        <v/>
      </c>
      <c r="AN56" s="155">
        <f>MIN($E$19,AP55+AM56)</f>
        <v/>
      </c>
      <c r="AO56" s="155">
        <f>MIN(AP55+AM56-AN56,MAX(0,$AQ56-(E56+I56+M56+Q56+U56+Y56+AC56+AG56+AK56)))</f>
        <v/>
      </c>
      <c r="AP56" s="155">
        <f>ROUND(AP55+AM56-AN56-AO56,2)</f>
        <v/>
      </c>
      <c r="AQ56" s="155">
        <f>MAX(0,$B$6-(D56+H56+L56+P56+T56+X56+AB56+AF56+AJ56+AN56))</f>
        <v/>
      </c>
      <c r="AR56" s="155">
        <f>D56+H56+L56+P56+T56+X56+AB56+AF56+AJ56+AN56+E56+I56+M56+Q56+U56+Y56+AC56+AG56+AK56+AO56</f>
        <v/>
      </c>
      <c r="AS56" s="155">
        <f>C56+G56+K56+O56+S56+W56+AA56+AE56+AI56+AM56</f>
        <v/>
      </c>
      <c r="AT56" s="155">
        <f>F56+J56+N56+R56+V56+Z56+AD56+AH56+AL56+AP56</f>
        <v/>
      </c>
      <c r="AU56" s="157">
        <f>MID(IF(AND(F56=0,F55&gt;0),"; "&amp;$B$10,"")&amp;IF(AND(J56=0,J55&gt;0),"; "&amp;$B$11,"")&amp;IF(AND(N56=0,N55&gt;0),"; "&amp;$B$12,"")&amp;IF(AND(R56=0,R55&gt;0),"; "&amp;$B$13,"")&amp;IF(AND(V56=0,V55&gt;0),"; "&amp;$B$14,"")&amp;IF(AND(Z56=0,Z55&gt;0),"; "&amp;$B$15,"")&amp;IF(AND(AD56=0,AD55&gt;0),"; "&amp;$B$16,"")&amp;IF(AND(AH56=0,AH55&gt;0),"; "&amp;$B$17,"")&amp;IF(AND(AL56=0,AL55&gt;0),"; "&amp;$B$18,"")&amp;IF(AND(AP56=0,AP55&gt;0),"; "&amp;$B$19,""),3,200)</f>
        <v/>
      </c>
    </row>
    <row r="57">
      <c r="A57" s="154" t="n">
        <v>33</v>
      </c>
      <c r="B57" s="156">
        <f>EDATE($B$5,A57-1)</f>
        <v/>
      </c>
      <c r="C57" s="155">
        <f>ROUND(F56*$D$10,2)</f>
        <v/>
      </c>
      <c r="D57" s="155">
        <f>MIN($E$10,F56+C57)</f>
        <v/>
      </c>
      <c r="E57" s="155">
        <f>MIN(F56+C57-D57,MAX(0,$AQ57-(0)))</f>
        <v/>
      </c>
      <c r="F57" s="155">
        <f>ROUND(F56+C57-D57-E57,2)</f>
        <v/>
      </c>
      <c r="G57" s="155">
        <f>ROUND(J56*$D$11,2)</f>
        <v/>
      </c>
      <c r="H57" s="155">
        <f>MIN($E$11,J56+G57)</f>
        <v/>
      </c>
      <c r="I57" s="155">
        <f>MIN(J56+G57-H57,MAX(0,$AQ57-(E57)))</f>
        <v/>
      </c>
      <c r="J57" s="155">
        <f>ROUND(J56+G57-H57-I57,2)</f>
        <v/>
      </c>
      <c r="K57" s="155">
        <f>ROUND(N56*$D$12,2)</f>
        <v/>
      </c>
      <c r="L57" s="155">
        <f>MIN($E$12,N56+K57)</f>
        <v/>
      </c>
      <c r="M57" s="155">
        <f>MIN(N56+K57-L57,MAX(0,$AQ57-(E57+I57)))</f>
        <v/>
      </c>
      <c r="N57" s="155">
        <f>ROUND(N56+K57-L57-M57,2)</f>
        <v/>
      </c>
      <c r="O57" s="155">
        <f>ROUND(R56*$D$13,2)</f>
        <v/>
      </c>
      <c r="P57" s="155">
        <f>MIN($E$13,R56+O57)</f>
        <v/>
      </c>
      <c r="Q57" s="155">
        <f>MIN(R56+O57-P57,MAX(0,$AQ57-(E57+I57+M57)))</f>
        <v/>
      </c>
      <c r="R57" s="155">
        <f>ROUND(R56+O57-P57-Q57,2)</f>
        <v/>
      </c>
      <c r="S57" s="155">
        <f>ROUND(V56*$D$14,2)</f>
        <v/>
      </c>
      <c r="T57" s="155">
        <f>MIN($E$14,V56+S57)</f>
        <v/>
      </c>
      <c r="U57" s="155">
        <f>MIN(V56+S57-T57,MAX(0,$AQ57-(E57+I57+M57+Q57)))</f>
        <v/>
      </c>
      <c r="V57" s="155">
        <f>ROUND(V56+S57-T57-U57,2)</f>
        <v/>
      </c>
      <c r="W57" s="155">
        <f>ROUND(Z56*$D$15,2)</f>
        <v/>
      </c>
      <c r="X57" s="155">
        <f>MIN($E$15,Z56+W57)</f>
        <v/>
      </c>
      <c r="Y57" s="155">
        <f>MIN(Z56+W57-X57,MAX(0,$AQ57-(E57+I57+M57+Q57+U57)))</f>
        <v/>
      </c>
      <c r="Z57" s="155">
        <f>ROUND(Z56+W57-X57-Y57,2)</f>
        <v/>
      </c>
      <c r="AA57" s="155">
        <f>ROUND(AD56*$D$16,2)</f>
        <v/>
      </c>
      <c r="AB57" s="155">
        <f>MIN($E$16,AD56+AA57)</f>
        <v/>
      </c>
      <c r="AC57" s="155">
        <f>MIN(AD56+AA57-AB57,MAX(0,$AQ57-(E57+I57+M57+Q57+U57+Y57)))</f>
        <v/>
      </c>
      <c r="AD57" s="155">
        <f>ROUND(AD56+AA57-AB57-AC57,2)</f>
        <v/>
      </c>
      <c r="AE57" s="155">
        <f>ROUND(AH56*$D$17,2)</f>
        <v/>
      </c>
      <c r="AF57" s="155">
        <f>MIN($E$17,AH56+AE57)</f>
        <v/>
      </c>
      <c r="AG57" s="155">
        <f>MIN(AH56+AE57-AF57,MAX(0,$AQ57-(E57+I57+M57+Q57+U57+Y57+AC57)))</f>
        <v/>
      </c>
      <c r="AH57" s="155">
        <f>ROUND(AH56+AE57-AF57-AG57,2)</f>
        <v/>
      </c>
      <c r="AI57" s="155">
        <f>ROUND(AL56*$D$18,2)</f>
        <v/>
      </c>
      <c r="AJ57" s="155">
        <f>MIN($E$18,AL56+AI57)</f>
        <v/>
      </c>
      <c r="AK57" s="155">
        <f>MIN(AL56+AI57-AJ57,MAX(0,$AQ57-(E57+I57+M57+Q57+U57+Y57+AC57+AG57)))</f>
        <v/>
      </c>
      <c r="AL57" s="155">
        <f>ROUND(AL56+AI57-AJ57-AK57,2)</f>
        <v/>
      </c>
      <c r="AM57" s="155">
        <f>ROUND(AP56*$D$19,2)</f>
        <v/>
      </c>
      <c r="AN57" s="155">
        <f>MIN($E$19,AP56+AM57)</f>
        <v/>
      </c>
      <c r="AO57" s="155">
        <f>MIN(AP56+AM57-AN57,MAX(0,$AQ57-(E57+I57+M57+Q57+U57+Y57+AC57+AG57+AK57)))</f>
        <v/>
      </c>
      <c r="AP57" s="155">
        <f>ROUND(AP56+AM57-AN57-AO57,2)</f>
        <v/>
      </c>
      <c r="AQ57" s="155">
        <f>MAX(0,$B$6-(D57+H57+L57+P57+T57+X57+AB57+AF57+AJ57+AN57))</f>
        <v/>
      </c>
      <c r="AR57" s="155">
        <f>D57+H57+L57+P57+T57+X57+AB57+AF57+AJ57+AN57+E57+I57+M57+Q57+U57+Y57+AC57+AG57+AK57+AO57</f>
        <v/>
      </c>
      <c r="AS57" s="155">
        <f>C57+G57+K57+O57+S57+W57+AA57+AE57+AI57+AM57</f>
        <v/>
      </c>
      <c r="AT57" s="155">
        <f>F57+J57+N57+R57+V57+Z57+AD57+AH57+AL57+AP57</f>
        <v/>
      </c>
      <c r="AU57" s="157">
        <f>MID(IF(AND(F57=0,F56&gt;0),"; "&amp;$B$10,"")&amp;IF(AND(J57=0,J56&gt;0),"; "&amp;$B$11,"")&amp;IF(AND(N57=0,N56&gt;0),"; "&amp;$B$12,"")&amp;IF(AND(R57=0,R56&gt;0),"; "&amp;$B$13,"")&amp;IF(AND(V57=0,V56&gt;0),"; "&amp;$B$14,"")&amp;IF(AND(Z57=0,Z56&gt;0),"; "&amp;$B$15,"")&amp;IF(AND(AD57=0,AD56&gt;0),"; "&amp;$B$16,"")&amp;IF(AND(AH57=0,AH56&gt;0),"; "&amp;$B$17,"")&amp;IF(AND(AL57=0,AL56&gt;0),"; "&amp;$B$18,"")&amp;IF(AND(AP57=0,AP56&gt;0),"; "&amp;$B$19,""),3,200)</f>
        <v/>
      </c>
    </row>
    <row r="58">
      <c r="A58" s="154" t="n">
        <v>34</v>
      </c>
      <c r="B58" s="156">
        <f>EDATE($B$5,A58-1)</f>
        <v/>
      </c>
      <c r="C58" s="155">
        <f>ROUND(F57*$D$10,2)</f>
        <v/>
      </c>
      <c r="D58" s="155">
        <f>MIN($E$10,F57+C58)</f>
        <v/>
      </c>
      <c r="E58" s="155">
        <f>MIN(F57+C58-D58,MAX(0,$AQ58-(0)))</f>
        <v/>
      </c>
      <c r="F58" s="155">
        <f>ROUND(F57+C58-D58-E58,2)</f>
        <v/>
      </c>
      <c r="G58" s="155">
        <f>ROUND(J57*$D$11,2)</f>
        <v/>
      </c>
      <c r="H58" s="155">
        <f>MIN($E$11,J57+G58)</f>
        <v/>
      </c>
      <c r="I58" s="155">
        <f>MIN(J57+G58-H58,MAX(0,$AQ58-(E58)))</f>
        <v/>
      </c>
      <c r="J58" s="155">
        <f>ROUND(J57+G58-H58-I58,2)</f>
        <v/>
      </c>
      <c r="K58" s="155">
        <f>ROUND(N57*$D$12,2)</f>
        <v/>
      </c>
      <c r="L58" s="155">
        <f>MIN($E$12,N57+K58)</f>
        <v/>
      </c>
      <c r="M58" s="155">
        <f>MIN(N57+K58-L58,MAX(0,$AQ58-(E58+I58)))</f>
        <v/>
      </c>
      <c r="N58" s="155">
        <f>ROUND(N57+K58-L58-M58,2)</f>
        <v/>
      </c>
      <c r="O58" s="155">
        <f>ROUND(R57*$D$13,2)</f>
        <v/>
      </c>
      <c r="P58" s="155">
        <f>MIN($E$13,R57+O58)</f>
        <v/>
      </c>
      <c r="Q58" s="155">
        <f>MIN(R57+O58-P58,MAX(0,$AQ58-(E58+I58+M58)))</f>
        <v/>
      </c>
      <c r="R58" s="155">
        <f>ROUND(R57+O58-P58-Q58,2)</f>
        <v/>
      </c>
      <c r="S58" s="155">
        <f>ROUND(V57*$D$14,2)</f>
        <v/>
      </c>
      <c r="T58" s="155">
        <f>MIN($E$14,V57+S58)</f>
        <v/>
      </c>
      <c r="U58" s="155">
        <f>MIN(V57+S58-T58,MAX(0,$AQ58-(E58+I58+M58+Q58)))</f>
        <v/>
      </c>
      <c r="V58" s="155">
        <f>ROUND(V57+S58-T58-U58,2)</f>
        <v/>
      </c>
      <c r="W58" s="155">
        <f>ROUND(Z57*$D$15,2)</f>
        <v/>
      </c>
      <c r="X58" s="155">
        <f>MIN($E$15,Z57+W58)</f>
        <v/>
      </c>
      <c r="Y58" s="155">
        <f>MIN(Z57+W58-X58,MAX(0,$AQ58-(E58+I58+M58+Q58+U58)))</f>
        <v/>
      </c>
      <c r="Z58" s="155">
        <f>ROUND(Z57+W58-X58-Y58,2)</f>
        <v/>
      </c>
      <c r="AA58" s="155">
        <f>ROUND(AD57*$D$16,2)</f>
        <v/>
      </c>
      <c r="AB58" s="155">
        <f>MIN($E$16,AD57+AA58)</f>
        <v/>
      </c>
      <c r="AC58" s="155">
        <f>MIN(AD57+AA58-AB58,MAX(0,$AQ58-(E58+I58+M58+Q58+U58+Y58)))</f>
        <v/>
      </c>
      <c r="AD58" s="155">
        <f>ROUND(AD57+AA58-AB58-AC58,2)</f>
        <v/>
      </c>
      <c r="AE58" s="155">
        <f>ROUND(AH57*$D$17,2)</f>
        <v/>
      </c>
      <c r="AF58" s="155">
        <f>MIN($E$17,AH57+AE58)</f>
        <v/>
      </c>
      <c r="AG58" s="155">
        <f>MIN(AH57+AE58-AF58,MAX(0,$AQ58-(E58+I58+M58+Q58+U58+Y58+AC58)))</f>
        <v/>
      </c>
      <c r="AH58" s="155">
        <f>ROUND(AH57+AE58-AF58-AG58,2)</f>
        <v/>
      </c>
      <c r="AI58" s="155">
        <f>ROUND(AL57*$D$18,2)</f>
        <v/>
      </c>
      <c r="AJ58" s="155">
        <f>MIN($E$18,AL57+AI58)</f>
        <v/>
      </c>
      <c r="AK58" s="155">
        <f>MIN(AL57+AI58-AJ58,MAX(0,$AQ58-(E58+I58+M58+Q58+U58+Y58+AC58+AG58)))</f>
        <v/>
      </c>
      <c r="AL58" s="155">
        <f>ROUND(AL57+AI58-AJ58-AK58,2)</f>
        <v/>
      </c>
      <c r="AM58" s="155">
        <f>ROUND(AP57*$D$19,2)</f>
        <v/>
      </c>
      <c r="AN58" s="155">
        <f>MIN($E$19,AP57+AM58)</f>
        <v/>
      </c>
      <c r="AO58" s="155">
        <f>MIN(AP57+AM58-AN58,MAX(0,$AQ58-(E58+I58+M58+Q58+U58+Y58+AC58+AG58+AK58)))</f>
        <v/>
      </c>
      <c r="AP58" s="155">
        <f>ROUND(AP57+AM58-AN58-AO58,2)</f>
        <v/>
      </c>
      <c r="AQ58" s="155">
        <f>MAX(0,$B$6-(D58+H58+L58+P58+T58+X58+AB58+AF58+AJ58+AN58))</f>
        <v/>
      </c>
      <c r="AR58" s="155">
        <f>D58+H58+L58+P58+T58+X58+AB58+AF58+AJ58+AN58+E58+I58+M58+Q58+U58+Y58+AC58+AG58+AK58+AO58</f>
        <v/>
      </c>
      <c r="AS58" s="155">
        <f>C58+G58+K58+O58+S58+W58+AA58+AE58+AI58+AM58</f>
        <v/>
      </c>
      <c r="AT58" s="155">
        <f>F58+J58+N58+R58+V58+Z58+AD58+AH58+AL58+AP58</f>
        <v/>
      </c>
      <c r="AU58" s="157">
        <f>MID(IF(AND(F58=0,F57&gt;0),"; "&amp;$B$10,"")&amp;IF(AND(J58=0,J57&gt;0),"; "&amp;$B$11,"")&amp;IF(AND(N58=0,N57&gt;0),"; "&amp;$B$12,"")&amp;IF(AND(R58=0,R57&gt;0),"; "&amp;$B$13,"")&amp;IF(AND(V58=0,V57&gt;0),"; "&amp;$B$14,"")&amp;IF(AND(Z58=0,Z57&gt;0),"; "&amp;$B$15,"")&amp;IF(AND(AD58=0,AD57&gt;0),"; "&amp;$B$16,"")&amp;IF(AND(AH58=0,AH57&gt;0),"; "&amp;$B$17,"")&amp;IF(AND(AL58=0,AL57&gt;0),"; "&amp;$B$18,"")&amp;IF(AND(AP58=0,AP57&gt;0),"; "&amp;$B$19,""),3,200)</f>
        <v/>
      </c>
    </row>
    <row r="59">
      <c r="A59" s="154" t="n">
        <v>35</v>
      </c>
      <c r="B59" s="156">
        <f>EDATE($B$5,A59-1)</f>
        <v/>
      </c>
      <c r="C59" s="155">
        <f>ROUND(F58*$D$10,2)</f>
        <v/>
      </c>
      <c r="D59" s="155">
        <f>MIN($E$10,F58+C59)</f>
        <v/>
      </c>
      <c r="E59" s="155">
        <f>MIN(F58+C59-D59,MAX(0,$AQ59-(0)))</f>
        <v/>
      </c>
      <c r="F59" s="155">
        <f>ROUND(F58+C59-D59-E59,2)</f>
        <v/>
      </c>
      <c r="G59" s="155">
        <f>ROUND(J58*$D$11,2)</f>
        <v/>
      </c>
      <c r="H59" s="155">
        <f>MIN($E$11,J58+G59)</f>
        <v/>
      </c>
      <c r="I59" s="155">
        <f>MIN(J58+G59-H59,MAX(0,$AQ59-(E59)))</f>
        <v/>
      </c>
      <c r="J59" s="155">
        <f>ROUND(J58+G59-H59-I59,2)</f>
        <v/>
      </c>
      <c r="K59" s="155">
        <f>ROUND(N58*$D$12,2)</f>
        <v/>
      </c>
      <c r="L59" s="155">
        <f>MIN($E$12,N58+K59)</f>
        <v/>
      </c>
      <c r="M59" s="155">
        <f>MIN(N58+K59-L59,MAX(0,$AQ59-(E59+I59)))</f>
        <v/>
      </c>
      <c r="N59" s="155">
        <f>ROUND(N58+K59-L59-M59,2)</f>
        <v/>
      </c>
      <c r="O59" s="155">
        <f>ROUND(R58*$D$13,2)</f>
        <v/>
      </c>
      <c r="P59" s="155">
        <f>MIN($E$13,R58+O59)</f>
        <v/>
      </c>
      <c r="Q59" s="155">
        <f>MIN(R58+O59-P59,MAX(0,$AQ59-(E59+I59+M59)))</f>
        <v/>
      </c>
      <c r="R59" s="155">
        <f>ROUND(R58+O59-P59-Q59,2)</f>
        <v/>
      </c>
      <c r="S59" s="155">
        <f>ROUND(V58*$D$14,2)</f>
        <v/>
      </c>
      <c r="T59" s="155">
        <f>MIN($E$14,V58+S59)</f>
        <v/>
      </c>
      <c r="U59" s="155">
        <f>MIN(V58+S59-T59,MAX(0,$AQ59-(E59+I59+M59+Q59)))</f>
        <v/>
      </c>
      <c r="V59" s="155">
        <f>ROUND(V58+S59-T59-U59,2)</f>
        <v/>
      </c>
      <c r="W59" s="155">
        <f>ROUND(Z58*$D$15,2)</f>
        <v/>
      </c>
      <c r="X59" s="155">
        <f>MIN($E$15,Z58+W59)</f>
        <v/>
      </c>
      <c r="Y59" s="155">
        <f>MIN(Z58+W59-X59,MAX(0,$AQ59-(E59+I59+M59+Q59+U59)))</f>
        <v/>
      </c>
      <c r="Z59" s="155">
        <f>ROUND(Z58+W59-X59-Y59,2)</f>
        <v/>
      </c>
      <c r="AA59" s="155">
        <f>ROUND(AD58*$D$16,2)</f>
        <v/>
      </c>
      <c r="AB59" s="155">
        <f>MIN($E$16,AD58+AA59)</f>
        <v/>
      </c>
      <c r="AC59" s="155">
        <f>MIN(AD58+AA59-AB59,MAX(0,$AQ59-(E59+I59+M59+Q59+U59+Y59)))</f>
        <v/>
      </c>
      <c r="AD59" s="155">
        <f>ROUND(AD58+AA59-AB59-AC59,2)</f>
        <v/>
      </c>
      <c r="AE59" s="155">
        <f>ROUND(AH58*$D$17,2)</f>
        <v/>
      </c>
      <c r="AF59" s="155">
        <f>MIN($E$17,AH58+AE59)</f>
        <v/>
      </c>
      <c r="AG59" s="155">
        <f>MIN(AH58+AE59-AF59,MAX(0,$AQ59-(E59+I59+M59+Q59+U59+Y59+AC59)))</f>
        <v/>
      </c>
      <c r="AH59" s="155">
        <f>ROUND(AH58+AE59-AF59-AG59,2)</f>
        <v/>
      </c>
      <c r="AI59" s="155">
        <f>ROUND(AL58*$D$18,2)</f>
        <v/>
      </c>
      <c r="AJ59" s="155">
        <f>MIN($E$18,AL58+AI59)</f>
        <v/>
      </c>
      <c r="AK59" s="155">
        <f>MIN(AL58+AI59-AJ59,MAX(0,$AQ59-(E59+I59+M59+Q59+U59+Y59+AC59+AG59)))</f>
        <v/>
      </c>
      <c r="AL59" s="155">
        <f>ROUND(AL58+AI59-AJ59-AK59,2)</f>
        <v/>
      </c>
      <c r="AM59" s="155">
        <f>ROUND(AP58*$D$19,2)</f>
        <v/>
      </c>
      <c r="AN59" s="155">
        <f>MIN($E$19,AP58+AM59)</f>
        <v/>
      </c>
      <c r="AO59" s="155">
        <f>MIN(AP58+AM59-AN59,MAX(0,$AQ59-(E59+I59+M59+Q59+U59+Y59+AC59+AG59+AK59)))</f>
        <v/>
      </c>
      <c r="AP59" s="155">
        <f>ROUND(AP58+AM59-AN59-AO59,2)</f>
        <v/>
      </c>
      <c r="AQ59" s="155">
        <f>MAX(0,$B$6-(D59+H59+L59+P59+T59+X59+AB59+AF59+AJ59+AN59))</f>
        <v/>
      </c>
      <c r="AR59" s="155">
        <f>D59+H59+L59+P59+T59+X59+AB59+AF59+AJ59+AN59+E59+I59+M59+Q59+U59+Y59+AC59+AG59+AK59+AO59</f>
        <v/>
      </c>
      <c r="AS59" s="155">
        <f>C59+G59+K59+O59+S59+W59+AA59+AE59+AI59+AM59</f>
        <v/>
      </c>
      <c r="AT59" s="155">
        <f>F59+J59+N59+R59+V59+Z59+AD59+AH59+AL59+AP59</f>
        <v/>
      </c>
      <c r="AU59" s="157">
        <f>MID(IF(AND(F59=0,F58&gt;0),"; "&amp;$B$10,"")&amp;IF(AND(J59=0,J58&gt;0),"; "&amp;$B$11,"")&amp;IF(AND(N59=0,N58&gt;0),"; "&amp;$B$12,"")&amp;IF(AND(R59=0,R58&gt;0),"; "&amp;$B$13,"")&amp;IF(AND(V59=0,V58&gt;0),"; "&amp;$B$14,"")&amp;IF(AND(Z59=0,Z58&gt;0),"; "&amp;$B$15,"")&amp;IF(AND(AD59=0,AD58&gt;0),"; "&amp;$B$16,"")&amp;IF(AND(AH59=0,AH58&gt;0),"; "&amp;$B$17,"")&amp;IF(AND(AL59=0,AL58&gt;0),"; "&amp;$B$18,"")&amp;IF(AND(AP59=0,AP58&gt;0),"; "&amp;$B$19,""),3,200)</f>
        <v/>
      </c>
    </row>
    <row r="60">
      <c r="A60" s="154" t="n">
        <v>36</v>
      </c>
      <c r="B60" s="156">
        <f>EDATE($B$5,A60-1)</f>
        <v/>
      </c>
      <c r="C60" s="155">
        <f>ROUND(F59*$D$10,2)</f>
        <v/>
      </c>
      <c r="D60" s="155">
        <f>MIN($E$10,F59+C60)</f>
        <v/>
      </c>
      <c r="E60" s="155">
        <f>MIN(F59+C60-D60,MAX(0,$AQ60-(0)))</f>
        <v/>
      </c>
      <c r="F60" s="155">
        <f>ROUND(F59+C60-D60-E60,2)</f>
        <v/>
      </c>
      <c r="G60" s="155">
        <f>ROUND(J59*$D$11,2)</f>
        <v/>
      </c>
      <c r="H60" s="155">
        <f>MIN($E$11,J59+G60)</f>
        <v/>
      </c>
      <c r="I60" s="155">
        <f>MIN(J59+G60-H60,MAX(0,$AQ60-(E60)))</f>
        <v/>
      </c>
      <c r="J60" s="155">
        <f>ROUND(J59+G60-H60-I60,2)</f>
        <v/>
      </c>
      <c r="K60" s="155">
        <f>ROUND(N59*$D$12,2)</f>
        <v/>
      </c>
      <c r="L60" s="155">
        <f>MIN($E$12,N59+K60)</f>
        <v/>
      </c>
      <c r="M60" s="155">
        <f>MIN(N59+K60-L60,MAX(0,$AQ60-(E60+I60)))</f>
        <v/>
      </c>
      <c r="N60" s="155">
        <f>ROUND(N59+K60-L60-M60,2)</f>
        <v/>
      </c>
      <c r="O60" s="155">
        <f>ROUND(R59*$D$13,2)</f>
        <v/>
      </c>
      <c r="P60" s="155">
        <f>MIN($E$13,R59+O60)</f>
        <v/>
      </c>
      <c r="Q60" s="155">
        <f>MIN(R59+O60-P60,MAX(0,$AQ60-(E60+I60+M60)))</f>
        <v/>
      </c>
      <c r="R60" s="155">
        <f>ROUND(R59+O60-P60-Q60,2)</f>
        <v/>
      </c>
      <c r="S60" s="155">
        <f>ROUND(V59*$D$14,2)</f>
        <v/>
      </c>
      <c r="T60" s="155">
        <f>MIN($E$14,V59+S60)</f>
        <v/>
      </c>
      <c r="U60" s="155">
        <f>MIN(V59+S60-T60,MAX(0,$AQ60-(E60+I60+M60+Q60)))</f>
        <v/>
      </c>
      <c r="V60" s="155">
        <f>ROUND(V59+S60-T60-U60,2)</f>
        <v/>
      </c>
      <c r="W60" s="155">
        <f>ROUND(Z59*$D$15,2)</f>
        <v/>
      </c>
      <c r="X60" s="155">
        <f>MIN($E$15,Z59+W60)</f>
        <v/>
      </c>
      <c r="Y60" s="155">
        <f>MIN(Z59+W60-X60,MAX(0,$AQ60-(E60+I60+M60+Q60+U60)))</f>
        <v/>
      </c>
      <c r="Z60" s="155">
        <f>ROUND(Z59+W60-X60-Y60,2)</f>
        <v/>
      </c>
      <c r="AA60" s="155">
        <f>ROUND(AD59*$D$16,2)</f>
        <v/>
      </c>
      <c r="AB60" s="155">
        <f>MIN($E$16,AD59+AA60)</f>
        <v/>
      </c>
      <c r="AC60" s="155">
        <f>MIN(AD59+AA60-AB60,MAX(0,$AQ60-(E60+I60+M60+Q60+U60+Y60)))</f>
        <v/>
      </c>
      <c r="AD60" s="155">
        <f>ROUND(AD59+AA60-AB60-AC60,2)</f>
        <v/>
      </c>
      <c r="AE60" s="155">
        <f>ROUND(AH59*$D$17,2)</f>
        <v/>
      </c>
      <c r="AF60" s="155">
        <f>MIN($E$17,AH59+AE60)</f>
        <v/>
      </c>
      <c r="AG60" s="155">
        <f>MIN(AH59+AE60-AF60,MAX(0,$AQ60-(E60+I60+M60+Q60+U60+Y60+AC60)))</f>
        <v/>
      </c>
      <c r="AH60" s="155">
        <f>ROUND(AH59+AE60-AF60-AG60,2)</f>
        <v/>
      </c>
      <c r="AI60" s="155">
        <f>ROUND(AL59*$D$18,2)</f>
        <v/>
      </c>
      <c r="AJ60" s="155">
        <f>MIN($E$18,AL59+AI60)</f>
        <v/>
      </c>
      <c r="AK60" s="155">
        <f>MIN(AL59+AI60-AJ60,MAX(0,$AQ60-(E60+I60+M60+Q60+U60+Y60+AC60+AG60)))</f>
        <v/>
      </c>
      <c r="AL60" s="155">
        <f>ROUND(AL59+AI60-AJ60-AK60,2)</f>
        <v/>
      </c>
      <c r="AM60" s="155">
        <f>ROUND(AP59*$D$19,2)</f>
        <v/>
      </c>
      <c r="AN60" s="155">
        <f>MIN($E$19,AP59+AM60)</f>
        <v/>
      </c>
      <c r="AO60" s="155">
        <f>MIN(AP59+AM60-AN60,MAX(0,$AQ60-(E60+I60+M60+Q60+U60+Y60+AC60+AG60+AK60)))</f>
        <v/>
      </c>
      <c r="AP60" s="155">
        <f>ROUND(AP59+AM60-AN60-AO60,2)</f>
        <v/>
      </c>
      <c r="AQ60" s="155">
        <f>MAX(0,$B$6-(D60+H60+L60+P60+T60+X60+AB60+AF60+AJ60+AN60))</f>
        <v/>
      </c>
      <c r="AR60" s="155">
        <f>D60+H60+L60+P60+T60+X60+AB60+AF60+AJ60+AN60+E60+I60+M60+Q60+U60+Y60+AC60+AG60+AK60+AO60</f>
        <v/>
      </c>
      <c r="AS60" s="155">
        <f>C60+G60+K60+O60+S60+W60+AA60+AE60+AI60+AM60</f>
        <v/>
      </c>
      <c r="AT60" s="155">
        <f>F60+J60+N60+R60+V60+Z60+AD60+AH60+AL60+AP60</f>
        <v/>
      </c>
      <c r="AU60" s="157">
        <f>MID(IF(AND(F60=0,F59&gt;0),"; "&amp;$B$10,"")&amp;IF(AND(J60=0,J59&gt;0),"; "&amp;$B$11,"")&amp;IF(AND(N60=0,N59&gt;0),"; "&amp;$B$12,"")&amp;IF(AND(R60=0,R59&gt;0),"; "&amp;$B$13,"")&amp;IF(AND(V60=0,V59&gt;0),"; "&amp;$B$14,"")&amp;IF(AND(Z60=0,Z59&gt;0),"; "&amp;$B$15,"")&amp;IF(AND(AD60=0,AD59&gt;0),"; "&amp;$B$16,"")&amp;IF(AND(AH60=0,AH59&gt;0),"; "&amp;$B$17,"")&amp;IF(AND(AL60=0,AL59&gt;0),"; "&amp;$B$18,"")&amp;IF(AND(AP60=0,AP59&gt;0),"; "&amp;$B$19,""),3,200)</f>
        <v/>
      </c>
    </row>
    <row r="61">
      <c r="A61" s="154" t="n">
        <v>37</v>
      </c>
      <c r="B61" s="156">
        <f>EDATE($B$5,A61-1)</f>
        <v/>
      </c>
      <c r="C61" s="155">
        <f>ROUND(F60*$D$10,2)</f>
        <v/>
      </c>
      <c r="D61" s="155">
        <f>MIN($E$10,F60+C61)</f>
        <v/>
      </c>
      <c r="E61" s="155">
        <f>MIN(F60+C61-D61,MAX(0,$AQ61-(0)))</f>
        <v/>
      </c>
      <c r="F61" s="155">
        <f>ROUND(F60+C61-D61-E61,2)</f>
        <v/>
      </c>
      <c r="G61" s="155">
        <f>ROUND(J60*$D$11,2)</f>
        <v/>
      </c>
      <c r="H61" s="155">
        <f>MIN($E$11,J60+G61)</f>
        <v/>
      </c>
      <c r="I61" s="155">
        <f>MIN(J60+G61-H61,MAX(0,$AQ61-(E61)))</f>
        <v/>
      </c>
      <c r="J61" s="155">
        <f>ROUND(J60+G61-H61-I61,2)</f>
        <v/>
      </c>
      <c r="K61" s="155">
        <f>ROUND(N60*$D$12,2)</f>
        <v/>
      </c>
      <c r="L61" s="155">
        <f>MIN($E$12,N60+K61)</f>
        <v/>
      </c>
      <c r="M61" s="155">
        <f>MIN(N60+K61-L61,MAX(0,$AQ61-(E61+I61)))</f>
        <v/>
      </c>
      <c r="N61" s="155">
        <f>ROUND(N60+K61-L61-M61,2)</f>
        <v/>
      </c>
      <c r="O61" s="155">
        <f>ROUND(R60*$D$13,2)</f>
        <v/>
      </c>
      <c r="P61" s="155">
        <f>MIN($E$13,R60+O61)</f>
        <v/>
      </c>
      <c r="Q61" s="155">
        <f>MIN(R60+O61-P61,MAX(0,$AQ61-(E61+I61+M61)))</f>
        <v/>
      </c>
      <c r="R61" s="155">
        <f>ROUND(R60+O61-P61-Q61,2)</f>
        <v/>
      </c>
      <c r="S61" s="155">
        <f>ROUND(V60*$D$14,2)</f>
        <v/>
      </c>
      <c r="T61" s="155">
        <f>MIN($E$14,V60+S61)</f>
        <v/>
      </c>
      <c r="U61" s="155">
        <f>MIN(V60+S61-T61,MAX(0,$AQ61-(E61+I61+M61+Q61)))</f>
        <v/>
      </c>
      <c r="V61" s="155">
        <f>ROUND(V60+S61-T61-U61,2)</f>
        <v/>
      </c>
      <c r="W61" s="155">
        <f>ROUND(Z60*$D$15,2)</f>
        <v/>
      </c>
      <c r="X61" s="155">
        <f>MIN($E$15,Z60+W61)</f>
        <v/>
      </c>
      <c r="Y61" s="155">
        <f>MIN(Z60+W61-X61,MAX(0,$AQ61-(E61+I61+M61+Q61+U61)))</f>
        <v/>
      </c>
      <c r="Z61" s="155">
        <f>ROUND(Z60+W61-X61-Y61,2)</f>
        <v/>
      </c>
      <c r="AA61" s="155">
        <f>ROUND(AD60*$D$16,2)</f>
        <v/>
      </c>
      <c r="AB61" s="155">
        <f>MIN($E$16,AD60+AA61)</f>
        <v/>
      </c>
      <c r="AC61" s="155">
        <f>MIN(AD60+AA61-AB61,MAX(0,$AQ61-(E61+I61+M61+Q61+U61+Y61)))</f>
        <v/>
      </c>
      <c r="AD61" s="155">
        <f>ROUND(AD60+AA61-AB61-AC61,2)</f>
        <v/>
      </c>
      <c r="AE61" s="155">
        <f>ROUND(AH60*$D$17,2)</f>
        <v/>
      </c>
      <c r="AF61" s="155">
        <f>MIN($E$17,AH60+AE61)</f>
        <v/>
      </c>
      <c r="AG61" s="155">
        <f>MIN(AH60+AE61-AF61,MAX(0,$AQ61-(E61+I61+M61+Q61+U61+Y61+AC61)))</f>
        <v/>
      </c>
      <c r="AH61" s="155">
        <f>ROUND(AH60+AE61-AF61-AG61,2)</f>
        <v/>
      </c>
      <c r="AI61" s="155">
        <f>ROUND(AL60*$D$18,2)</f>
        <v/>
      </c>
      <c r="AJ61" s="155">
        <f>MIN($E$18,AL60+AI61)</f>
        <v/>
      </c>
      <c r="AK61" s="155">
        <f>MIN(AL60+AI61-AJ61,MAX(0,$AQ61-(E61+I61+M61+Q61+U61+Y61+AC61+AG61)))</f>
        <v/>
      </c>
      <c r="AL61" s="155">
        <f>ROUND(AL60+AI61-AJ61-AK61,2)</f>
        <v/>
      </c>
      <c r="AM61" s="155">
        <f>ROUND(AP60*$D$19,2)</f>
        <v/>
      </c>
      <c r="AN61" s="155">
        <f>MIN($E$19,AP60+AM61)</f>
        <v/>
      </c>
      <c r="AO61" s="155">
        <f>MIN(AP60+AM61-AN61,MAX(0,$AQ61-(E61+I61+M61+Q61+U61+Y61+AC61+AG61+AK61)))</f>
        <v/>
      </c>
      <c r="AP61" s="155">
        <f>ROUND(AP60+AM61-AN61-AO61,2)</f>
        <v/>
      </c>
      <c r="AQ61" s="155">
        <f>MAX(0,$B$6-(D61+H61+L61+P61+T61+X61+AB61+AF61+AJ61+AN61))</f>
        <v/>
      </c>
      <c r="AR61" s="155">
        <f>D61+H61+L61+P61+T61+X61+AB61+AF61+AJ61+AN61+E61+I61+M61+Q61+U61+Y61+AC61+AG61+AK61+AO61</f>
        <v/>
      </c>
      <c r="AS61" s="155">
        <f>C61+G61+K61+O61+S61+W61+AA61+AE61+AI61+AM61</f>
        <v/>
      </c>
      <c r="AT61" s="155">
        <f>F61+J61+N61+R61+V61+Z61+AD61+AH61+AL61+AP61</f>
        <v/>
      </c>
      <c r="AU61" s="157">
        <f>MID(IF(AND(F61=0,F60&gt;0),"; "&amp;$B$10,"")&amp;IF(AND(J61=0,J60&gt;0),"; "&amp;$B$11,"")&amp;IF(AND(N61=0,N60&gt;0),"; "&amp;$B$12,"")&amp;IF(AND(R61=0,R60&gt;0),"; "&amp;$B$13,"")&amp;IF(AND(V61=0,V60&gt;0),"; "&amp;$B$14,"")&amp;IF(AND(Z61=0,Z60&gt;0),"; "&amp;$B$15,"")&amp;IF(AND(AD61=0,AD60&gt;0),"; "&amp;$B$16,"")&amp;IF(AND(AH61=0,AH60&gt;0),"; "&amp;$B$17,"")&amp;IF(AND(AL61=0,AL60&gt;0),"; "&amp;$B$18,"")&amp;IF(AND(AP61=0,AP60&gt;0),"; "&amp;$B$19,""),3,200)</f>
        <v/>
      </c>
    </row>
    <row r="62">
      <c r="A62" s="154" t="n">
        <v>38</v>
      </c>
      <c r="B62" s="156">
        <f>EDATE($B$5,A62-1)</f>
        <v/>
      </c>
      <c r="C62" s="155">
        <f>ROUND(F61*$D$10,2)</f>
        <v/>
      </c>
      <c r="D62" s="155">
        <f>MIN($E$10,F61+C62)</f>
        <v/>
      </c>
      <c r="E62" s="155">
        <f>MIN(F61+C62-D62,MAX(0,$AQ62-(0)))</f>
        <v/>
      </c>
      <c r="F62" s="155">
        <f>ROUND(F61+C62-D62-E62,2)</f>
        <v/>
      </c>
      <c r="G62" s="155">
        <f>ROUND(J61*$D$11,2)</f>
        <v/>
      </c>
      <c r="H62" s="155">
        <f>MIN($E$11,J61+G62)</f>
        <v/>
      </c>
      <c r="I62" s="155">
        <f>MIN(J61+G62-H62,MAX(0,$AQ62-(E62)))</f>
        <v/>
      </c>
      <c r="J62" s="155">
        <f>ROUND(J61+G62-H62-I62,2)</f>
        <v/>
      </c>
      <c r="K62" s="155">
        <f>ROUND(N61*$D$12,2)</f>
        <v/>
      </c>
      <c r="L62" s="155">
        <f>MIN($E$12,N61+K62)</f>
        <v/>
      </c>
      <c r="M62" s="155">
        <f>MIN(N61+K62-L62,MAX(0,$AQ62-(E62+I62)))</f>
        <v/>
      </c>
      <c r="N62" s="155">
        <f>ROUND(N61+K62-L62-M62,2)</f>
        <v/>
      </c>
      <c r="O62" s="155">
        <f>ROUND(R61*$D$13,2)</f>
        <v/>
      </c>
      <c r="P62" s="155">
        <f>MIN($E$13,R61+O62)</f>
        <v/>
      </c>
      <c r="Q62" s="155">
        <f>MIN(R61+O62-P62,MAX(0,$AQ62-(E62+I62+M62)))</f>
        <v/>
      </c>
      <c r="R62" s="155">
        <f>ROUND(R61+O62-P62-Q62,2)</f>
        <v/>
      </c>
      <c r="S62" s="155">
        <f>ROUND(V61*$D$14,2)</f>
        <v/>
      </c>
      <c r="T62" s="155">
        <f>MIN($E$14,V61+S62)</f>
        <v/>
      </c>
      <c r="U62" s="155">
        <f>MIN(V61+S62-T62,MAX(0,$AQ62-(E62+I62+M62+Q62)))</f>
        <v/>
      </c>
      <c r="V62" s="155">
        <f>ROUND(V61+S62-T62-U62,2)</f>
        <v/>
      </c>
      <c r="W62" s="155">
        <f>ROUND(Z61*$D$15,2)</f>
        <v/>
      </c>
      <c r="X62" s="155">
        <f>MIN($E$15,Z61+W62)</f>
        <v/>
      </c>
      <c r="Y62" s="155">
        <f>MIN(Z61+W62-X62,MAX(0,$AQ62-(E62+I62+M62+Q62+U62)))</f>
        <v/>
      </c>
      <c r="Z62" s="155">
        <f>ROUND(Z61+W62-X62-Y62,2)</f>
        <v/>
      </c>
      <c r="AA62" s="155">
        <f>ROUND(AD61*$D$16,2)</f>
        <v/>
      </c>
      <c r="AB62" s="155">
        <f>MIN($E$16,AD61+AA62)</f>
        <v/>
      </c>
      <c r="AC62" s="155">
        <f>MIN(AD61+AA62-AB62,MAX(0,$AQ62-(E62+I62+M62+Q62+U62+Y62)))</f>
        <v/>
      </c>
      <c r="AD62" s="155">
        <f>ROUND(AD61+AA62-AB62-AC62,2)</f>
        <v/>
      </c>
      <c r="AE62" s="155">
        <f>ROUND(AH61*$D$17,2)</f>
        <v/>
      </c>
      <c r="AF62" s="155">
        <f>MIN($E$17,AH61+AE62)</f>
        <v/>
      </c>
      <c r="AG62" s="155">
        <f>MIN(AH61+AE62-AF62,MAX(0,$AQ62-(E62+I62+M62+Q62+U62+Y62+AC62)))</f>
        <v/>
      </c>
      <c r="AH62" s="155">
        <f>ROUND(AH61+AE62-AF62-AG62,2)</f>
        <v/>
      </c>
      <c r="AI62" s="155">
        <f>ROUND(AL61*$D$18,2)</f>
        <v/>
      </c>
      <c r="AJ62" s="155">
        <f>MIN($E$18,AL61+AI62)</f>
        <v/>
      </c>
      <c r="AK62" s="155">
        <f>MIN(AL61+AI62-AJ62,MAX(0,$AQ62-(E62+I62+M62+Q62+U62+Y62+AC62+AG62)))</f>
        <v/>
      </c>
      <c r="AL62" s="155">
        <f>ROUND(AL61+AI62-AJ62-AK62,2)</f>
        <v/>
      </c>
      <c r="AM62" s="155">
        <f>ROUND(AP61*$D$19,2)</f>
        <v/>
      </c>
      <c r="AN62" s="155">
        <f>MIN($E$19,AP61+AM62)</f>
        <v/>
      </c>
      <c r="AO62" s="155">
        <f>MIN(AP61+AM62-AN62,MAX(0,$AQ62-(E62+I62+M62+Q62+U62+Y62+AC62+AG62+AK62)))</f>
        <v/>
      </c>
      <c r="AP62" s="155">
        <f>ROUND(AP61+AM62-AN62-AO62,2)</f>
        <v/>
      </c>
      <c r="AQ62" s="155">
        <f>MAX(0,$B$6-(D62+H62+L62+P62+T62+X62+AB62+AF62+AJ62+AN62))</f>
        <v/>
      </c>
      <c r="AR62" s="155">
        <f>D62+H62+L62+P62+T62+X62+AB62+AF62+AJ62+AN62+E62+I62+M62+Q62+U62+Y62+AC62+AG62+AK62+AO62</f>
        <v/>
      </c>
      <c r="AS62" s="155">
        <f>C62+G62+K62+O62+S62+W62+AA62+AE62+AI62+AM62</f>
        <v/>
      </c>
      <c r="AT62" s="155">
        <f>F62+J62+N62+R62+V62+Z62+AD62+AH62+AL62+AP62</f>
        <v/>
      </c>
      <c r="AU62" s="157">
        <f>MID(IF(AND(F62=0,F61&gt;0),"; "&amp;$B$10,"")&amp;IF(AND(J62=0,J61&gt;0),"; "&amp;$B$11,"")&amp;IF(AND(N62=0,N61&gt;0),"; "&amp;$B$12,"")&amp;IF(AND(R62=0,R61&gt;0),"; "&amp;$B$13,"")&amp;IF(AND(V62=0,V61&gt;0),"; "&amp;$B$14,"")&amp;IF(AND(Z62=0,Z61&gt;0),"; "&amp;$B$15,"")&amp;IF(AND(AD62=0,AD61&gt;0),"; "&amp;$B$16,"")&amp;IF(AND(AH62=0,AH61&gt;0),"; "&amp;$B$17,"")&amp;IF(AND(AL62=0,AL61&gt;0),"; "&amp;$B$18,"")&amp;IF(AND(AP62=0,AP61&gt;0),"; "&amp;$B$19,""),3,200)</f>
        <v/>
      </c>
    </row>
    <row r="63">
      <c r="A63" s="154" t="n">
        <v>39</v>
      </c>
      <c r="B63" s="156">
        <f>EDATE($B$5,A63-1)</f>
        <v/>
      </c>
      <c r="C63" s="155">
        <f>ROUND(F62*$D$10,2)</f>
        <v/>
      </c>
      <c r="D63" s="155">
        <f>MIN($E$10,F62+C63)</f>
        <v/>
      </c>
      <c r="E63" s="155">
        <f>MIN(F62+C63-D63,MAX(0,$AQ63-(0)))</f>
        <v/>
      </c>
      <c r="F63" s="155">
        <f>ROUND(F62+C63-D63-E63,2)</f>
        <v/>
      </c>
      <c r="G63" s="155">
        <f>ROUND(J62*$D$11,2)</f>
        <v/>
      </c>
      <c r="H63" s="155">
        <f>MIN($E$11,J62+G63)</f>
        <v/>
      </c>
      <c r="I63" s="155">
        <f>MIN(J62+G63-H63,MAX(0,$AQ63-(E63)))</f>
        <v/>
      </c>
      <c r="J63" s="155">
        <f>ROUND(J62+G63-H63-I63,2)</f>
        <v/>
      </c>
      <c r="K63" s="155">
        <f>ROUND(N62*$D$12,2)</f>
        <v/>
      </c>
      <c r="L63" s="155">
        <f>MIN($E$12,N62+K63)</f>
        <v/>
      </c>
      <c r="M63" s="155">
        <f>MIN(N62+K63-L63,MAX(0,$AQ63-(E63+I63)))</f>
        <v/>
      </c>
      <c r="N63" s="155">
        <f>ROUND(N62+K63-L63-M63,2)</f>
        <v/>
      </c>
      <c r="O63" s="155">
        <f>ROUND(R62*$D$13,2)</f>
        <v/>
      </c>
      <c r="P63" s="155">
        <f>MIN($E$13,R62+O63)</f>
        <v/>
      </c>
      <c r="Q63" s="155">
        <f>MIN(R62+O63-P63,MAX(0,$AQ63-(E63+I63+M63)))</f>
        <v/>
      </c>
      <c r="R63" s="155">
        <f>ROUND(R62+O63-P63-Q63,2)</f>
        <v/>
      </c>
      <c r="S63" s="155">
        <f>ROUND(V62*$D$14,2)</f>
        <v/>
      </c>
      <c r="T63" s="155">
        <f>MIN($E$14,V62+S63)</f>
        <v/>
      </c>
      <c r="U63" s="155">
        <f>MIN(V62+S63-T63,MAX(0,$AQ63-(E63+I63+M63+Q63)))</f>
        <v/>
      </c>
      <c r="V63" s="155">
        <f>ROUND(V62+S63-T63-U63,2)</f>
        <v/>
      </c>
      <c r="W63" s="155">
        <f>ROUND(Z62*$D$15,2)</f>
        <v/>
      </c>
      <c r="X63" s="155">
        <f>MIN($E$15,Z62+W63)</f>
        <v/>
      </c>
      <c r="Y63" s="155">
        <f>MIN(Z62+W63-X63,MAX(0,$AQ63-(E63+I63+M63+Q63+U63)))</f>
        <v/>
      </c>
      <c r="Z63" s="155">
        <f>ROUND(Z62+W63-X63-Y63,2)</f>
        <v/>
      </c>
      <c r="AA63" s="155">
        <f>ROUND(AD62*$D$16,2)</f>
        <v/>
      </c>
      <c r="AB63" s="155">
        <f>MIN($E$16,AD62+AA63)</f>
        <v/>
      </c>
      <c r="AC63" s="155">
        <f>MIN(AD62+AA63-AB63,MAX(0,$AQ63-(E63+I63+M63+Q63+U63+Y63)))</f>
        <v/>
      </c>
      <c r="AD63" s="155">
        <f>ROUND(AD62+AA63-AB63-AC63,2)</f>
        <v/>
      </c>
      <c r="AE63" s="155">
        <f>ROUND(AH62*$D$17,2)</f>
        <v/>
      </c>
      <c r="AF63" s="155">
        <f>MIN($E$17,AH62+AE63)</f>
        <v/>
      </c>
      <c r="AG63" s="155">
        <f>MIN(AH62+AE63-AF63,MAX(0,$AQ63-(E63+I63+M63+Q63+U63+Y63+AC63)))</f>
        <v/>
      </c>
      <c r="AH63" s="155">
        <f>ROUND(AH62+AE63-AF63-AG63,2)</f>
        <v/>
      </c>
      <c r="AI63" s="155">
        <f>ROUND(AL62*$D$18,2)</f>
        <v/>
      </c>
      <c r="AJ63" s="155">
        <f>MIN($E$18,AL62+AI63)</f>
        <v/>
      </c>
      <c r="AK63" s="155">
        <f>MIN(AL62+AI63-AJ63,MAX(0,$AQ63-(E63+I63+M63+Q63+U63+Y63+AC63+AG63)))</f>
        <v/>
      </c>
      <c r="AL63" s="155">
        <f>ROUND(AL62+AI63-AJ63-AK63,2)</f>
        <v/>
      </c>
      <c r="AM63" s="155">
        <f>ROUND(AP62*$D$19,2)</f>
        <v/>
      </c>
      <c r="AN63" s="155">
        <f>MIN($E$19,AP62+AM63)</f>
        <v/>
      </c>
      <c r="AO63" s="155">
        <f>MIN(AP62+AM63-AN63,MAX(0,$AQ63-(E63+I63+M63+Q63+U63+Y63+AC63+AG63+AK63)))</f>
        <v/>
      </c>
      <c r="AP63" s="155">
        <f>ROUND(AP62+AM63-AN63-AO63,2)</f>
        <v/>
      </c>
      <c r="AQ63" s="155">
        <f>MAX(0,$B$6-(D63+H63+L63+P63+T63+X63+AB63+AF63+AJ63+AN63))</f>
        <v/>
      </c>
      <c r="AR63" s="155">
        <f>D63+H63+L63+P63+T63+X63+AB63+AF63+AJ63+AN63+E63+I63+M63+Q63+U63+Y63+AC63+AG63+AK63+AO63</f>
        <v/>
      </c>
      <c r="AS63" s="155">
        <f>C63+G63+K63+O63+S63+W63+AA63+AE63+AI63+AM63</f>
        <v/>
      </c>
      <c r="AT63" s="155">
        <f>F63+J63+N63+R63+V63+Z63+AD63+AH63+AL63+AP63</f>
        <v/>
      </c>
      <c r="AU63" s="157">
        <f>MID(IF(AND(F63=0,F62&gt;0),"; "&amp;$B$10,"")&amp;IF(AND(J63=0,J62&gt;0),"; "&amp;$B$11,"")&amp;IF(AND(N63=0,N62&gt;0),"; "&amp;$B$12,"")&amp;IF(AND(R63=0,R62&gt;0),"; "&amp;$B$13,"")&amp;IF(AND(V63=0,V62&gt;0),"; "&amp;$B$14,"")&amp;IF(AND(Z63=0,Z62&gt;0),"; "&amp;$B$15,"")&amp;IF(AND(AD63=0,AD62&gt;0),"; "&amp;$B$16,"")&amp;IF(AND(AH63=0,AH62&gt;0),"; "&amp;$B$17,"")&amp;IF(AND(AL63=0,AL62&gt;0),"; "&amp;$B$18,"")&amp;IF(AND(AP63=0,AP62&gt;0),"; "&amp;$B$19,""),3,200)</f>
        <v/>
      </c>
    </row>
    <row r="64">
      <c r="A64" s="154" t="n">
        <v>40</v>
      </c>
      <c r="B64" s="156">
        <f>EDATE($B$5,A64-1)</f>
        <v/>
      </c>
      <c r="C64" s="155">
        <f>ROUND(F63*$D$10,2)</f>
        <v/>
      </c>
      <c r="D64" s="155">
        <f>MIN($E$10,F63+C64)</f>
        <v/>
      </c>
      <c r="E64" s="155">
        <f>MIN(F63+C64-D64,MAX(0,$AQ64-(0)))</f>
        <v/>
      </c>
      <c r="F64" s="155">
        <f>ROUND(F63+C64-D64-E64,2)</f>
        <v/>
      </c>
      <c r="G64" s="155">
        <f>ROUND(J63*$D$11,2)</f>
        <v/>
      </c>
      <c r="H64" s="155">
        <f>MIN($E$11,J63+G64)</f>
        <v/>
      </c>
      <c r="I64" s="155">
        <f>MIN(J63+G64-H64,MAX(0,$AQ64-(E64)))</f>
        <v/>
      </c>
      <c r="J64" s="155">
        <f>ROUND(J63+G64-H64-I64,2)</f>
        <v/>
      </c>
      <c r="K64" s="155">
        <f>ROUND(N63*$D$12,2)</f>
        <v/>
      </c>
      <c r="L64" s="155">
        <f>MIN($E$12,N63+K64)</f>
        <v/>
      </c>
      <c r="M64" s="155">
        <f>MIN(N63+K64-L64,MAX(0,$AQ64-(E64+I64)))</f>
        <v/>
      </c>
      <c r="N64" s="155">
        <f>ROUND(N63+K64-L64-M64,2)</f>
        <v/>
      </c>
      <c r="O64" s="155">
        <f>ROUND(R63*$D$13,2)</f>
        <v/>
      </c>
      <c r="P64" s="155">
        <f>MIN($E$13,R63+O64)</f>
        <v/>
      </c>
      <c r="Q64" s="155">
        <f>MIN(R63+O64-P64,MAX(0,$AQ64-(E64+I64+M64)))</f>
        <v/>
      </c>
      <c r="R64" s="155">
        <f>ROUND(R63+O64-P64-Q64,2)</f>
        <v/>
      </c>
      <c r="S64" s="155">
        <f>ROUND(V63*$D$14,2)</f>
        <v/>
      </c>
      <c r="T64" s="155">
        <f>MIN($E$14,V63+S64)</f>
        <v/>
      </c>
      <c r="U64" s="155">
        <f>MIN(V63+S64-T64,MAX(0,$AQ64-(E64+I64+M64+Q64)))</f>
        <v/>
      </c>
      <c r="V64" s="155">
        <f>ROUND(V63+S64-T64-U64,2)</f>
        <v/>
      </c>
      <c r="W64" s="155">
        <f>ROUND(Z63*$D$15,2)</f>
        <v/>
      </c>
      <c r="X64" s="155">
        <f>MIN($E$15,Z63+W64)</f>
        <v/>
      </c>
      <c r="Y64" s="155">
        <f>MIN(Z63+W64-X64,MAX(0,$AQ64-(E64+I64+M64+Q64+U64)))</f>
        <v/>
      </c>
      <c r="Z64" s="155">
        <f>ROUND(Z63+W64-X64-Y64,2)</f>
        <v/>
      </c>
      <c r="AA64" s="155">
        <f>ROUND(AD63*$D$16,2)</f>
        <v/>
      </c>
      <c r="AB64" s="155">
        <f>MIN($E$16,AD63+AA64)</f>
        <v/>
      </c>
      <c r="AC64" s="155">
        <f>MIN(AD63+AA64-AB64,MAX(0,$AQ64-(E64+I64+M64+Q64+U64+Y64)))</f>
        <v/>
      </c>
      <c r="AD64" s="155">
        <f>ROUND(AD63+AA64-AB64-AC64,2)</f>
        <v/>
      </c>
      <c r="AE64" s="155">
        <f>ROUND(AH63*$D$17,2)</f>
        <v/>
      </c>
      <c r="AF64" s="155">
        <f>MIN($E$17,AH63+AE64)</f>
        <v/>
      </c>
      <c r="AG64" s="155">
        <f>MIN(AH63+AE64-AF64,MAX(0,$AQ64-(E64+I64+M64+Q64+U64+Y64+AC64)))</f>
        <v/>
      </c>
      <c r="AH64" s="155">
        <f>ROUND(AH63+AE64-AF64-AG64,2)</f>
        <v/>
      </c>
      <c r="AI64" s="155">
        <f>ROUND(AL63*$D$18,2)</f>
        <v/>
      </c>
      <c r="AJ64" s="155">
        <f>MIN($E$18,AL63+AI64)</f>
        <v/>
      </c>
      <c r="AK64" s="155">
        <f>MIN(AL63+AI64-AJ64,MAX(0,$AQ64-(E64+I64+M64+Q64+U64+Y64+AC64+AG64)))</f>
        <v/>
      </c>
      <c r="AL64" s="155">
        <f>ROUND(AL63+AI64-AJ64-AK64,2)</f>
        <v/>
      </c>
      <c r="AM64" s="155">
        <f>ROUND(AP63*$D$19,2)</f>
        <v/>
      </c>
      <c r="AN64" s="155">
        <f>MIN($E$19,AP63+AM64)</f>
        <v/>
      </c>
      <c r="AO64" s="155">
        <f>MIN(AP63+AM64-AN64,MAX(0,$AQ64-(E64+I64+M64+Q64+U64+Y64+AC64+AG64+AK64)))</f>
        <v/>
      </c>
      <c r="AP64" s="155">
        <f>ROUND(AP63+AM64-AN64-AO64,2)</f>
        <v/>
      </c>
      <c r="AQ64" s="155">
        <f>MAX(0,$B$6-(D64+H64+L64+P64+T64+X64+AB64+AF64+AJ64+AN64))</f>
        <v/>
      </c>
      <c r="AR64" s="155">
        <f>D64+H64+L64+P64+T64+X64+AB64+AF64+AJ64+AN64+E64+I64+M64+Q64+U64+Y64+AC64+AG64+AK64+AO64</f>
        <v/>
      </c>
      <c r="AS64" s="155">
        <f>C64+G64+K64+O64+S64+W64+AA64+AE64+AI64+AM64</f>
        <v/>
      </c>
      <c r="AT64" s="155">
        <f>F64+J64+N64+R64+V64+Z64+AD64+AH64+AL64+AP64</f>
        <v/>
      </c>
      <c r="AU64" s="157">
        <f>MID(IF(AND(F64=0,F63&gt;0),"; "&amp;$B$10,"")&amp;IF(AND(J64=0,J63&gt;0),"; "&amp;$B$11,"")&amp;IF(AND(N64=0,N63&gt;0),"; "&amp;$B$12,"")&amp;IF(AND(R64=0,R63&gt;0),"; "&amp;$B$13,"")&amp;IF(AND(V64=0,V63&gt;0),"; "&amp;$B$14,"")&amp;IF(AND(Z64=0,Z63&gt;0),"; "&amp;$B$15,"")&amp;IF(AND(AD64=0,AD63&gt;0),"; "&amp;$B$16,"")&amp;IF(AND(AH64=0,AH63&gt;0),"; "&amp;$B$17,"")&amp;IF(AND(AL64=0,AL63&gt;0),"; "&amp;$B$18,"")&amp;IF(AND(AP64=0,AP63&gt;0),"; "&amp;$B$19,""),3,200)</f>
        <v/>
      </c>
    </row>
    <row r="65">
      <c r="A65" s="154" t="n">
        <v>41</v>
      </c>
      <c r="B65" s="156">
        <f>EDATE($B$5,A65-1)</f>
        <v/>
      </c>
      <c r="C65" s="155">
        <f>ROUND(F64*$D$10,2)</f>
        <v/>
      </c>
      <c r="D65" s="155">
        <f>MIN($E$10,F64+C65)</f>
        <v/>
      </c>
      <c r="E65" s="155">
        <f>MIN(F64+C65-D65,MAX(0,$AQ65-(0)))</f>
        <v/>
      </c>
      <c r="F65" s="155">
        <f>ROUND(F64+C65-D65-E65,2)</f>
        <v/>
      </c>
      <c r="G65" s="155">
        <f>ROUND(J64*$D$11,2)</f>
        <v/>
      </c>
      <c r="H65" s="155">
        <f>MIN($E$11,J64+G65)</f>
        <v/>
      </c>
      <c r="I65" s="155">
        <f>MIN(J64+G65-H65,MAX(0,$AQ65-(E65)))</f>
        <v/>
      </c>
      <c r="J65" s="155">
        <f>ROUND(J64+G65-H65-I65,2)</f>
        <v/>
      </c>
      <c r="K65" s="155">
        <f>ROUND(N64*$D$12,2)</f>
        <v/>
      </c>
      <c r="L65" s="155">
        <f>MIN($E$12,N64+K65)</f>
        <v/>
      </c>
      <c r="M65" s="155">
        <f>MIN(N64+K65-L65,MAX(0,$AQ65-(E65+I65)))</f>
        <v/>
      </c>
      <c r="N65" s="155">
        <f>ROUND(N64+K65-L65-M65,2)</f>
        <v/>
      </c>
      <c r="O65" s="155">
        <f>ROUND(R64*$D$13,2)</f>
        <v/>
      </c>
      <c r="P65" s="155">
        <f>MIN($E$13,R64+O65)</f>
        <v/>
      </c>
      <c r="Q65" s="155">
        <f>MIN(R64+O65-P65,MAX(0,$AQ65-(E65+I65+M65)))</f>
        <v/>
      </c>
      <c r="R65" s="155">
        <f>ROUND(R64+O65-P65-Q65,2)</f>
        <v/>
      </c>
      <c r="S65" s="155">
        <f>ROUND(V64*$D$14,2)</f>
        <v/>
      </c>
      <c r="T65" s="155">
        <f>MIN($E$14,V64+S65)</f>
        <v/>
      </c>
      <c r="U65" s="155">
        <f>MIN(V64+S65-T65,MAX(0,$AQ65-(E65+I65+M65+Q65)))</f>
        <v/>
      </c>
      <c r="V65" s="155">
        <f>ROUND(V64+S65-T65-U65,2)</f>
        <v/>
      </c>
      <c r="W65" s="155">
        <f>ROUND(Z64*$D$15,2)</f>
        <v/>
      </c>
      <c r="X65" s="155">
        <f>MIN($E$15,Z64+W65)</f>
        <v/>
      </c>
      <c r="Y65" s="155">
        <f>MIN(Z64+W65-X65,MAX(0,$AQ65-(E65+I65+M65+Q65+U65)))</f>
        <v/>
      </c>
      <c r="Z65" s="155">
        <f>ROUND(Z64+W65-X65-Y65,2)</f>
        <v/>
      </c>
      <c r="AA65" s="155">
        <f>ROUND(AD64*$D$16,2)</f>
        <v/>
      </c>
      <c r="AB65" s="155">
        <f>MIN($E$16,AD64+AA65)</f>
        <v/>
      </c>
      <c r="AC65" s="155">
        <f>MIN(AD64+AA65-AB65,MAX(0,$AQ65-(E65+I65+M65+Q65+U65+Y65)))</f>
        <v/>
      </c>
      <c r="AD65" s="155">
        <f>ROUND(AD64+AA65-AB65-AC65,2)</f>
        <v/>
      </c>
      <c r="AE65" s="155">
        <f>ROUND(AH64*$D$17,2)</f>
        <v/>
      </c>
      <c r="AF65" s="155">
        <f>MIN($E$17,AH64+AE65)</f>
        <v/>
      </c>
      <c r="AG65" s="155">
        <f>MIN(AH64+AE65-AF65,MAX(0,$AQ65-(E65+I65+M65+Q65+U65+Y65+AC65)))</f>
        <v/>
      </c>
      <c r="AH65" s="155">
        <f>ROUND(AH64+AE65-AF65-AG65,2)</f>
        <v/>
      </c>
      <c r="AI65" s="155">
        <f>ROUND(AL64*$D$18,2)</f>
        <v/>
      </c>
      <c r="AJ65" s="155">
        <f>MIN($E$18,AL64+AI65)</f>
        <v/>
      </c>
      <c r="AK65" s="155">
        <f>MIN(AL64+AI65-AJ65,MAX(0,$AQ65-(E65+I65+M65+Q65+U65+Y65+AC65+AG65)))</f>
        <v/>
      </c>
      <c r="AL65" s="155">
        <f>ROUND(AL64+AI65-AJ65-AK65,2)</f>
        <v/>
      </c>
      <c r="AM65" s="155">
        <f>ROUND(AP64*$D$19,2)</f>
        <v/>
      </c>
      <c r="AN65" s="155">
        <f>MIN($E$19,AP64+AM65)</f>
        <v/>
      </c>
      <c r="AO65" s="155">
        <f>MIN(AP64+AM65-AN65,MAX(0,$AQ65-(E65+I65+M65+Q65+U65+Y65+AC65+AG65+AK65)))</f>
        <v/>
      </c>
      <c r="AP65" s="155">
        <f>ROUND(AP64+AM65-AN65-AO65,2)</f>
        <v/>
      </c>
      <c r="AQ65" s="155">
        <f>MAX(0,$B$6-(D65+H65+L65+P65+T65+X65+AB65+AF65+AJ65+AN65))</f>
        <v/>
      </c>
      <c r="AR65" s="155">
        <f>D65+H65+L65+P65+T65+X65+AB65+AF65+AJ65+AN65+E65+I65+M65+Q65+U65+Y65+AC65+AG65+AK65+AO65</f>
        <v/>
      </c>
      <c r="AS65" s="155">
        <f>C65+G65+K65+O65+S65+W65+AA65+AE65+AI65+AM65</f>
        <v/>
      </c>
      <c r="AT65" s="155">
        <f>F65+J65+N65+R65+V65+Z65+AD65+AH65+AL65+AP65</f>
        <v/>
      </c>
      <c r="AU65" s="157">
        <f>MID(IF(AND(F65=0,F64&gt;0),"; "&amp;$B$10,"")&amp;IF(AND(J65=0,J64&gt;0),"; "&amp;$B$11,"")&amp;IF(AND(N65=0,N64&gt;0),"; "&amp;$B$12,"")&amp;IF(AND(R65=0,R64&gt;0),"; "&amp;$B$13,"")&amp;IF(AND(V65=0,V64&gt;0),"; "&amp;$B$14,"")&amp;IF(AND(Z65=0,Z64&gt;0),"; "&amp;$B$15,"")&amp;IF(AND(AD65=0,AD64&gt;0),"; "&amp;$B$16,"")&amp;IF(AND(AH65=0,AH64&gt;0),"; "&amp;$B$17,"")&amp;IF(AND(AL65=0,AL64&gt;0),"; "&amp;$B$18,"")&amp;IF(AND(AP65=0,AP64&gt;0),"; "&amp;$B$19,""),3,200)</f>
        <v/>
      </c>
    </row>
    <row r="66">
      <c r="A66" s="154" t="n">
        <v>42</v>
      </c>
      <c r="B66" s="156">
        <f>EDATE($B$5,A66-1)</f>
        <v/>
      </c>
      <c r="C66" s="155">
        <f>ROUND(F65*$D$10,2)</f>
        <v/>
      </c>
      <c r="D66" s="155">
        <f>MIN($E$10,F65+C66)</f>
        <v/>
      </c>
      <c r="E66" s="155">
        <f>MIN(F65+C66-D66,MAX(0,$AQ66-(0)))</f>
        <v/>
      </c>
      <c r="F66" s="155">
        <f>ROUND(F65+C66-D66-E66,2)</f>
        <v/>
      </c>
      <c r="G66" s="155">
        <f>ROUND(J65*$D$11,2)</f>
        <v/>
      </c>
      <c r="H66" s="155">
        <f>MIN($E$11,J65+G66)</f>
        <v/>
      </c>
      <c r="I66" s="155">
        <f>MIN(J65+G66-H66,MAX(0,$AQ66-(E66)))</f>
        <v/>
      </c>
      <c r="J66" s="155">
        <f>ROUND(J65+G66-H66-I66,2)</f>
        <v/>
      </c>
      <c r="K66" s="155">
        <f>ROUND(N65*$D$12,2)</f>
        <v/>
      </c>
      <c r="L66" s="155">
        <f>MIN($E$12,N65+K66)</f>
        <v/>
      </c>
      <c r="M66" s="155">
        <f>MIN(N65+K66-L66,MAX(0,$AQ66-(E66+I66)))</f>
        <v/>
      </c>
      <c r="N66" s="155">
        <f>ROUND(N65+K66-L66-M66,2)</f>
        <v/>
      </c>
      <c r="O66" s="155">
        <f>ROUND(R65*$D$13,2)</f>
        <v/>
      </c>
      <c r="P66" s="155">
        <f>MIN($E$13,R65+O66)</f>
        <v/>
      </c>
      <c r="Q66" s="155">
        <f>MIN(R65+O66-P66,MAX(0,$AQ66-(E66+I66+M66)))</f>
        <v/>
      </c>
      <c r="R66" s="155">
        <f>ROUND(R65+O66-P66-Q66,2)</f>
        <v/>
      </c>
      <c r="S66" s="155">
        <f>ROUND(V65*$D$14,2)</f>
        <v/>
      </c>
      <c r="T66" s="155">
        <f>MIN($E$14,V65+S66)</f>
        <v/>
      </c>
      <c r="U66" s="155">
        <f>MIN(V65+S66-T66,MAX(0,$AQ66-(E66+I66+M66+Q66)))</f>
        <v/>
      </c>
      <c r="V66" s="155">
        <f>ROUND(V65+S66-T66-U66,2)</f>
        <v/>
      </c>
      <c r="W66" s="155">
        <f>ROUND(Z65*$D$15,2)</f>
        <v/>
      </c>
      <c r="X66" s="155">
        <f>MIN($E$15,Z65+W66)</f>
        <v/>
      </c>
      <c r="Y66" s="155">
        <f>MIN(Z65+W66-X66,MAX(0,$AQ66-(E66+I66+M66+Q66+U66)))</f>
        <v/>
      </c>
      <c r="Z66" s="155">
        <f>ROUND(Z65+W66-X66-Y66,2)</f>
        <v/>
      </c>
      <c r="AA66" s="155">
        <f>ROUND(AD65*$D$16,2)</f>
        <v/>
      </c>
      <c r="AB66" s="155">
        <f>MIN($E$16,AD65+AA66)</f>
        <v/>
      </c>
      <c r="AC66" s="155">
        <f>MIN(AD65+AA66-AB66,MAX(0,$AQ66-(E66+I66+M66+Q66+U66+Y66)))</f>
        <v/>
      </c>
      <c r="AD66" s="155">
        <f>ROUND(AD65+AA66-AB66-AC66,2)</f>
        <v/>
      </c>
      <c r="AE66" s="155">
        <f>ROUND(AH65*$D$17,2)</f>
        <v/>
      </c>
      <c r="AF66" s="155">
        <f>MIN($E$17,AH65+AE66)</f>
        <v/>
      </c>
      <c r="AG66" s="155">
        <f>MIN(AH65+AE66-AF66,MAX(0,$AQ66-(E66+I66+M66+Q66+U66+Y66+AC66)))</f>
        <v/>
      </c>
      <c r="AH66" s="155">
        <f>ROUND(AH65+AE66-AF66-AG66,2)</f>
        <v/>
      </c>
      <c r="AI66" s="155">
        <f>ROUND(AL65*$D$18,2)</f>
        <v/>
      </c>
      <c r="AJ66" s="155">
        <f>MIN($E$18,AL65+AI66)</f>
        <v/>
      </c>
      <c r="AK66" s="155">
        <f>MIN(AL65+AI66-AJ66,MAX(0,$AQ66-(E66+I66+M66+Q66+U66+Y66+AC66+AG66)))</f>
        <v/>
      </c>
      <c r="AL66" s="155">
        <f>ROUND(AL65+AI66-AJ66-AK66,2)</f>
        <v/>
      </c>
      <c r="AM66" s="155">
        <f>ROUND(AP65*$D$19,2)</f>
        <v/>
      </c>
      <c r="AN66" s="155">
        <f>MIN($E$19,AP65+AM66)</f>
        <v/>
      </c>
      <c r="AO66" s="155">
        <f>MIN(AP65+AM66-AN66,MAX(0,$AQ66-(E66+I66+M66+Q66+U66+Y66+AC66+AG66+AK66)))</f>
        <v/>
      </c>
      <c r="AP66" s="155">
        <f>ROUND(AP65+AM66-AN66-AO66,2)</f>
        <v/>
      </c>
      <c r="AQ66" s="155">
        <f>MAX(0,$B$6-(D66+H66+L66+P66+T66+X66+AB66+AF66+AJ66+AN66))</f>
        <v/>
      </c>
      <c r="AR66" s="155">
        <f>D66+H66+L66+P66+T66+X66+AB66+AF66+AJ66+AN66+E66+I66+M66+Q66+U66+Y66+AC66+AG66+AK66+AO66</f>
        <v/>
      </c>
      <c r="AS66" s="155">
        <f>C66+G66+K66+O66+S66+W66+AA66+AE66+AI66+AM66</f>
        <v/>
      </c>
      <c r="AT66" s="155">
        <f>F66+J66+N66+R66+V66+Z66+AD66+AH66+AL66+AP66</f>
        <v/>
      </c>
      <c r="AU66" s="157">
        <f>MID(IF(AND(F66=0,F65&gt;0),"; "&amp;$B$10,"")&amp;IF(AND(J66=0,J65&gt;0),"; "&amp;$B$11,"")&amp;IF(AND(N66=0,N65&gt;0),"; "&amp;$B$12,"")&amp;IF(AND(R66=0,R65&gt;0),"; "&amp;$B$13,"")&amp;IF(AND(V66=0,V65&gt;0),"; "&amp;$B$14,"")&amp;IF(AND(Z66=0,Z65&gt;0),"; "&amp;$B$15,"")&amp;IF(AND(AD66=0,AD65&gt;0),"; "&amp;$B$16,"")&amp;IF(AND(AH66=0,AH65&gt;0),"; "&amp;$B$17,"")&amp;IF(AND(AL66=0,AL65&gt;0),"; "&amp;$B$18,"")&amp;IF(AND(AP66=0,AP65&gt;0),"; "&amp;$B$19,""),3,200)</f>
        <v/>
      </c>
    </row>
    <row r="67">
      <c r="A67" s="154" t="n">
        <v>43</v>
      </c>
      <c r="B67" s="156">
        <f>EDATE($B$5,A67-1)</f>
        <v/>
      </c>
      <c r="C67" s="155">
        <f>ROUND(F66*$D$10,2)</f>
        <v/>
      </c>
      <c r="D67" s="155">
        <f>MIN($E$10,F66+C67)</f>
        <v/>
      </c>
      <c r="E67" s="155">
        <f>MIN(F66+C67-D67,MAX(0,$AQ67-(0)))</f>
        <v/>
      </c>
      <c r="F67" s="155">
        <f>ROUND(F66+C67-D67-E67,2)</f>
        <v/>
      </c>
      <c r="G67" s="155">
        <f>ROUND(J66*$D$11,2)</f>
        <v/>
      </c>
      <c r="H67" s="155">
        <f>MIN($E$11,J66+G67)</f>
        <v/>
      </c>
      <c r="I67" s="155">
        <f>MIN(J66+G67-H67,MAX(0,$AQ67-(E67)))</f>
        <v/>
      </c>
      <c r="J67" s="155">
        <f>ROUND(J66+G67-H67-I67,2)</f>
        <v/>
      </c>
      <c r="K67" s="155">
        <f>ROUND(N66*$D$12,2)</f>
        <v/>
      </c>
      <c r="L67" s="155">
        <f>MIN($E$12,N66+K67)</f>
        <v/>
      </c>
      <c r="M67" s="155">
        <f>MIN(N66+K67-L67,MAX(0,$AQ67-(E67+I67)))</f>
        <v/>
      </c>
      <c r="N67" s="155">
        <f>ROUND(N66+K67-L67-M67,2)</f>
        <v/>
      </c>
      <c r="O67" s="155">
        <f>ROUND(R66*$D$13,2)</f>
        <v/>
      </c>
      <c r="P67" s="155">
        <f>MIN($E$13,R66+O67)</f>
        <v/>
      </c>
      <c r="Q67" s="155">
        <f>MIN(R66+O67-P67,MAX(0,$AQ67-(E67+I67+M67)))</f>
        <v/>
      </c>
      <c r="R67" s="155">
        <f>ROUND(R66+O67-P67-Q67,2)</f>
        <v/>
      </c>
      <c r="S67" s="155">
        <f>ROUND(V66*$D$14,2)</f>
        <v/>
      </c>
      <c r="T67" s="155">
        <f>MIN($E$14,V66+S67)</f>
        <v/>
      </c>
      <c r="U67" s="155">
        <f>MIN(V66+S67-T67,MAX(0,$AQ67-(E67+I67+M67+Q67)))</f>
        <v/>
      </c>
      <c r="V67" s="155">
        <f>ROUND(V66+S67-T67-U67,2)</f>
        <v/>
      </c>
      <c r="W67" s="155">
        <f>ROUND(Z66*$D$15,2)</f>
        <v/>
      </c>
      <c r="X67" s="155">
        <f>MIN($E$15,Z66+W67)</f>
        <v/>
      </c>
      <c r="Y67" s="155">
        <f>MIN(Z66+W67-X67,MAX(0,$AQ67-(E67+I67+M67+Q67+U67)))</f>
        <v/>
      </c>
      <c r="Z67" s="155">
        <f>ROUND(Z66+W67-X67-Y67,2)</f>
        <v/>
      </c>
      <c r="AA67" s="155">
        <f>ROUND(AD66*$D$16,2)</f>
        <v/>
      </c>
      <c r="AB67" s="155">
        <f>MIN($E$16,AD66+AA67)</f>
        <v/>
      </c>
      <c r="AC67" s="155">
        <f>MIN(AD66+AA67-AB67,MAX(0,$AQ67-(E67+I67+M67+Q67+U67+Y67)))</f>
        <v/>
      </c>
      <c r="AD67" s="155">
        <f>ROUND(AD66+AA67-AB67-AC67,2)</f>
        <v/>
      </c>
      <c r="AE67" s="155">
        <f>ROUND(AH66*$D$17,2)</f>
        <v/>
      </c>
      <c r="AF67" s="155">
        <f>MIN($E$17,AH66+AE67)</f>
        <v/>
      </c>
      <c r="AG67" s="155">
        <f>MIN(AH66+AE67-AF67,MAX(0,$AQ67-(E67+I67+M67+Q67+U67+Y67+AC67)))</f>
        <v/>
      </c>
      <c r="AH67" s="155">
        <f>ROUND(AH66+AE67-AF67-AG67,2)</f>
        <v/>
      </c>
      <c r="AI67" s="155">
        <f>ROUND(AL66*$D$18,2)</f>
        <v/>
      </c>
      <c r="AJ67" s="155">
        <f>MIN($E$18,AL66+AI67)</f>
        <v/>
      </c>
      <c r="AK67" s="155">
        <f>MIN(AL66+AI67-AJ67,MAX(0,$AQ67-(E67+I67+M67+Q67+U67+Y67+AC67+AG67)))</f>
        <v/>
      </c>
      <c r="AL67" s="155">
        <f>ROUND(AL66+AI67-AJ67-AK67,2)</f>
        <v/>
      </c>
      <c r="AM67" s="155">
        <f>ROUND(AP66*$D$19,2)</f>
        <v/>
      </c>
      <c r="AN67" s="155">
        <f>MIN($E$19,AP66+AM67)</f>
        <v/>
      </c>
      <c r="AO67" s="155">
        <f>MIN(AP66+AM67-AN67,MAX(0,$AQ67-(E67+I67+M67+Q67+U67+Y67+AC67+AG67+AK67)))</f>
        <v/>
      </c>
      <c r="AP67" s="155">
        <f>ROUND(AP66+AM67-AN67-AO67,2)</f>
        <v/>
      </c>
      <c r="AQ67" s="155">
        <f>MAX(0,$B$6-(D67+H67+L67+P67+T67+X67+AB67+AF67+AJ67+AN67))</f>
        <v/>
      </c>
      <c r="AR67" s="155">
        <f>D67+H67+L67+P67+T67+X67+AB67+AF67+AJ67+AN67+E67+I67+M67+Q67+U67+Y67+AC67+AG67+AK67+AO67</f>
        <v/>
      </c>
      <c r="AS67" s="155">
        <f>C67+G67+K67+O67+S67+W67+AA67+AE67+AI67+AM67</f>
        <v/>
      </c>
      <c r="AT67" s="155">
        <f>F67+J67+N67+R67+V67+Z67+AD67+AH67+AL67+AP67</f>
        <v/>
      </c>
      <c r="AU67" s="157">
        <f>MID(IF(AND(F67=0,F66&gt;0),"; "&amp;$B$10,"")&amp;IF(AND(J67=0,J66&gt;0),"; "&amp;$B$11,"")&amp;IF(AND(N67=0,N66&gt;0),"; "&amp;$B$12,"")&amp;IF(AND(R67=0,R66&gt;0),"; "&amp;$B$13,"")&amp;IF(AND(V67=0,V66&gt;0),"; "&amp;$B$14,"")&amp;IF(AND(Z67=0,Z66&gt;0),"; "&amp;$B$15,"")&amp;IF(AND(AD67=0,AD66&gt;0),"; "&amp;$B$16,"")&amp;IF(AND(AH67=0,AH66&gt;0),"; "&amp;$B$17,"")&amp;IF(AND(AL67=0,AL66&gt;0),"; "&amp;$B$18,"")&amp;IF(AND(AP67=0,AP66&gt;0),"; "&amp;$B$19,""),3,200)</f>
        <v/>
      </c>
    </row>
    <row r="68">
      <c r="A68" s="154" t="n">
        <v>44</v>
      </c>
      <c r="B68" s="156">
        <f>EDATE($B$5,A68-1)</f>
        <v/>
      </c>
      <c r="C68" s="155">
        <f>ROUND(F67*$D$10,2)</f>
        <v/>
      </c>
      <c r="D68" s="155">
        <f>MIN($E$10,F67+C68)</f>
        <v/>
      </c>
      <c r="E68" s="155">
        <f>MIN(F67+C68-D68,MAX(0,$AQ68-(0)))</f>
        <v/>
      </c>
      <c r="F68" s="155">
        <f>ROUND(F67+C68-D68-E68,2)</f>
        <v/>
      </c>
      <c r="G68" s="155">
        <f>ROUND(J67*$D$11,2)</f>
        <v/>
      </c>
      <c r="H68" s="155">
        <f>MIN($E$11,J67+G68)</f>
        <v/>
      </c>
      <c r="I68" s="155">
        <f>MIN(J67+G68-H68,MAX(0,$AQ68-(E68)))</f>
        <v/>
      </c>
      <c r="J68" s="155">
        <f>ROUND(J67+G68-H68-I68,2)</f>
        <v/>
      </c>
      <c r="K68" s="155">
        <f>ROUND(N67*$D$12,2)</f>
        <v/>
      </c>
      <c r="L68" s="155">
        <f>MIN($E$12,N67+K68)</f>
        <v/>
      </c>
      <c r="M68" s="155">
        <f>MIN(N67+K68-L68,MAX(0,$AQ68-(E68+I68)))</f>
        <v/>
      </c>
      <c r="N68" s="155">
        <f>ROUND(N67+K68-L68-M68,2)</f>
        <v/>
      </c>
      <c r="O68" s="155">
        <f>ROUND(R67*$D$13,2)</f>
        <v/>
      </c>
      <c r="P68" s="155">
        <f>MIN($E$13,R67+O68)</f>
        <v/>
      </c>
      <c r="Q68" s="155">
        <f>MIN(R67+O68-P68,MAX(0,$AQ68-(E68+I68+M68)))</f>
        <v/>
      </c>
      <c r="R68" s="155">
        <f>ROUND(R67+O68-P68-Q68,2)</f>
        <v/>
      </c>
      <c r="S68" s="155">
        <f>ROUND(V67*$D$14,2)</f>
        <v/>
      </c>
      <c r="T68" s="155">
        <f>MIN($E$14,V67+S68)</f>
        <v/>
      </c>
      <c r="U68" s="155">
        <f>MIN(V67+S68-T68,MAX(0,$AQ68-(E68+I68+M68+Q68)))</f>
        <v/>
      </c>
      <c r="V68" s="155">
        <f>ROUND(V67+S68-T68-U68,2)</f>
        <v/>
      </c>
      <c r="W68" s="155">
        <f>ROUND(Z67*$D$15,2)</f>
        <v/>
      </c>
      <c r="X68" s="155">
        <f>MIN($E$15,Z67+W68)</f>
        <v/>
      </c>
      <c r="Y68" s="155">
        <f>MIN(Z67+W68-X68,MAX(0,$AQ68-(E68+I68+M68+Q68+U68)))</f>
        <v/>
      </c>
      <c r="Z68" s="155">
        <f>ROUND(Z67+W68-X68-Y68,2)</f>
        <v/>
      </c>
      <c r="AA68" s="155">
        <f>ROUND(AD67*$D$16,2)</f>
        <v/>
      </c>
      <c r="AB68" s="155">
        <f>MIN($E$16,AD67+AA68)</f>
        <v/>
      </c>
      <c r="AC68" s="155">
        <f>MIN(AD67+AA68-AB68,MAX(0,$AQ68-(E68+I68+M68+Q68+U68+Y68)))</f>
        <v/>
      </c>
      <c r="AD68" s="155">
        <f>ROUND(AD67+AA68-AB68-AC68,2)</f>
        <v/>
      </c>
      <c r="AE68" s="155">
        <f>ROUND(AH67*$D$17,2)</f>
        <v/>
      </c>
      <c r="AF68" s="155">
        <f>MIN($E$17,AH67+AE68)</f>
        <v/>
      </c>
      <c r="AG68" s="155">
        <f>MIN(AH67+AE68-AF68,MAX(0,$AQ68-(E68+I68+M68+Q68+U68+Y68+AC68)))</f>
        <v/>
      </c>
      <c r="AH68" s="155">
        <f>ROUND(AH67+AE68-AF68-AG68,2)</f>
        <v/>
      </c>
      <c r="AI68" s="155">
        <f>ROUND(AL67*$D$18,2)</f>
        <v/>
      </c>
      <c r="AJ68" s="155">
        <f>MIN($E$18,AL67+AI68)</f>
        <v/>
      </c>
      <c r="AK68" s="155">
        <f>MIN(AL67+AI68-AJ68,MAX(0,$AQ68-(E68+I68+M68+Q68+U68+Y68+AC68+AG68)))</f>
        <v/>
      </c>
      <c r="AL68" s="155">
        <f>ROUND(AL67+AI68-AJ68-AK68,2)</f>
        <v/>
      </c>
      <c r="AM68" s="155">
        <f>ROUND(AP67*$D$19,2)</f>
        <v/>
      </c>
      <c r="AN68" s="155">
        <f>MIN($E$19,AP67+AM68)</f>
        <v/>
      </c>
      <c r="AO68" s="155">
        <f>MIN(AP67+AM68-AN68,MAX(0,$AQ68-(E68+I68+M68+Q68+U68+Y68+AC68+AG68+AK68)))</f>
        <v/>
      </c>
      <c r="AP68" s="155">
        <f>ROUND(AP67+AM68-AN68-AO68,2)</f>
        <v/>
      </c>
      <c r="AQ68" s="155">
        <f>MAX(0,$B$6-(D68+H68+L68+P68+T68+X68+AB68+AF68+AJ68+AN68))</f>
        <v/>
      </c>
      <c r="AR68" s="155">
        <f>D68+H68+L68+P68+T68+X68+AB68+AF68+AJ68+AN68+E68+I68+M68+Q68+U68+Y68+AC68+AG68+AK68+AO68</f>
        <v/>
      </c>
      <c r="AS68" s="155">
        <f>C68+G68+K68+O68+S68+W68+AA68+AE68+AI68+AM68</f>
        <v/>
      </c>
      <c r="AT68" s="155">
        <f>F68+J68+N68+R68+V68+Z68+AD68+AH68+AL68+AP68</f>
        <v/>
      </c>
      <c r="AU68" s="157">
        <f>MID(IF(AND(F68=0,F67&gt;0),"; "&amp;$B$10,"")&amp;IF(AND(J68=0,J67&gt;0),"; "&amp;$B$11,"")&amp;IF(AND(N68=0,N67&gt;0),"; "&amp;$B$12,"")&amp;IF(AND(R68=0,R67&gt;0),"; "&amp;$B$13,"")&amp;IF(AND(V68=0,V67&gt;0),"; "&amp;$B$14,"")&amp;IF(AND(Z68=0,Z67&gt;0),"; "&amp;$B$15,"")&amp;IF(AND(AD68=0,AD67&gt;0),"; "&amp;$B$16,"")&amp;IF(AND(AH68=0,AH67&gt;0),"; "&amp;$B$17,"")&amp;IF(AND(AL68=0,AL67&gt;0),"; "&amp;$B$18,"")&amp;IF(AND(AP68=0,AP67&gt;0),"; "&amp;$B$19,""),3,200)</f>
        <v/>
      </c>
    </row>
    <row r="69">
      <c r="A69" s="154" t="n">
        <v>45</v>
      </c>
      <c r="B69" s="156">
        <f>EDATE($B$5,A69-1)</f>
        <v/>
      </c>
      <c r="C69" s="155">
        <f>ROUND(F68*$D$10,2)</f>
        <v/>
      </c>
      <c r="D69" s="155">
        <f>MIN($E$10,F68+C69)</f>
        <v/>
      </c>
      <c r="E69" s="155">
        <f>MIN(F68+C69-D69,MAX(0,$AQ69-(0)))</f>
        <v/>
      </c>
      <c r="F69" s="155">
        <f>ROUND(F68+C69-D69-E69,2)</f>
        <v/>
      </c>
      <c r="G69" s="155">
        <f>ROUND(J68*$D$11,2)</f>
        <v/>
      </c>
      <c r="H69" s="155">
        <f>MIN($E$11,J68+G69)</f>
        <v/>
      </c>
      <c r="I69" s="155">
        <f>MIN(J68+G69-H69,MAX(0,$AQ69-(E69)))</f>
        <v/>
      </c>
      <c r="J69" s="155">
        <f>ROUND(J68+G69-H69-I69,2)</f>
        <v/>
      </c>
      <c r="K69" s="155">
        <f>ROUND(N68*$D$12,2)</f>
        <v/>
      </c>
      <c r="L69" s="155">
        <f>MIN($E$12,N68+K69)</f>
        <v/>
      </c>
      <c r="M69" s="155">
        <f>MIN(N68+K69-L69,MAX(0,$AQ69-(E69+I69)))</f>
        <v/>
      </c>
      <c r="N69" s="155">
        <f>ROUND(N68+K69-L69-M69,2)</f>
        <v/>
      </c>
      <c r="O69" s="155">
        <f>ROUND(R68*$D$13,2)</f>
        <v/>
      </c>
      <c r="P69" s="155">
        <f>MIN($E$13,R68+O69)</f>
        <v/>
      </c>
      <c r="Q69" s="155">
        <f>MIN(R68+O69-P69,MAX(0,$AQ69-(E69+I69+M69)))</f>
        <v/>
      </c>
      <c r="R69" s="155">
        <f>ROUND(R68+O69-P69-Q69,2)</f>
        <v/>
      </c>
      <c r="S69" s="155">
        <f>ROUND(V68*$D$14,2)</f>
        <v/>
      </c>
      <c r="T69" s="155">
        <f>MIN($E$14,V68+S69)</f>
        <v/>
      </c>
      <c r="U69" s="155">
        <f>MIN(V68+S69-T69,MAX(0,$AQ69-(E69+I69+M69+Q69)))</f>
        <v/>
      </c>
      <c r="V69" s="155">
        <f>ROUND(V68+S69-T69-U69,2)</f>
        <v/>
      </c>
      <c r="W69" s="155">
        <f>ROUND(Z68*$D$15,2)</f>
        <v/>
      </c>
      <c r="X69" s="155">
        <f>MIN($E$15,Z68+W69)</f>
        <v/>
      </c>
      <c r="Y69" s="155">
        <f>MIN(Z68+W69-X69,MAX(0,$AQ69-(E69+I69+M69+Q69+U69)))</f>
        <v/>
      </c>
      <c r="Z69" s="155">
        <f>ROUND(Z68+W69-X69-Y69,2)</f>
        <v/>
      </c>
      <c r="AA69" s="155">
        <f>ROUND(AD68*$D$16,2)</f>
        <v/>
      </c>
      <c r="AB69" s="155">
        <f>MIN($E$16,AD68+AA69)</f>
        <v/>
      </c>
      <c r="AC69" s="155">
        <f>MIN(AD68+AA69-AB69,MAX(0,$AQ69-(E69+I69+M69+Q69+U69+Y69)))</f>
        <v/>
      </c>
      <c r="AD69" s="155">
        <f>ROUND(AD68+AA69-AB69-AC69,2)</f>
        <v/>
      </c>
      <c r="AE69" s="155">
        <f>ROUND(AH68*$D$17,2)</f>
        <v/>
      </c>
      <c r="AF69" s="155">
        <f>MIN($E$17,AH68+AE69)</f>
        <v/>
      </c>
      <c r="AG69" s="155">
        <f>MIN(AH68+AE69-AF69,MAX(0,$AQ69-(E69+I69+M69+Q69+U69+Y69+AC69)))</f>
        <v/>
      </c>
      <c r="AH69" s="155">
        <f>ROUND(AH68+AE69-AF69-AG69,2)</f>
        <v/>
      </c>
      <c r="AI69" s="155">
        <f>ROUND(AL68*$D$18,2)</f>
        <v/>
      </c>
      <c r="AJ69" s="155">
        <f>MIN($E$18,AL68+AI69)</f>
        <v/>
      </c>
      <c r="AK69" s="155">
        <f>MIN(AL68+AI69-AJ69,MAX(0,$AQ69-(E69+I69+M69+Q69+U69+Y69+AC69+AG69)))</f>
        <v/>
      </c>
      <c r="AL69" s="155">
        <f>ROUND(AL68+AI69-AJ69-AK69,2)</f>
        <v/>
      </c>
      <c r="AM69" s="155">
        <f>ROUND(AP68*$D$19,2)</f>
        <v/>
      </c>
      <c r="AN69" s="155">
        <f>MIN($E$19,AP68+AM69)</f>
        <v/>
      </c>
      <c r="AO69" s="155">
        <f>MIN(AP68+AM69-AN69,MAX(0,$AQ69-(E69+I69+M69+Q69+U69+Y69+AC69+AG69+AK69)))</f>
        <v/>
      </c>
      <c r="AP69" s="155">
        <f>ROUND(AP68+AM69-AN69-AO69,2)</f>
        <v/>
      </c>
      <c r="AQ69" s="155">
        <f>MAX(0,$B$6-(D69+H69+L69+P69+T69+X69+AB69+AF69+AJ69+AN69))</f>
        <v/>
      </c>
      <c r="AR69" s="155">
        <f>D69+H69+L69+P69+T69+X69+AB69+AF69+AJ69+AN69+E69+I69+M69+Q69+U69+Y69+AC69+AG69+AK69+AO69</f>
        <v/>
      </c>
      <c r="AS69" s="155">
        <f>C69+G69+K69+O69+S69+W69+AA69+AE69+AI69+AM69</f>
        <v/>
      </c>
      <c r="AT69" s="155">
        <f>F69+J69+N69+R69+V69+Z69+AD69+AH69+AL69+AP69</f>
        <v/>
      </c>
      <c r="AU69" s="157">
        <f>MID(IF(AND(F69=0,F68&gt;0),"; "&amp;$B$10,"")&amp;IF(AND(J69=0,J68&gt;0),"; "&amp;$B$11,"")&amp;IF(AND(N69=0,N68&gt;0),"; "&amp;$B$12,"")&amp;IF(AND(R69=0,R68&gt;0),"; "&amp;$B$13,"")&amp;IF(AND(V69=0,V68&gt;0),"; "&amp;$B$14,"")&amp;IF(AND(Z69=0,Z68&gt;0),"; "&amp;$B$15,"")&amp;IF(AND(AD69=0,AD68&gt;0),"; "&amp;$B$16,"")&amp;IF(AND(AH69=0,AH68&gt;0),"; "&amp;$B$17,"")&amp;IF(AND(AL69=0,AL68&gt;0),"; "&amp;$B$18,"")&amp;IF(AND(AP69=0,AP68&gt;0),"; "&amp;$B$19,""),3,200)</f>
        <v/>
      </c>
    </row>
    <row r="70">
      <c r="A70" s="154" t="n">
        <v>46</v>
      </c>
      <c r="B70" s="156">
        <f>EDATE($B$5,A70-1)</f>
        <v/>
      </c>
      <c r="C70" s="155">
        <f>ROUND(F69*$D$10,2)</f>
        <v/>
      </c>
      <c r="D70" s="155">
        <f>MIN($E$10,F69+C70)</f>
        <v/>
      </c>
      <c r="E70" s="155">
        <f>MIN(F69+C70-D70,MAX(0,$AQ70-(0)))</f>
        <v/>
      </c>
      <c r="F70" s="155">
        <f>ROUND(F69+C70-D70-E70,2)</f>
        <v/>
      </c>
      <c r="G70" s="155">
        <f>ROUND(J69*$D$11,2)</f>
        <v/>
      </c>
      <c r="H70" s="155">
        <f>MIN($E$11,J69+G70)</f>
        <v/>
      </c>
      <c r="I70" s="155">
        <f>MIN(J69+G70-H70,MAX(0,$AQ70-(E70)))</f>
        <v/>
      </c>
      <c r="J70" s="155">
        <f>ROUND(J69+G70-H70-I70,2)</f>
        <v/>
      </c>
      <c r="K70" s="155">
        <f>ROUND(N69*$D$12,2)</f>
        <v/>
      </c>
      <c r="L70" s="155">
        <f>MIN($E$12,N69+K70)</f>
        <v/>
      </c>
      <c r="M70" s="155">
        <f>MIN(N69+K70-L70,MAX(0,$AQ70-(E70+I70)))</f>
        <v/>
      </c>
      <c r="N70" s="155">
        <f>ROUND(N69+K70-L70-M70,2)</f>
        <v/>
      </c>
      <c r="O70" s="155">
        <f>ROUND(R69*$D$13,2)</f>
        <v/>
      </c>
      <c r="P70" s="155">
        <f>MIN($E$13,R69+O70)</f>
        <v/>
      </c>
      <c r="Q70" s="155">
        <f>MIN(R69+O70-P70,MAX(0,$AQ70-(E70+I70+M70)))</f>
        <v/>
      </c>
      <c r="R70" s="155">
        <f>ROUND(R69+O70-P70-Q70,2)</f>
        <v/>
      </c>
      <c r="S70" s="155">
        <f>ROUND(V69*$D$14,2)</f>
        <v/>
      </c>
      <c r="T70" s="155">
        <f>MIN($E$14,V69+S70)</f>
        <v/>
      </c>
      <c r="U70" s="155">
        <f>MIN(V69+S70-T70,MAX(0,$AQ70-(E70+I70+M70+Q70)))</f>
        <v/>
      </c>
      <c r="V70" s="155">
        <f>ROUND(V69+S70-T70-U70,2)</f>
        <v/>
      </c>
      <c r="W70" s="155">
        <f>ROUND(Z69*$D$15,2)</f>
        <v/>
      </c>
      <c r="X70" s="155">
        <f>MIN($E$15,Z69+W70)</f>
        <v/>
      </c>
      <c r="Y70" s="155">
        <f>MIN(Z69+W70-X70,MAX(0,$AQ70-(E70+I70+M70+Q70+U70)))</f>
        <v/>
      </c>
      <c r="Z70" s="155">
        <f>ROUND(Z69+W70-X70-Y70,2)</f>
        <v/>
      </c>
      <c r="AA70" s="155">
        <f>ROUND(AD69*$D$16,2)</f>
        <v/>
      </c>
      <c r="AB70" s="155">
        <f>MIN($E$16,AD69+AA70)</f>
        <v/>
      </c>
      <c r="AC70" s="155">
        <f>MIN(AD69+AA70-AB70,MAX(0,$AQ70-(E70+I70+M70+Q70+U70+Y70)))</f>
        <v/>
      </c>
      <c r="AD70" s="155">
        <f>ROUND(AD69+AA70-AB70-AC70,2)</f>
        <v/>
      </c>
      <c r="AE70" s="155">
        <f>ROUND(AH69*$D$17,2)</f>
        <v/>
      </c>
      <c r="AF70" s="155">
        <f>MIN($E$17,AH69+AE70)</f>
        <v/>
      </c>
      <c r="AG70" s="155">
        <f>MIN(AH69+AE70-AF70,MAX(0,$AQ70-(E70+I70+M70+Q70+U70+Y70+AC70)))</f>
        <v/>
      </c>
      <c r="AH70" s="155">
        <f>ROUND(AH69+AE70-AF70-AG70,2)</f>
        <v/>
      </c>
      <c r="AI70" s="155">
        <f>ROUND(AL69*$D$18,2)</f>
        <v/>
      </c>
      <c r="AJ70" s="155">
        <f>MIN($E$18,AL69+AI70)</f>
        <v/>
      </c>
      <c r="AK70" s="155">
        <f>MIN(AL69+AI70-AJ70,MAX(0,$AQ70-(E70+I70+M70+Q70+U70+Y70+AC70+AG70)))</f>
        <v/>
      </c>
      <c r="AL70" s="155">
        <f>ROUND(AL69+AI70-AJ70-AK70,2)</f>
        <v/>
      </c>
      <c r="AM70" s="155">
        <f>ROUND(AP69*$D$19,2)</f>
        <v/>
      </c>
      <c r="AN70" s="155">
        <f>MIN($E$19,AP69+AM70)</f>
        <v/>
      </c>
      <c r="AO70" s="155">
        <f>MIN(AP69+AM70-AN70,MAX(0,$AQ70-(E70+I70+M70+Q70+U70+Y70+AC70+AG70+AK70)))</f>
        <v/>
      </c>
      <c r="AP70" s="155">
        <f>ROUND(AP69+AM70-AN70-AO70,2)</f>
        <v/>
      </c>
      <c r="AQ70" s="155">
        <f>MAX(0,$B$6-(D70+H70+L70+P70+T70+X70+AB70+AF70+AJ70+AN70))</f>
        <v/>
      </c>
      <c r="AR70" s="155">
        <f>D70+H70+L70+P70+T70+X70+AB70+AF70+AJ70+AN70+E70+I70+M70+Q70+U70+Y70+AC70+AG70+AK70+AO70</f>
        <v/>
      </c>
      <c r="AS70" s="155">
        <f>C70+G70+K70+O70+S70+W70+AA70+AE70+AI70+AM70</f>
        <v/>
      </c>
      <c r="AT70" s="155">
        <f>F70+J70+N70+R70+V70+Z70+AD70+AH70+AL70+AP70</f>
        <v/>
      </c>
      <c r="AU70" s="157">
        <f>MID(IF(AND(F70=0,F69&gt;0),"; "&amp;$B$10,"")&amp;IF(AND(J70=0,J69&gt;0),"; "&amp;$B$11,"")&amp;IF(AND(N70=0,N69&gt;0),"; "&amp;$B$12,"")&amp;IF(AND(R70=0,R69&gt;0),"; "&amp;$B$13,"")&amp;IF(AND(V70=0,V69&gt;0),"; "&amp;$B$14,"")&amp;IF(AND(Z70=0,Z69&gt;0),"; "&amp;$B$15,"")&amp;IF(AND(AD70=0,AD69&gt;0),"; "&amp;$B$16,"")&amp;IF(AND(AH70=0,AH69&gt;0),"; "&amp;$B$17,"")&amp;IF(AND(AL70=0,AL69&gt;0),"; "&amp;$B$18,"")&amp;IF(AND(AP70=0,AP69&gt;0),"; "&amp;$B$19,""),3,200)</f>
        <v/>
      </c>
    </row>
    <row r="71">
      <c r="A71" s="154" t="n">
        <v>47</v>
      </c>
      <c r="B71" s="156">
        <f>EDATE($B$5,A71-1)</f>
        <v/>
      </c>
      <c r="C71" s="155">
        <f>ROUND(F70*$D$10,2)</f>
        <v/>
      </c>
      <c r="D71" s="155">
        <f>MIN($E$10,F70+C71)</f>
        <v/>
      </c>
      <c r="E71" s="155">
        <f>MIN(F70+C71-D71,MAX(0,$AQ71-(0)))</f>
        <v/>
      </c>
      <c r="F71" s="155">
        <f>ROUND(F70+C71-D71-E71,2)</f>
        <v/>
      </c>
      <c r="G71" s="155">
        <f>ROUND(J70*$D$11,2)</f>
        <v/>
      </c>
      <c r="H71" s="155">
        <f>MIN($E$11,J70+G71)</f>
        <v/>
      </c>
      <c r="I71" s="155">
        <f>MIN(J70+G71-H71,MAX(0,$AQ71-(E71)))</f>
        <v/>
      </c>
      <c r="J71" s="155">
        <f>ROUND(J70+G71-H71-I71,2)</f>
        <v/>
      </c>
      <c r="K71" s="155">
        <f>ROUND(N70*$D$12,2)</f>
        <v/>
      </c>
      <c r="L71" s="155">
        <f>MIN($E$12,N70+K71)</f>
        <v/>
      </c>
      <c r="M71" s="155">
        <f>MIN(N70+K71-L71,MAX(0,$AQ71-(E71+I71)))</f>
        <v/>
      </c>
      <c r="N71" s="155">
        <f>ROUND(N70+K71-L71-M71,2)</f>
        <v/>
      </c>
      <c r="O71" s="155">
        <f>ROUND(R70*$D$13,2)</f>
        <v/>
      </c>
      <c r="P71" s="155">
        <f>MIN($E$13,R70+O71)</f>
        <v/>
      </c>
      <c r="Q71" s="155">
        <f>MIN(R70+O71-P71,MAX(0,$AQ71-(E71+I71+M71)))</f>
        <v/>
      </c>
      <c r="R71" s="155">
        <f>ROUND(R70+O71-P71-Q71,2)</f>
        <v/>
      </c>
      <c r="S71" s="155">
        <f>ROUND(V70*$D$14,2)</f>
        <v/>
      </c>
      <c r="T71" s="155">
        <f>MIN($E$14,V70+S71)</f>
        <v/>
      </c>
      <c r="U71" s="155">
        <f>MIN(V70+S71-T71,MAX(0,$AQ71-(E71+I71+M71+Q71)))</f>
        <v/>
      </c>
      <c r="V71" s="155">
        <f>ROUND(V70+S71-T71-U71,2)</f>
        <v/>
      </c>
      <c r="W71" s="155">
        <f>ROUND(Z70*$D$15,2)</f>
        <v/>
      </c>
      <c r="X71" s="155">
        <f>MIN($E$15,Z70+W71)</f>
        <v/>
      </c>
      <c r="Y71" s="155">
        <f>MIN(Z70+W71-X71,MAX(0,$AQ71-(E71+I71+M71+Q71+U71)))</f>
        <v/>
      </c>
      <c r="Z71" s="155">
        <f>ROUND(Z70+W71-X71-Y71,2)</f>
        <v/>
      </c>
      <c r="AA71" s="155">
        <f>ROUND(AD70*$D$16,2)</f>
        <v/>
      </c>
      <c r="AB71" s="155">
        <f>MIN($E$16,AD70+AA71)</f>
        <v/>
      </c>
      <c r="AC71" s="155">
        <f>MIN(AD70+AA71-AB71,MAX(0,$AQ71-(E71+I71+M71+Q71+U71+Y71)))</f>
        <v/>
      </c>
      <c r="AD71" s="155">
        <f>ROUND(AD70+AA71-AB71-AC71,2)</f>
        <v/>
      </c>
      <c r="AE71" s="155">
        <f>ROUND(AH70*$D$17,2)</f>
        <v/>
      </c>
      <c r="AF71" s="155">
        <f>MIN($E$17,AH70+AE71)</f>
        <v/>
      </c>
      <c r="AG71" s="155">
        <f>MIN(AH70+AE71-AF71,MAX(0,$AQ71-(E71+I71+M71+Q71+U71+Y71+AC71)))</f>
        <v/>
      </c>
      <c r="AH71" s="155">
        <f>ROUND(AH70+AE71-AF71-AG71,2)</f>
        <v/>
      </c>
      <c r="AI71" s="155">
        <f>ROUND(AL70*$D$18,2)</f>
        <v/>
      </c>
      <c r="AJ71" s="155">
        <f>MIN($E$18,AL70+AI71)</f>
        <v/>
      </c>
      <c r="AK71" s="155">
        <f>MIN(AL70+AI71-AJ71,MAX(0,$AQ71-(E71+I71+M71+Q71+U71+Y71+AC71+AG71)))</f>
        <v/>
      </c>
      <c r="AL71" s="155">
        <f>ROUND(AL70+AI71-AJ71-AK71,2)</f>
        <v/>
      </c>
      <c r="AM71" s="155">
        <f>ROUND(AP70*$D$19,2)</f>
        <v/>
      </c>
      <c r="AN71" s="155">
        <f>MIN($E$19,AP70+AM71)</f>
        <v/>
      </c>
      <c r="AO71" s="155">
        <f>MIN(AP70+AM71-AN71,MAX(0,$AQ71-(E71+I71+M71+Q71+U71+Y71+AC71+AG71+AK71)))</f>
        <v/>
      </c>
      <c r="AP71" s="155">
        <f>ROUND(AP70+AM71-AN71-AO71,2)</f>
        <v/>
      </c>
      <c r="AQ71" s="155">
        <f>MAX(0,$B$6-(D71+H71+L71+P71+T71+X71+AB71+AF71+AJ71+AN71))</f>
        <v/>
      </c>
      <c r="AR71" s="155">
        <f>D71+H71+L71+P71+T71+X71+AB71+AF71+AJ71+AN71+E71+I71+M71+Q71+U71+Y71+AC71+AG71+AK71+AO71</f>
        <v/>
      </c>
      <c r="AS71" s="155">
        <f>C71+G71+K71+O71+S71+W71+AA71+AE71+AI71+AM71</f>
        <v/>
      </c>
      <c r="AT71" s="155">
        <f>F71+J71+N71+R71+V71+Z71+AD71+AH71+AL71+AP71</f>
        <v/>
      </c>
      <c r="AU71" s="157">
        <f>MID(IF(AND(F71=0,F70&gt;0),"; "&amp;$B$10,"")&amp;IF(AND(J71=0,J70&gt;0),"; "&amp;$B$11,"")&amp;IF(AND(N71=0,N70&gt;0),"; "&amp;$B$12,"")&amp;IF(AND(R71=0,R70&gt;0),"; "&amp;$B$13,"")&amp;IF(AND(V71=0,V70&gt;0),"; "&amp;$B$14,"")&amp;IF(AND(Z71=0,Z70&gt;0),"; "&amp;$B$15,"")&amp;IF(AND(AD71=0,AD70&gt;0),"; "&amp;$B$16,"")&amp;IF(AND(AH71=0,AH70&gt;0),"; "&amp;$B$17,"")&amp;IF(AND(AL71=0,AL70&gt;0),"; "&amp;$B$18,"")&amp;IF(AND(AP71=0,AP70&gt;0),"; "&amp;$B$19,""),3,200)</f>
        <v/>
      </c>
    </row>
    <row r="72">
      <c r="A72" s="154" t="n">
        <v>48</v>
      </c>
      <c r="B72" s="156">
        <f>EDATE($B$5,A72-1)</f>
        <v/>
      </c>
      <c r="C72" s="155">
        <f>ROUND(F71*$D$10,2)</f>
        <v/>
      </c>
      <c r="D72" s="155">
        <f>MIN($E$10,F71+C72)</f>
        <v/>
      </c>
      <c r="E72" s="155">
        <f>MIN(F71+C72-D72,MAX(0,$AQ72-(0)))</f>
        <v/>
      </c>
      <c r="F72" s="155">
        <f>ROUND(F71+C72-D72-E72,2)</f>
        <v/>
      </c>
      <c r="G72" s="155">
        <f>ROUND(J71*$D$11,2)</f>
        <v/>
      </c>
      <c r="H72" s="155">
        <f>MIN($E$11,J71+G72)</f>
        <v/>
      </c>
      <c r="I72" s="155">
        <f>MIN(J71+G72-H72,MAX(0,$AQ72-(E72)))</f>
        <v/>
      </c>
      <c r="J72" s="155">
        <f>ROUND(J71+G72-H72-I72,2)</f>
        <v/>
      </c>
      <c r="K72" s="155">
        <f>ROUND(N71*$D$12,2)</f>
        <v/>
      </c>
      <c r="L72" s="155">
        <f>MIN($E$12,N71+K72)</f>
        <v/>
      </c>
      <c r="M72" s="155">
        <f>MIN(N71+K72-L72,MAX(0,$AQ72-(E72+I72)))</f>
        <v/>
      </c>
      <c r="N72" s="155">
        <f>ROUND(N71+K72-L72-M72,2)</f>
        <v/>
      </c>
      <c r="O72" s="155">
        <f>ROUND(R71*$D$13,2)</f>
        <v/>
      </c>
      <c r="P72" s="155">
        <f>MIN($E$13,R71+O72)</f>
        <v/>
      </c>
      <c r="Q72" s="155">
        <f>MIN(R71+O72-P72,MAX(0,$AQ72-(E72+I72+M72)))</f>
        <v/>
      </c>
      <c r="R72" s="155">
        <f>ROUND(R71+O72-P72-Q72,2)</f>
        <v/>
      </c>
      <c r="S72" s="155">
        <f>ROUND(V71*$D$14,2)</f>
        <v/>
      </c>
      <c r="T72" s="155">
        <f>MIN($E$14,V71+S72)</f>
        <v/>
      </c>
      <c r="U72" s="155">
        <f>MIN(V71+S72-T72,MAX(0,$AQ72-(E72+I72+M72+Q72)))</f>
        <v/>
      </c>
      <c r="V72" s="155">
        <f>ROUND(V71+S72-T72-U72,2)</f>
        <v/>
      </c>
      <c r="W72" s="155">
        <f>ROUND(Z71*$D$15,2)</f>
        <v/>
      </c>
      <c r="X72" s="155">
        <f>MIN($E$15,Z71+W72)</f>
        <v/>
      </c>
      <c r="Y72" s="155">
        <f>MIN(Z71+W72-X72,MAX(0,$AQ72-(E72+I72+M72+Q72+U72)))</f>
        <v/>
      </c>
      <c r="Z72" s="155">
        <f>ROUND(Z71+W72-X72-Y72,2)</f>
        <v/>
      </c>
      <c r="AA72" s="155">
        <f>ROUND(AD71*$D$16,2)</f>
        <v/>
      </c>
      <c r="AB72" s="155">
        <f>MIN($E$16,AD71+AA72)</f>
        <v/>
      </c>
      <c r="AC72" s="155">
        <f>MIN(AD71+AA72-AB72,MAX(0,$AQ72-(E72+I72+M72+Q72+U72+Y72)))</f>
        <v/>
      </c>
      <c r="AD72" s="155">
        <f>ROUND(AD71+AA72-AB72-AC72,2)</f>
        <v/>
      </c>
      <c r="AE72" s="155">
        <f>ROUND(AH71*$D$17,2)</f>
        <v/>
      </c>
      <c r="AF72" s="155">
        <f>MIN($E$17,AH71+AE72)</f>
        <v/>
      </c>
      <c r="AG72" s="155">
        <f>MIN(AH71+AE72-AF72,MAX(0,$AQ72-(E72+I72+M72+Q72+U72+Y72+AC72)))</f>
        <v/>
      </c>
      <c r="AH72" s="155">
        <f>ROUND(AH71+AE72-AF72-AG72,2)</f>
        <v/>
      </c>
      <c r="AI72" s="155">
        <f>ROUND(AL71*$D$18,2)</f>
        <v/>
      </c>
      <c r="AJ72" s="155">
        <f>MIN($E$18,AL71+AI72)</f>
        <v/>
      </c>
      <c r="AK72" s="155">
        <f>MIN(AL71+AI72-AJ72,MAX(0,$AQ72-(E72+I72+M72+Q72+U72+Y72+AC72+AG72)))</f>
        <v/>
      </c>
      <c r="AL72" s="155">
        <f>ROUND(AL71+AI72-AJ72-AK72,2)</f>
        <v/>
      </c>
      <c r="AM72" s="155">
        <f>ROUND(AP71*$D$19,2)</f>
        <v/>
      </c>
      <c r="AN72" s="155">
        <f>MIN($E$19,AP71+AM72)</f>
        <v/>
      </c>
      <c r="AO72" s="155">
        <f>MIN(AP71+AM72-AN72,MAX(0,$AQ72-(E72+I72+M72+Q72+U72+Y72+AC72+AG72+AK72)))</f>
        <v/>
      </c>
      <c r="AP72" s="155">
        <f>ROUND(AP71+AM72-AN72-AO72,2)</f>
        <v/>
      </c>
      <c r="AQ72" s="155">
        <f>MAX(0,$B$6-(D72+H72+L72+P72+T72+X72+AB72+AF72+AJ72+AN72))</f>
        <v/>
      </c>
      <c r="AR72" s="155">
        <f>D72+H72+L72+P72+T72+X72+AB72+AF72+AJ72+AN72+E72+I72+M72+Q72+U72+Y72+AC72+AG72+AK72+AO72</f>
        <v/>
      </c>
      <c r="AS72" s="155">
        <f>C72+G72+K72+O72+S72+W72+AA72+AE72+AI72+AM72</f>
        <v/>
      </c>
      <c r="AT72" s="155">
        <f>F72+J72+N72+R72+V72+Z72+AD72+AH72+AL72+AP72</f>
        <v/>
      </c>
      <c r="AU72" s="157">
        <f>MID(IF(AND(F72=0,F71&gt;0),"; "&amp;$B$10,"")&amp;IF(AND(J72=0,J71&gt;0),"; "&amp;$B$11,"")&amp;IF(AND(N72=0,N71&gt;0),"; "&amp;$B$12,"")&amp;IF(AND(R72=0,R71&gt;0),"; "&amp;$B$13,"")&amp;IF(AND(V72=0,V71&gt;0),"; "&amp;$B$14,"")&amp;IF(AND(Z72=0,Z71&gt;0),"; "&amp;$B$15,"")&amp;IF(AND(AD72=0,AD71&gt;0),"; "&amp;$B$16,"")&amp;IF(AND(AH72=0,AH71&gt;0),"; "&amp;$B$17,"")&amp;IF(AND(AL72=0,AL71&gt;0),"; "&amp;$B$18,"")&amp;IF(AND(AP72=0,AP71&gt;0),"; "&amp;$B$19,""),3,200)</f>
        <v/>
      </c>
    </row>
    <row r="73">
      <c r="A73" s="154" t="n">
        <v>49</v>
      </c>
      <c r="B73" s="156">
        <f>EDATE($B$5,A73-1)</f>
        <v/>
      </c>
      <c r="C73" s="155">
        <f>ROUND(F72*$D$10,2)</f>
        <v/>
      </c>
      <c r="D73" s="155">
        <f>MIN($E$10,F72+C73)</f>
        <v/>
      </c>
      <c r="E73" s="155">
        <f>MIN(F72+C73-D73,MAX(0,$AQ73-(0)))</f>
        <v/>
      </c>
      <c r="F73" s="155">
        <f>ROUND(F72+C73-D73-E73,2)</f>
        <v/>
      </c>
      <c r="G73" s="155">
        <f>ROUND(J72*$D$11,2)</f>
        <v/>
      </c>
      <c r="H73" s="155">
        <f>MIN($E$11,J72+G73)</f>
        <v/>
      </c>
      <c r="I73" s="155">
        <f>MIN(J72+G73-H73,MAX(0,$AQ73-(E73)))</f>
        <v/>
      </c>
      <c r="J73" s="155">
        <f>ROUND(J72+G73-H73-I73,2)</f>
        <v/>
      </c>
      <c r="K73" s="155">
        <f>ROUND(N72*$D$12,2)</f>
        <v/>
      </c>
      <c r="L73" s="155">
        <f>MIN($E$12,N72+K73)</f>
        <v/>
      </c>
      <c r="M73" s="155">
        <f>MIN(N72+K73-L73,MAX(0,$AQ73-(E73+I73)))</f>
        <v/>
      </c>
      <c r="N73" s="155">
        <f>ROUND(N72+K73-L73-M73,2)</f>
        <v/>
      </c>
      <c r="O73" s="155">
        <f>ROUND(R72*$D$13,2)</f>
        <v/>
      </c>
      <c r="P73" s="155">
        <f>MIN($E$13,R72+O73)</f>
        <v/>
      </c>
      <c r="Q73" s="155">
        <f>MIN(R72+O73-P73,MAX(0,$AQ73-(E73+I73+M73)))</f>
        <v/>
      </c>
      <c r="R73" s="155">
        <f>ROUND(R72+O73-P73-Q73,2)</f>
        <v/>
      </c>
      <c r="S73" s="155">
        <f>ROUND(V72*$D$14,2)</f>
        <v/>
      </c>
      <c r="T73" s="155">
        <f>MIN($E$14,V72+S73)</f>
        <v/>
      </c>
      <c r="U73" s="155">
        <f>MIN(V72+S73-T73,MAX(0,$AQ73-(E73+I73+M73+Q73)))</f>
        <v/>
      </c>
      <c r="V73" s="155">
        <f>ROUND(V72+S73-T73-U73,2)</f>
        <v/>
      </c>
      <c r="W73" s="155">
        <f>ROUND(Z72*$D$15,2)</f>
        <v/>
      </c>
      <c r="X73" s="155">
        <f>MIN($E$15,Z72+W73)</f>
        <v/>
      </c>
      <c r="Y73" s="155">
        <f>MIN(Z72+W73-X73,MAX(0,$AQ73-(E73+I73+M73+Q73+U73)))</f>
        <v/>
      </c>
      <c r="Z73" s="155">
        <f>ROUND(Z72+W73-X73-Y73,2)</f>
        <v/>
      </c>
      <c r="AA73" s="155">
        <f>ROUND(AD72*$D$16,2)</f>
        <v/>
      </c>
      <c r="AB73" s="155">
        <f>MIN($E$16,AD72+AA73)</f>
        <v/>
      </c>
      <c r="AC73" s="155">
        <f>MIN(AD72+AA73-AB73,MAX(0,$AQ73-(E73+I73+M73+Q73+U73+Y73)))</f>
        <v/>
      </c>
      <c r="AD73" s="155">
        <f>ROUND(AD72+AA73-AB73-AC73,2)</f>
        <v/>
      </c>
      <c r="AE73" s="155">
        <f>ROUND(AH72*$D$17,2)</f>
        <v/>
      </c>
      <c r="AF73" s="155">
        <f>MIN($E$17,AH72+AE73)</f>
        <v/>
      </c>
      <c r="AG73" s="155">
        <f>MIN(AH72+AE73-AF73,MAX(0,$AQ73-(E73+I73+M73+Q73+U73+Y73+AC73)))</f>
        <v/>
      </c>
      <c r="AH73" s="155">
        <f>ROUND(AH72+AE73-AF73-AG73,2)</f>
        <v/>
      </c>
      <c r="AI73" s="155">
        <f>ROUND(AL72*$D$18,2)</f>
        <v/>
      </c>
      <c r="AJ73" s="155">
        <f>MIN($E$18,AL72+AI73)</f>
        <v/>
      </c>
      <c r="AK73" s="155">
        <f>MIN(AL72+AI73-AJ73,MAX(0,$AQ73-(E73+I73+M73+Q73+U73+Y73+AC73+AG73)))</f>
        <v/>
      </c>
      <c r="AL73" s="155">
        <f>ROUND(AL72+AI73-AJ73-AK73,2)</f>
        <v/>
      </c>
      <c r="AM73" s="155">
        <f>ROUND(AP72*$D$19,2)</f>
        <v/>
      </c>
      <c r="AN73" s="155">
        <f>MIN($E$19,AP72+AM73)</f>
        <v/>
      </c>
      <c r="AO73" s="155">
        <f>MIN(AP72+AM73-AN73,MAX(0,$AQ73-(E73+I73+M73+Q73+U73+Y73+AC73+AG73+AK73)))</f>
        <v/>
      </c>
      <c r="AP73" s="155">
        <f>ROUND(AP72+AM73-AN73-AO73,2)</f>
        <v/>
      </c>
      <c r="AQ73" s="155">
        <f>MAX(0,$B$6-(D73+H73+L73+P73+T73+X73+AB73+AF73+AJ73+AN73))</f>
        <v/>
      </c>
      <c r="AR73" s="155">
        <f>D73+H73+L73+P73+T73+X73+AB73+AF73+AJ73+AN73+E73+I73+M73+Q73+U73+Y73+AC73+AG73+AK73+AO73</f>
        <v/>
      </c>
      <c r="AS73" s="155">
        <f>C73+G73+K73+O73+S73+W73+AA73+AE73+AI73+AM73</f>
        <v/>
      </c>
      <c r="AT73" s="155">
        <f>F73+J73+N73+R73+V73+Z73+AD73+AH73+AL73+AP73</f>
        <v/>
      </c>
      <c r="AU73" s="157">
        <f>MID(IF(AND(F73=0,F72&gt;0),"; "&amp;$B$10,"")&amp;IF(AND(J73=0,J72&gt;0),"; "&amp;$B$11,"")&amp;IF(AND(N73=0,N72&gt;0),"; "&amp;$B$12,"")&amp;IF(AND(R73=0,R72&gt;0),"; "&amp;$B$13,"")&amp;IF(AND(V73=0,V72&gt;0),"; "&amp;$B$14,"")&amp;IF(AND(Z73=0,Z72&gt;0),"; "&amp;$B$15,"")&amp;IF(AND(AD73=0,AD72&gt;0),"; "&amp;$B$16,"")&amp;IF(AND(AH73=0,AH72&gt;0),"; "&amp;$B$17,"")&amp;IF(AND(AL73=0,AL72&gt;0),"; "&amp;$B$18,"")&amp;IF(AND(AP73=0,AP72&gt;0),"; "&amp;$B$19,""),3,200)</f>
        <v/>
      </c>
    </row>
    <row r="74">
      <c r="A74" s="154" t="n">
        <v>50</v>
      </c>
      <c r="B74" s="156">
        <f>EDATE($B$5,A74-1)</f>
        <v/>
      </c>
      <c r="C74" s="155">
        <f>ROUND(F73*$D$10,2)</f>
        <v/>
      </c>
      <c r="D74" s="155">
        <f>MIN($E$10,F73+C74)</f>
        <v/>
      </c>
      <c r="E74" s="155">
        <f>MIN(F73+C74-D74,MAX(0,$AQ74-(0)))</f>
        <v/>
      </c>
      <c r="F74" s="155">
        <f>ROUND(F73+C74-D74-E74,2)</f>
        <v/>
      </c>
      <c r="G74" s="155">
        <f>ROUND(J73*$D$11,2)</f>
        <v/>
      </c>
      <c r="H74" s="155">
        <f>MIN($E$11,J73+G74)</f>
        <v/>
      </c>
      <c r="I74" s="155">
        <f>MIN(J73+G74-H74,MAX(0,$AQ74-(E74)))</f>
        <v/>
      </c>
      <c r="J74" s="155">
        <f>ROUND(J73+G74-H74-I74,2)</f>
        <v/>
      </c>
      <c r="K74" s="155">
        <f>ROUND(N73*$D$12,2)</f>
        <v/>
      </c>
      <c r="L74" s="155">
        <f>MIN($E$12,N73+K74)</f>
        <v/>
      </c>
      <c r="M74" s="155">
        <f>MIN(N73+K74-L74,MAX(0,$AQ74-(E74+I74)))</f>
        <v/>
      </c>
      <c r="N74" s="155">
        <f>ROUND(N73+K74-L74-M74,2)</f>
        <v/>
      </c>
      <c r="O74" s="155">
        <f>ROUND(R73*$D$13,2)</f>
        <v/>
      </c>
      <c r="P74" s="155">
        <f>MIN($E$13,R73+O74)</f>
        <v/>
      </c>
      <c r="Q74" s="155">
        <f>MIN(R73+O74-P74,MAX(0,$AQ74-(E74+I74+M74)))</f>
        <v/>
      </c>
      <c r="R74" s="155">
        <f>ROUND(R73+O74-P74-Q74,2)</f>
        <v/>
      </c>
      <c r="S74" s="155">
        <f>ROUND(V73*$D$14,2)</f>
        <v/>
      </c>
      <c r="T74" s="155">
        <f>MIN($E$14,V73+S74)</f>
        <v/>
      </c>
      <c r="U74" s="155">
        <f>MIN(V73+S74-T74,MAX(0,$AQ74-(E74+I74+M74+Q74)))</f>
        <v/>
      </c>
      <c r="V74" s="155">
        <f>ROUND(V73+S74-T74-U74,2)</f>
        <v/>
      </c>
      <c r="W74" s="155">
        <f>ROUND(Z73*$D$15,2)</f>
        <v/>
      </c>
      <c r="X74" s="155">
        <f>MIN($E$15,Z73+W74)</f>
        <v/>
      </c>
      <c r="Y74" s="155">
        <f>MIN(Z73+W74-X74,MAX(0,$AQ74-(E74+I74+M74+Q74+U74)))</f>
        <v/>
      </c>
      <c r="Z74" s="155">
        <f>ROUND(Z73+W74-X74-Y74,2)</f>
        <v/>
      </c>
      <c r="AA74" s="155">
        <f>ROUND(AD73*$D$16,2)</f>
        <v/>
      </c>
      <c r="AB74" s="155">
        <f>MIN($E$16,AD73+AA74)</f>
        <v/>
      </c>
      <c r="AC74" s="155">
        <f>MIN(AD73+AA74-AB74,MAX(0,$AQ74-(E74+I74+M74+Q74+U74+Y74)))</f>
        <v/>
      </c>
      <c r="AD74" s="155">
        <f>ROUND(AD73+AA74-AB74-AC74,2)</f>
        <v/>
      </c>
      <c r="AE74" s="155">
        <f>ROUND(AH73*$D$17,2)</f>
        <v/>
      </c>
      <c r="AF74" s="155">
        <f>MIN($E$17,AH73+AE74)</f>
        <v/>
      </c>
      <c r="AG74" s="155">
        <f>MIN(AH73+AE74-AF74,MAX(0,$AQ74-(E74+I74+M74+Q74+U74+Y74+AC74)))</f>
        <v/>
      </c>
      <c r="AH74" s="155">
        <f>ROUND(AH73+AE74-AF74-AG74,2)</f>
        <v/>
      </c>
      <c r="AI74" s="155">
        <f>ROUND(AL73*$D$18,2)</f>
        <v/>
      </c>
      <c r="AJ74" s="155">
        <f>MIN($E$18,AL73+AI74)</f>
        <v/>
      </c>
      <c r="AK74" s="155">
        <f>MIN(AL73+AI74-AJ74,MAX(0,$AQ74-(E74+I74+M74+Q74+U74+Y74+AC74+AG74)))</f>
        <v/>
      </c>
      <c r="AL74" s="155">
        <f>ROUND(AL73+AI74-AJ74-AK74,2)</f>
        <v/>
      </c>
      <c r="AM74" s="155">
        <f>ROUND(AP73*$D$19,2)</f>
        <v/>
      </c>
      <c r="AN74" s="155">
        <f>MIN($E$19,AP73+AM74)</f>
        <v/>
      </c>
      <c r="AO74" s="155">
        <f>MIN(AP73+AM74-AN74,MAX(0,$AQ74-(E74+I74+M74+Q74+U74+Y74+AC74+AG74+AK74)))</f>
        <v/>
      </c>
      <c r="AP74" s="155">
        <f>ROUND(AP73+AM74-AN74-AO74,2)</f>
        <v/>
      </c>
      <c r="AQ74" s="155">
        <f>MAX(0,$B$6-(D74+H74+L74+P74+T74+X74+AB74+AF74+AJ74+AN74))</f>
        <v/>
      </c>
      <c r="AR74" s="155">
        <f>D74+H74+L74+P74+T74+X74+AB74+AF74+AJ74+AN74+E74+I74+M74+Q74+U74+Y74+AC74+AG74+AK74+AO74</f>
        <v/>
      </c>
      <c r="AS74" s="155">
        <f>C74+G74+K74+O74+S74+W74+AA74+AE74+AI74+AM74</f>
        <v/>
      </c>
      <c r="AT74" s="155">
        <f>F74+J74+N74+R74+V74+Z74+AD74+AH74+AL74+AP74</f>
        <v/>
      </c>
      <c r="AU74" s="157">
        <f>MID(IF(AND(F74=0,F73&gt;0),"; "&amp;$B$10,"")&amp;IF(AND(J74=0,J73&gt;0),"; "&amp;$B$11,"")&amp;IF(AND(N74=0,N73&gt;0),"; "&amp;$B$12,"")&amp;IF(AND(R74=0,R73&gt;0),"; "&amp;$B$13,"")&amp;IF(AND(V74=0,V73&gt;0),"; "&amp;$B$14,"")&amp;IF(AND(Z74=0,Z73&gt;0),"; "&amp;$B$15,"")&amp;IF(AND(AD74=0,AD73&gt;0),"; "&amp;$B$16,"")&amp;IF(AND(AH74=0,AH73&gt;0),"; "&amp;$B$17,"")&amp;IF(AND(AL74=0,AL73&gt;0),"; "&amp;$B$18,"")&amp;IF(AND(AP74=0,AP73&gt;0),"; "&amp;$B$19,""),3,200)</f>
        <v/>
      </c>
    </row>
    <row r="75">
      <c r="A75" s="154" t="n">
        <v>51</v>
      </c>
      <c r="B75" s="156">
        <f>EDATE($B$5,A75-1)</f>
        <v/>
      </c>
      <c r="C75" s="155">
        <f>ROUND(F74*$D$10,2)</f>
        <v/>
      </c>
      <c r="D75" s="155">
        <f>MIN($E$10,F74+C75)</f>
        <v/>
      </c>
      <c r="E75" s="155">
        <f>MIN(F74+C75-D75,MAX(0,$AQ75-(0)))</f>
        <v/>
      </c>
      <c r="F75" s="155">
        <f>ROUND(F74+C75-D75-E75,2)</f>
        <v/>
      </c>
      <c r="G75" s="155">
        <f>ROUND(J74*$D$11,2)</f>
        <v/>
      </c>
      <c r="H75" s="155">
        <f>MIN($E$11,J74+G75)</f>
        <v/>
      </c>
      <c r="I75" s="155">
        <f>MIN(J74+G75-H75,MAX(0,$AQ75-(E75)))</f>
        <v/>
      </c>
      <c r="J75" s="155">
        <f>ROUND(J74+G75-H75-I75,2)</f>
        <v/>
      </c>
      <c r="K75" s="155">
        <f>ROUND(N74*$D$12,2)</f>
        <v/>
      </c>
      <c r="L75" s="155">
        <f>MIN($E$12,N74+K75)</f>
        <v/>
      </c>
      <c r="M75" s="155">
        <f>MIN(N74+K75-L75,MAX(0,$AQ75-(E75+I75)))</f>
        <v/>
      </c>
      <c r="N75" s="155">
        <f>ROUND(N74+K75-L75-M75,2)</f>
        <v/>
      </c>
      <c r="O75" s="155">
        <f>ROUND(R74*$D$13,2)</f>
        <v/>
      </c>
      <c r="P75" s="155">
        <f>MIN($E$13,R74+O75)</f>
        <v/>
      </c>
      <c r="Q75" s="155">
        <f>MIN(R74+O75-P75,MAX(0,$AQ75-(E75+I75+M75)))</f>
        <v/>
      </c>
      <c r="R75" s="155">
        <f>ROUND(R74+O75-P75-Q75,2)</f>
        <v/>
      </c>
      <c r="S75" s="155">
        <f>ROUND(V74*$D$14,2)</f>
        <v/>
      </c>
      <c r="T75" s="155">
        <f>MIN($E$14,V74+S75)</f>
        <v/>
      </c>
      <c r="U75" s="155">
        <f>MIN(V74+S75-T75,MAX(0,$AQ75-(E75+I75+M75+Q75)))</f>
        <v/>
      </c>
      <c r="V75" s="155">
        <f>ROUND(V74+S75-T75-U75,2)</f>
        <v/>
      </c>
      <c r="W75" s="155">
        <f>ROUND(Z74*$D$15,2)</f>
        <v/>
      </c>
      <c r="X75" s="155">
        <f>MIN($E$15,Z74+W75)</f>
        <v/>
      </c>
      <c r="Y75" s="155">
        <f>MIN(Z74+W75-X75,MAX(0,$AQ75-(E75+I75+M75+Q75+U75)))</f>
        <v/>
      </c>
      <c r="Z75" s="155">
        <f>ROUND(Z74+W75-X75-Y75,2)</f>
        <v/>
      </c>
      <c r="AA75" s="155">
        <f>ROUND(AD74*$D$16,2)</f>
        <v/>
      </c>
      <c r="AB75" s="155">
        <f>MIN($E$16,AD74+AA75)</f>
        <v/>
      </c>
      <c r="AC75" s="155">
        <f>MIN(AD74+AA75-AB75,MAX(0,$AQ75-(E75+I75+M75+Q75+U75+Y75)))</f>
        <v/>
      </c>
      <c r="AD75" s="155">
        <f>ROUND(AD74+AA75-AB75-AC75,2)</f>
        <v/>
      </c>
      <c r="AE75" s="155">
        <f>ROUND(AH74*$D$17,2)</f>
        <v/>
      </c>
      <c r="AF75" s="155">
        <f>MIN($E$17,AH74+AE75)</f>
        <v/>
      </c>
      <c r="AG75" s="155">
        <f>MIN(AH74+AE75-AF75,MAX(0,$AQ75-(E75+I75+M75+Q75+U75+Y75+AC75)))</f>
        <v/>
      </c>
      <c r="AH75" s="155">
        <f>ROUND(AH74+AE75-AF75-AG75,2)</f>
        <v/>
      </c>
      <c r="AI75" s="155">
        <f>ROUND(AL74*$D$18,2)</f>
        <v/>
      </c>
      <c r="AJ75" s="155">
        <f>MIN($E$18,AL74+AI75)</f>
        <v/>
      </c>
      <c r="AK75" s="155">
        <f>MIN(AL74+AI75-AJ75,MAX(0,$AQ75-(E75+I75+M75+Q75+U75+Y75+AC75+AG75)))</f>
        <v/>
      </c>
      <c r="AL75" s="155">
        <f>ROUND(AL74+AI75-AJ75-AK75,2)</f>
        <v/>
      </c>
      <c r="AM75" s="155">
        <f>ROUND(AP74*$D$19,2)</f>
        <v/>
      </c>
      <c r="AN75" s="155">
        <f>MIN($E$19,AP74+AM75)</f>
        <v/>
      </c>
      <c r="AO75" s="155">
        <f>MIN(AP74+AM75-AN75,MAX(0,$AQ75-(E75+I75+M75+Q75+U75+Y75+AC75+AG75+AK75)))</f>
        <v/>
      </c>
      <c r="AP75" s="155">
        <f>ROUND(AP74+AM75-AN75-AO75,2)</f>
        <v/>
      </c>
      <c r="AQ75" s="155">
        <f>MAX(0,$B$6-(D75+H75+L75+P75+T75+X75+AB75+AF75+AJ75+AN75))</f>
        <v/>
      </c>
      <c r="AR75" s="155">
        <f>D75+H75+L75+P75+T75+X75+AB75+AF75+AJ75+AN75+E75+I75+M75+Q75+U75+Y75+AC75+AG75+AK75+AO75</f>
        <v/>
      </c>
      <c r="AS75" s="155">
        <f>C75+G75+K75+O75+S75+W75+AA75+AE75+AI75+AM75</f>
        <v/>
      </c>
      <c r="AT75" s="155">
        <f>F75+J75+N75+R75+V75+Z75+AD75+AH75+AL75+AP75</f>
        <v/>
      </c>
      <c r="AU75" s="157">
        <f>MID(IF(AND(F75=0,F74&gt;0),"; "&amp;$B$10,"")&amp;IF(AND(J75=0,J74&gt;0),"; "&amp;$B$11,"")&amp;IF(AND(N75=0,N74&gt;0),"; "&amp;$B$12,"")&amp;IF(AND(R75=0,R74&gt;0),"; "&amp;$B$13,"")&amp;IF(AND(V75=0,V74&gt;0),"; "&amp;$B$14,"")&amp;IF(AND(Z75=0,Z74&gt;0),"; "&amp;$B$15,"")&amp;IF(AND(AD75=0,AD74&gt;0),"; "&amp;$B$16,"")&amp;IF(AND(AH75=0,AH74&gt;0),"; "&amp;$B$17,"")&amp;IF(AND(AL75=0,AL74&gt;0),"; "&amp;$B$18,"")&amp;IF(AND(AP75=0,AP74&gt;0),"; "&amp;$B$19,""),3,200)</f>
        <v/>
      </c>
    </row>
    <row r="76">
      <c r="A76" s="154" t="n">
        <v>52</v>
      </c>
      <c r="B76" s="156">
        <f>EDATE($B$5,A76-1)</f>
        <v/>
      </c>
      <c r="C76" s="155">
        <f>ROUND(F75*$D$10,2)</f>
        <v/>
      </c>
      <c r="D76" s="155">
        <f>MIN($E$10,F75+C76)</f>
        <v/>
      </c>
      <c r="E76" s="155">
        <f>MIN(F75+C76-D76,MAX(0,$AQ76-(0)))</f>
        <v/>
      </c>
      <c r="F76" s="155">
        <f>ROUND(F75+C76-D76-E76,2)</f>
        <v/>
      </c>
      <c r="G76" s="155">
        <f>ROUND(J75*$D$11,2)</f>
        <v/>
      </c>
      <c r="H76" s="155">
        <f>MIN($E$11,J75+G76)</f>
        <v/>
      </c>
      <c r="I76" s="155">
        <f>MIN(J75+G76-H76,MAX(0,$AQ76-(E76)))</f>
        <v/>
      </c>
      <c r="J76" s="155">
        <f>ROUND(J75+G76-H76-I76,2)</f>
        <v/>
      </c>
      <c r="K76" s="155">
        <f>ROUND(N75*$D$12,2)</f>
        <v/>
      </c>
      <c r="L76" s="155">
        <f>MIN($E$12,N75+K76)</f>
        <v/>
      </c>
      <c r="M76" s="155">
        <f>MIN(N75+K76-L76,MAX(0,$AQ76-(E76+I76)))</f>
        <v/>
      </c>
      <c r="N76" s="155">
        <f>ROUND(N75+K76-L76-M76,2)</f>
        <v/>
      </c>
      <c r="O76" s="155">
        <f>ROUND(R75*$D$13,2)</f>
        <v/>
      </c>
      <c r="P76" s="155">
        <f>MIN($E$13,R75+O76)</f>
        <v/>
      </c>
      <c r="Q76" s="155">
        <f>MIN(R75+O76-P76,MAX(0,$AQ76-(E76+I76+M76)))</f>
        <v/>
      </c>
      <c r="R76" s="155">
        <f>ROUND(R75+O76-P76-Q76,2)</f>
        <v/>
      </c>
      <c r="S76" s="155">
        <f>ROUND(V75*$D$14,2)</f>
        <v/>
      </c>
      <c r="T76" s="155">
        <f>MIN($E$14,V75+S76)</f>
        <v/>
      </c>
      <c r="U76" s="155">
        <f>MIN(V75+S76-T76,MAX(0,$AQ76-(E76+I76+M76+Q76)))</f>
        <v/>
      </c>
      <c r="V76" s="155">
        <f>ROUND(V75+S76-T76-U76,2)</f>
        <v/>
      </c>
      <c r="W76" s="155">
        <f>ROUND(Z75*$D$15,2)</f>
        <v/>
      </c>
      <c r="X76" s="155">
        <f>MIN($E$15,Z75+W76)</f>
        <v/>
      </c>
      <c r="Y76" s="155">
        <f>MIN(Z75+W76-X76,MAX(0,$AQ76-(E76+I76+M76+Q76+U76)))</f>
        <v/>
      </c>
      <c r="Z76" s="155">
        <f>ROUND(Z75+W76-X76-Y76,2)</f>
        <v/>
      </c>
      <c r="AA76" s="155">
        <f>ROUND(AD75*$D$16,2)</f>
        <v/>
      </c>
      <c r="AB76" s="155">
        <f>MIN($E$16,AD75+AA76)</f>
        <v/>
      </c>
      <c r="AC76" s="155">
        <f>MIN(AD75+AA76-AB76,MAX(0,$AQ76-(E76+I76+M76+Q76+U76+Y76)))</f>
        <v/>
      </c>
      <c r="AD76" s="155">
        <f>ROUND(AD75+AA76-AB76-AC76,2)</f>
        <v/>
      </c>
      <c r="AE76" s="155">
        <f>ROUND(AH75*$D$17,2)</f>
        <v/>
      </c>
      <c r="AF76" s="155">
        <f>MIN($E$17,AH75+AE76)</f>
        <v/>
      </c>
      <c r="AG76" s="155">
        <f>MIN(AH75+AE76-AF76,MAX(0,$AQ76-(E76+I76+M76+Q76+U76+Y76+AC76)))</f>
        <v/>
      </c>
      <c r="AH76" s="155">
        <f>ROUND(AH75+AE76-AF76-AG76,2)</f>
        <v/>
      </c>
      <c r="AI76" s="155">
        <f>ROUND(AL75*$D$18,2)</f>
        <v/>
      </c>
      <c r="AJ76" s="155">
        <f>MIN($E$18,AL75+AI76)</f>
        <v/>
      </c>
      <c r="AK76" s="155">
        <f>MIN(AL75+AI76-AJ76,MAX(0,$AQ76-(E76+I76+M76+Q76+U76+Y76+AC76+AG76)))</f>
        <v/>
      </c>
      <c r="AL76" s="155">
        <f>ROUND(AL75+AI76-AJ76-AK76,2)</f>
        <v/>
      </c>
      <c r="AM76" s="155">
        <f>ROUND(AP75*$D$19,2)</f>
        <v/>
      </c>
      <c r="AN76" s="155">
        <f>MIN($E$19,AP75+AM76)</f>
        <v/>
      </c>
      <c r="AO76" s="155">
        <f>MIN(AP75+AM76-AN76,MAX(0,$AQ76-(E76+I76+M76+Q76+U76+Y76+AC76+AG76+AK76)))</f>
        <v/>
      </c>
      <c r="AP76" s="155">
        <f>ROUND(AP75+AM76-AN76-AO76,2)</f>
        <v/>
      </c>
      <c r="AQ76" s="155">
        <f>MAX(0,$B$6-(D76+H76+L76+P76+T76+X76+AB76+AF76+AJ76+AN76))</f>
        <v/>
      </c>
      <c r="AR76" s="155">
        <f>D76+H76+L76+P76+T76+X76+AB76+AF76+AJ76+AN76+E76+I76+M76+Q76+U76+Y76+AC76+AG76+AK76+AO76</f>
        <v/>
      </c>
      <c r="AS76" s="155">
        <f>C76+G76+K76+O76+S76+W76+AA76+AE76+AI76+AM76</f>
        <v/>
      </c>
      <c r="AT76" s="155">
        <f>F76+J76+N76+R76+V76+Z76+AD76+AH76+AL76+AP76</f>
        <v/>
      </c>
      <c r="AU76" s="157">
        <f>MID(IF(AND(F76=0,F75&gt;0),"; "&amp;$B$10,"")&amp;IF(AND(J76=0,J75&gt;0),"; "&amp;$B$11,"")&amp;IF(AND(N76=0,N75&gt;0),"; "&amp;$B$12,"")&amp;IF(AND(R76=0,R75&gt;0),"; "&amp;$B$13,"")&amp;IF(AND(V76=0,V75&gt;0),"; "&amp;$B$14,"")&amp;IF(AND(Z76=0,Z75&gt;0),"; "&amp;$B$15,"")&amp;IF(AND(AD76=0,AD75&gt;0),"; "&amp;$B$16,"")&amp;IF(AND(AH76=0,AH75&gt;0),"; "&amp;$B$17,"")&amp;IF(AND(AL76=0,AL75&gt;0),"; "&amp;$B$18,"")&amp;IF(AND(AP76=0,AP75&gt;0),"; "&amp;$B$19,""),3,200)</f>
        <v/>
      </c>
    </row>
    <row r="77">
      <c r="A77" s="154" t="n">
        <v>53</v>
      </c>
      <c r="B77" s="156">
        <f>EDATE($B$5,A77-1)</f>
        <v/>
      </c>
      <c r="C77" s="155">
        <f>ROUND(F76*$D$10,2)</f>
        <v/>
      </c>
      <c r="D77" s="155">
        <f>MIN($E$10,F76+C77)</f>
        <v/>
      </c>
      <c r="E77" s="155">
        <f>MIN(F76+C77-D77,MAX(0,$AQ77-(0)))</f>
        <v/>
      </c>
      <c r="F77" s="155">
        <f>ROUND(F76+C77-D77-E77,2)</f>
        <v/>
      </c>
      <c r="G77" s="155">
        <f>ROUND(J76*$D$11,2)</f>
        <v/>
      </c>
      <c r="H77" s="155">
        <f>MIN($E$11,J76+G77)</f>
        <v/>
      </c>
      <c r="I77" s="155">
        <f>MIN(J76+G77-H77,MAX(0,$AQ77-(E77)))</f>
        <v/>
      </c>
      <c r="J77" s="155">
        <f>ROUND(J76+G77-H77-I77,2)</f>
        <v/>
      </c>
      <c r="K77" s="155">
        <f>ROUND(N76*$D$12,2)</f>
        <v/>
      </c>
      <c r="L77" s="155">
        <f>MIN($E$12,N76+K77)</f>
        <v/>
      </c>
      <c r="M77" s="155">
        <f>MIN(N76+K77-L77,MAX(0,$AQ77-(E77+I77)))</f>
        <v/>
      </c>
      <c r="N77" s="155">
        <f>ROUND(N76+K77-L77-M77,2)</f>
        <v/>
      </c>
      <c r="O77" s="155">
        <f>ROUND(R76*$D$13,2)</f>
        <v/>
      </c>
      <c r="P77" s="155">
        <f>MIN($E$13,R76+O77)</f>
        <v/>
      </c>
      <c r="Q77" s="155">
        <f>MIN(R76+O77-P77,MAX(0,$AQ77-(E77+I77+M77)))</f>
        <v/>
      </c>
      <c r="R77" s="155">
        <f>ROUND(R76+O77-P77-Q77,2)</f>
        <v/>
      </c>
      <c r="S77" s="155">
        <f>ROUND(V76*$D$14,2)</f>
        <v/>
      </c>
      <c r="T77" s="155">
        <f>MIN($E$14,V76+S77)</f>
        <v/>
      </c>
      <c r="U77" s="155">
        <f>MIN(V76+S77-T77,MAX(0,$AQ77-(E77+I77+M77+Q77)))</f>
        <v/>
      </c>
      <c r="V77" s="155">
        <f>ROUND(V76+S77-T77-U77,2)</f>
        <v/>
      </c>
      <c r="W77" s="155">
        <f>ROUND(Z76*$D$15,2)</f>
        <v/>
      </c>
      <c r="X77" s="155">
        <f>MIN($E$15,Z76+W77)</f>
        <v/>
      </c>
      <c r="Y77" s="155">
        <f>MIN(Z76+W77-X77,MAX(0,$AQ77-(E77+I77+M77+Q77+U77)))</f>
        <v/>
      </c>
      <c r="Z77" s="155">
        <f>ROUND(Z76+W77-X77-Y77,2)</f>
        <v/>
      </c>
      <c r="AA77" s="155">
        <f>ROUND(AD76*$D$16,2)</f>
        <v/>
      </c>
      <c r="AB77" s="155">
        <f>MIN($E$16,AD76+AA77)</f>
        <v/>
      </c>
      <c r="AC77" s="155">
        <f>MIN(AD76+AA77-AB77,MAX(0,$AQ77-(E77+I77+M77+Q77+U77+Y77)))</f>
        <v/>
      </c>
      <c r="AD77" s="155">
        <f>ROUND(AD76+AA77-AB77-AC77,2)</f>
        <v/>
      </c>
      <c r="AE77" s="155">
        <f>ROUND(AH76*$D$17,2)</f>
        <v/>
      </c>
      <c r="AF77" s="155">
        <f>MIN($E$17,AH76+AE77)</f>
        <v/>
      </c>
      <c r="AG77" s="155">
        <f>MIN(AH76+AE77-AF77,MAX(0,$AQ77-(E77+I77+M77+Q77+U77+Y77+AC77)))</f>
        <v/>
      </c>
      <c r="AH77" s="155">
        <f>ROUND(AH76+AE77-AF77-AG77,2)</f>
        <v/>
      </c>
      <c r="AI77" s="155">
        <f>ROUND(AL76*$D$18,2)</f>
        <v/>
      </c>
      <c r="AJ77" s="155">
        <f>MIN($E$18,AL76+AI77)</f>
        <v/>
      </c>
      <c r="AK77" s="155">
        <f>MIN(AL76+AI77-AJ77,MAX(0,$AQ77-(E77+I77+M77+Q77+U77+Y77+AC77+AG77)))</f>
        <v/>
      </c>
      <c r="AL77" s="155">
        <f>ROUND(AL76+AI77-AJ77-AK77,2)</f>
        <v/>
      </c>
      <c r="AM77" s="155">
        <f>ROUND(AP76*$D$19,2)</f>
        <v/>
      </c>
      <c r="AN77" s="155">
        <f>MIN($E$19,AP76+AM77)</f>
        <v/>
      </c>
      <c r="AO77" s="155">
        <f>MIN(AP76+AM77-AN77,MAX(0,$AQ77-(E77+I77+M77+Q77+U77+Y77+AC77+AG77+AK77)))</f>
        <v/>
      </c>
      <c r="AP77" s="155">
        <f>ROUND(AP76+AM77-AN77-AO77,2)</f>
        <v/>
      </c>
      <c r="AQ77" s="155">
        <f>MAX(0,$B$6-(D77+H77+L77+P77+T77+X77+AB77+AF77+AJ77+AN77))</f>
        <v/>
      </c>
      <c r="AR77" s="155">
        <f>D77+H77+L77+P77+T77+X77+AB77+AF77+AJ77+AN77+E77+I77+M77+Q77+U77+Y77+AC77+AG77+AK77+AO77</f>
        <v/>
      </c>
      <c r="AS77" s="155">
        <f>C77+G77+K77+O77+S77+W77+AA77+AE77+AI77+AM77</f>
        <v/>
      </c>
      <c r="AT77" s="155">
        <f>F77+J77+N77+R77+V77+Z77+AD77+AH77+AL77+AP77</f>
        <v/>
      </c>
      <c r="AU77" s="157">
        <f>MID(IF(AND(F77=0,F76&gt;0),"; "&amp;$B$10,"")&amp;IF(AND(J77=0,J76&gt;0),"; "&amp;$B$11,"")&amp;IF(AND(N77=0,N76&gt;0),"; "&amp;$B$12,"")&amp;IF(AND(R77=0,R76&gt;0),"; "&amp;$B$13,"")&amp;IF(AND(V77=0,V76&gt;0),"; "&amp;$B$14,"")&amp;IF(AND(Z77=0,Z76&gt;0),"; "&amp;$B$15,"")&amp;IF(AND(AD77=0,AD76&gt;0),"; "&amp;$B$16,"")&amp;IF(AND(AH77=0,AH76&gt;0),"; "&amp;$B$17,"")&amp;IF(AND(AL77=0,AL76&gt;0),"; "&amp;$B$18,"")&amp;IF(AND(AP77=0,AP76&gt;0),"; "&amp;$B$19,""),3,200)</f>
        <v/>
      </c>
    </row>
    <row r="78">
      <c r="A78" s="154" t="n">
        <v>54</v>
      </c>
      <c r="B78" s="156">
        <f>EDATE($B$5,A78-1)</f>
        <v/>
      </c>
      <c r="C78" s="155">
        <f>ROUND(F77*$D$10,2)</f>
        <v/>
      </c>
      <c r="D78" s="155">
        <f>MIN($E$10,F77+C78)</f>
        <v/>
      </c>
      <c r="E78" s="155">
        <f>MIN(F77+C78-D78,MAX(0,$AQ78-(0)))</f>
        <v/>
      </c>
      <c r="F78" s="155">
        <f>ROUND(F77+C78-D78-E78,2)</f>
        <v/>
      </c>
      <c r="G78" s="155">
        <f>ROUND(J77*$D$11,2)</f>
        <v/>
      </c>
      <c r="H78" s="155">
        <f>MIN($E$11,J77+G78)</f>
        <v/>
      </c>
      <c r="I78" s="155">
        <f>MIN(J77+G78-H78,MAX(0,$AQ78-(E78)))</f>
        <v/>
      </c>
      <c r="J78" s="155">
        <f>ROUND(J77+G78-H78-I78,2)</f>
        <v/>
      </c>
      <c r="K78" s="155">
        <f>ROUND(N77*$D$12,2)</f>
        <v/>
      </c>
      <c r="L78" s="155">
        <f>MIN($E$12,N77+K78)</f>
        <v/>
      </c>
      <c r="M78" s="155">
        <f>MIN(N77+K78-L78,MAX(0,$AQ78-(E78+I78)))</f>
        <v/>
      </c>
      <c r="N78" s="155">
        <f>ROUND(N77+K78-L78-M78,2)</f>
        <v/>
      </c>
      <c r="O78" s="155">
        <f>ROUND(R77*$D$13,2)</f>
        <v/>
      </c>
      <c r="P78" s="155">
        <f>MIN($E$13,R77+O78)</f>
        <v/>
      </c>
      <c r="Q78" s="155">
        <f>MIN(R77+O78-P78,MAX(0,$AQ78-(E78+I78+M78)))</f>
        <v/>
      </c>
      <c r="R78" s="155">
        <f>ROUND(R77+O78-P78-Q78,2)</f>
        <v/>
      </c>
      <c r="S78" s="155">
        <f>ROUND(V77*$D$14,2)</f>
        <v/>
      </c>
      <c r="T78" s="155">
        <f>MIN($E$14,V77+S78)</f>
        <v/>
      </c>
      <c r="U78" s="155">
        <f>MIN(V77+S78-T78,MAX(0,$AQ78-(E78+I78+M78+Q78)))</f>
        <v/>
      </c>
      <c r="V78" s="155">
        <f>ROUND(V77+S78-T78-U78,2)</f>
        <v/>
      </c>
      <c r="W78" s="155">
        <f>ROUND(Z77*$D$15,2)</f>
        <v/>
      </c>
      <c r="X78" s="155">
        <f>MIN($E$15,Z77+W78)</f>
        <v/>
      </c>
      <c r="Y78" s="155">
        <f>MIN(Z77+W78-X78,MAX(0,$AQ78-(E78+I78+M78+Q78+U78)))</f>
        <v/>
      </c>
      <c r="Z78" s="155">
        <f>ROUND(Z77+W78-X78-Y78,2)</f>
        <v/>
      </c>
      <c r="AA78" s="155">
        <f>ROUND(AD77*$D$16,2)</f>
        <v/>
      </c>
      <c r="AB78" s="155">
        <f>MIN($E$16,AD77+AA78)</f>
        <v/>
      </c>
      <c r="AC78" s="155">
        <f>MIN(AD77+AA78-AB78,MAX(0,$AQ78-(E78+I78+M78+Q78+U78+Y78)))</f>
        <v/>
      </c>
      <c r="AD78" s="155">
        <f>ROUND(AD77+AA78-AB78-AC78,2)</f>
        <v/>
      </c>
      <c r="AE78" s="155">
        <f>ROUND(AH77*$D$17,2)</f>
        <v/>
      </c>
      <c r="AF78" s="155">
        <f>MIN($E$17,AH77+AE78)</f>
        <v/>
      </c>
      <c r="AG78" s="155">
        <f>MIN(AH77+AE78-AF78,MAX(0,$AQ78-(E78+I78+M78+Q78+U78+Y78+AC78)))</f>
        <v/>
      </c>
      <c r="AH78" s="155">
        <f>ROUND(AH77+AE78-AF78-AG78,2)</f>
        <v/>
      </c>
      <c r="AI78" s="155">
        <f>ROUND(AL77*$D$18,2)</f>
        <v/>
      </c>
      <c r="AJ78" s="155">
        <f>MIN($E$18,AL77+AI78)</f>
        <v/>
      </c>
      <c r="AK78" s="155">
        <f>MIN(AL77+AI78-AJ78,MAX(0,$AQ78-(E78+I78+M78+Q78+U78+Y78+AC78+AG78)))</f>
        <v/>
      </c>
      <c r="AL78" s="155">
        <f>ROUND(AL77+AI78-AJ78-AK78,2)</f>
        <v/>
      </c>
      <c r="AM78" s="155">
        <f>ROUND(AP77*$D$19,2)</f>
        <v/>
      </c>
      <c r="AN78" s="155">
        <f>MIN($E$19,AP77+AM78)</f>
        <v/>
      </c>
      <c r="AO78" s="155">
        <f>MIN(AP77+AM78-AN78,MAX(0,$AQ78-(E78+I78+M78+Q78+U78+Y78+AC78+AG78+AK78)))</f>
        <v/>
      </c>
      <c r="AP78" s="155">
        <f>ROUND(AP77+AM78-AN78-AO78,2)</f>
        <v/>
      </c>
      <c r="AQ78" s="155">
        <f>MAX(0,$B$6-(D78+H78+L78+P78+T78+X78+AB78+AF78+AJ78+AN78))</f>
        <v/>
      </c>
      <c r="AR78" s="155">
        <f>D78+H78+L78+P78+T78+X78+AB78+AF78+AJ78+AN78+E78+I78+M78+Q78+U78+Y78+AC78+AG78+AK78+AO78</f>
        <v/>
      </c>
      <c r="AS78" s="155">
        <f>C78+G78+K78+O78+S78+W78+AA78+AE78+AI78+AM78</f>
        <v/>
      </c>
      <c r="AT78" s="155">
        <f>F78+J78+N78+R78+V78+Z78+AD78+AH78+AL78+AP78</f>
        <v/>
      </c>
      <c r="AU78" s="157">
        <f>MID(IF(AND(F78=0,F77&gt;0),"; "&amp;$B$10,"")&amp;IF(AND(J78=0,J77&gt;0),"; "&amp;$B$11,"")&amp;IF(AND(N78=0,N77&gt;0),"; "&amp;$B$12,"")&amp;IF(AND(R78=0,R77&gt;0),"; "&amp;$B$13,"")&amp;IF(AND(V78=0,V77&gt;0),"; "&amp;$B$14,"")&amp;IF(AND(Z78=0,Z77&gt;0),"; "&amp;$B$15,"")&amp;IF(AND(AD78=0,AD77&gt;0),"; "&amp;$B$16,"")&amp;IF(AND(AH78=0,AH77&gt;0),"; "&amp;$B$17,"")&amp;IF(AND(AL78=0,AL77&gt;0),"; "&amp;$B$18,"")&amp;IF(AND(AP78=0,AP77&gt;0),"; "&amp;$B$19,""),3,200)</f>
        <v/>
      </c>
    </row>
    <row r="79">
      <c r="A79" s="154" t="n">
        <v>55</v>
      </c>
      <c r="B79" s="156">
        <f>EDATE($B$5,A79-1)</f>
        <v/>
      </c>
      <c r="C79" s="155">
        <f>ROUND(F78*$D$10,2)</f>
        <v/>
      </c>
      <c r="D79" s="155">
        <f>MIN($E$10,F78+C79)</f>
        <v/>
      </c>
      <c r="E79" s="155">
        <f>MIN(F78+C79-D79,MAX(0,$AQ79-(0)))</f>
        <v/>
      </c>
      <c r="F79" s="155">
        <f>ROUND(F78+C79-D79-E79,2)</f>
        <v/>
      </c>
      <c r="G79" s="155">
        <f>ROUND(J78*$D$11,2)</f>
        <v/>
      </c>
      <c r="H79" s="155">
        <f>MIN($E$11,J78+G79)</f>
        <v/>
      </c>
      <c r="I79" s="155">
        <f>MIN(J78+G79-H79,MAX(0,$AQ79-(E79)))</f>
        <v/>
      </c>
      <c r="J79" s="155">
        <f>ROUND(J78+G79-H79-I79,2)</f>
        <v/>
      </c>
      <c r="K79" s="155">
        <f>ROUND(N78*$D$12,2)</f>
        <v/>
      </c>
      <c r="L79" s="155">
        <f>MIN($E$12,N78+K79)</f>
        <v/>
      </c>
      <c r="M79" s="155">
        <f>MIN(N78+K79-L79,MAX(0,$AQ79-(E79+I79)))</f>
        <v/>
      </c>
      <c r="N79" s="155">
        <f>ROUND(N78+K79-L79-M79,2)</f>
        <v/>
      </c>
      <c r="O79" s="155">
        <f>ROUND(R78*$D$13,2)</f>
        <v/>
      </c>
      <c r="P79" s="155">
        <f>MIN($E$13,R78+O79)</f>
        <v/>
      </c>
      <c r="Q79" s="155">
        <f>MIN(R78+O79-P79,MAX(0,$AQ79-(E79+I79+M79)))</f>
        <v/>
      </c>
      <c r="R79" s="155">
        <f>ROUND(R78+O79-P79-Q79,2)</f>
        <v/>
      </c>
      <c r="S79" s="155">
        <f>ROUND(V78*$D$14,2)</f>
        <v/>
      </c>
      <c r="T79" s="155">
        <f>MIN($E$14,V78+S79)</f>
        <v/>
      </c>
      <c r="U79" s="155">
        <f>MIN(V78+S79-T79,MAX(0,$AQ79-(E79+I79+M79+Q79)))</f>
        <v/>
      </c>
      <c r="V79" s="155">
        <f>ROUND(V78+S79-T79-U79,2)</f>
        <v/>
      </c>
      <c r="W79" s="155">
        <f>ROUND(Z78*$D$15,2)</f>
        <v/>
      </c>
      <c r="X79" s="155">
        <f>MIN($E$15,Z78+W79)</f>
        <v/>
      </c>
      <c r="Y79" s="155">
        <f>MIN(Z78+W79-X79,MAX(0,$AQ79-(E79+I79+M79+Q79+U79)))</f>
        <v/>
      </c>
      <c r="Z79" s="155">
        <f>ROUND(Z78+W79-X79-Y79,2)</f>
        <v/>
      </c>
      <c r="AA79" s="155">
        <f>ROUND(AD78*$D$16,2)</f>
        <v/>
      </c>
      <c r="AB79" s="155">
        <f>MIN($E$16,AD78+AA79)</f>
        <v/>
      </c>
      <c r="AC79" s="155">
        <f>MIN(AD78+AA79-AB79,MAX(0,$AQ79-(E79+I79+M79+Q79+U79+Y79)))</f>
        <v/>
      </c>
      <c r="AD79" s="155">
        <f>ROUND(AD78+AA79-AB79-AC79,2)</f>
        <v/>
      </c>
      <c r="AE79" s="155">
        <f>ROUND(AH78*$D$17,2)</f>
        <v/>
      </c>
      <c r="AF79" s="155">
        <f>MIN($E$17,AH78+AE79)</f>
        <v/>
      </c>
      <c r="AG79" s="155">
        <f>MIN(AH78+AE79-AF79,MAX(0,$AQ79-(E79+I79+M79+Q79+U79+Y79+AC79)))</f>
        <v/>
      </c>
      <c r="AH79" s="155">
        <f>ROUND(AH78+AE79-AF79-AG79,2)</f>
        <v/>
      </c>
      <c r="AI79" s="155">
        <f>ROUND(AL78*$D$18,2)</f>
        <v/>
      </c>
      <c r="AJ79" s="155">
        <f>MIN($E$18,AL78+AI79)</f>
        <v/>
      </c>
      <c r="AK79" s="155">
        <f>MIN(AL78+AI79-AJ79,MAX(0,$AQ79-(E79+I79+M79+Q79+U79+Y79+AC79+AG79)))</f>
        <v/>
      </c>
      <c r="AL79" s="155">
        <f>ROUND(AL78+AI79-AJ79-AK79,2)</f>
        <v/>
      </c>
      <c r="AM79" s="155">
        <f>ROUND(AP78*$D$19,2)</f>
        <v/>
      </c>
      <c r="AN79" s="155">
        <f>MIN($E$19,AP78+AM79)</f>
        <v/>
      </c>
      <c r="AO79" s="155">
        <f>MIN(AP78+AM79-AN79,MAX(0,$AQ79-(E79+I79+M79+Q79+U79+Y79+AC79+AG79+AK79)))</f>
        <v/>
      </c>
      <c r="AP79" s="155">
        <f>ROUND(AP78+AM79-AN79-AO79,2)</f>
        <v/>
      </c>
      <c r="AQ79" s="155">
        <f>MAX(0,$B$6-(D79+H79+L79+P79+T79+X79+AB79+AF79+AJ79+AN79))</f>
        <v/>
      </c>
      <c r="AR79" s="155">
        <f>D79+H79+L79+P79+T79+X79+AB79+AF79+AJ79+AN79+E79+I79+M79+Q79+U79+Y79+AC79+AG79+AK79+AO79</f>
        <v/>
      </c>
      <c r="AS79" s="155">
        <f>C79+G79+K79+O79+S79+W79+AA79+AE79+AI79+AM79</f>
        <v/>
      </c>
      <c r="AT79" s="155">
        <f>F79+J79+N79+R79+V79+Z79+AD79+AH79+AL79+AP79</f>
        <v/>
      </c>
      <c r="AU79" s="157">
        <f>MID(IF(AND(F79=0,F78&gt;0),"; "&amp;$B$10,"")&amp;IF(AND(J79=0,J78&gt;0),"; "&amp;$B$11,"")&amp;IF(AND(N79=0,N78&gt;0),"; "&amp;$B$12,"")&amp;IF(AND(R79=0,R78&gt;0),"; "&amp;$B$13,"")&amp;IF(AND(V79=0,V78&gt;0),"; "&amp;$B$14,"")&amp;IF(AND(Z79=0,Z78&gt;0),"; "&amp;$B$15,"")&amp;IF(AND(AD79=0,AD78&gt;0),"; "&amp;$B$16,"")&amp;IF(AND(AH79=0,AH78&gt;0),"; "&amp;$B$17,"")&amp;IF(AND(AL79=0,AL78&gt;0),"; "&amp;$B$18,"")&amp;IF(AND(AP79=0,AP78&gt;0),"; "&amp;$B$19,""),3,200)</f>
        <v/>
      </c>
    </row>
    <row r="80">
      <c r="A80" s="154" t="n">
        <v>56</v>
      </c>
      <c r="B80" s="156">
        <f>EDATE($B$5,A80-1)</f>
        <v/>
      </c>
      <c r="C80" s="155">
        <f>ROUND(F79*$D$10,2)</f>
        <v/>
      </c>
      <c r="D80" s="155">
        <f>MIN($E$10,F79+C80)</f>
        <v/>
      </c>
      <c r="E80" s="155">
        <f>MIN(F79+C80-D80,MAX(0,$AQ80-(0)))</f>
        <v/>
      </c>
      <c r="F80" s="155">
        <f>ROUND(F79+C80-D80-E80,2)</f>
        <v/>
      </c>
      <c r="G80" s="155">
        <f>ROUND(J79*$D$11,2)</f>
        <v/>
      </c>
      <c r="H80" s="155">
        <f>MIN($E$11,J79+G80)</f>
        <v/>
      </c>
      <c r="I80" s="155">
        <f>MIN(J79+G80-H80,MAX(0,$AQ80-(E80)))</f>
        <v/>
      </c>
      <c r="J80" s="155">
        <f>ROUND(J79+G80-H80-I80,2)</f>
        <v/>
      </c>
      <c r="K80" s="155">
        <f>ROUND(N79*$D$12,2)</f>
        <v/>
      </c>
      <c r="L80" s="155">
        <f>MIN($E$12,N79+K80)</f>
        <v/>
      </c>
      <c r="M80" s="155">
        <f>MIN(N79+K80-L80,MAX(0,$AQ80-(E80+I80)))</f>
        <v/>
      </c>
      <c r="N80" s="155">
        <f>ROUND(N79+K80-L80-M80,2)</f>
        <v/>
      </c>
      <c r="O80" s="155">
        <f>ROUND(R79*$D$13,2)</f>
        <v/>
      </c>
      <c r="P80" s="155">
        <f>MIN($E$13,R79+O80)</f>
        <v/>
      </c>
      <c r="Q80" s="155">
        <f>MIN(R79+O80-P80,MAX(0,$AQ80-(E80+I80+M80)))</f>
        <v/>
      </c>
      <c r="R80" s="155">
        <f>ROUND(R79+O80-P80-Q80,2)</f>
        <v/>
      </c>
      <c r="S80" s="155">
        <f>ROUND(V79*$D$14,2)</f>
        <v/>
      </c>
      <c r="T80" s="155">
        <f>MIN($E$14,V79+S80)</f>
        <v/>
      </c>
      <c r="U80" s="155">
        <f>MIN(V79+S80-T80,MAX(0,$AQ80-(E80+I80+M80+Q80)))</f>
        <v/>
      </c>
      <c r="V80" s="155">
        <f>ROUND(V79+S80-T80-U80,2)</f>
        <v/>
      </c>
      <c r="W80" s="155">
        <f>ROUND(Z79*$D$15,2)</f>
        <v/>
      </c>
      <c r="X80" s="155">
        <f>MIN($E$15,Z79+W80)</f>
        <v/>
      </c>
      <c r="Y80" s="155">
        <f>MIN(Z79+W80-X80,MAX(0,$AQ80-(E80+I80+M80+Q80+U80)))</f>
        <v/>
      </c>
      <c r="Z80" s="155">
        <f>ROUND(Z79+W80-X80-Y80,2)</f>
        <v/>
      </c>
      <c r="AA80" s="155">
        <f>ROUND(AD79*$D$16,2)</f>
        <v/>
      </c>
      <c r="AB80" s="155">
        <f>MIN($E$16,AD79+AA80)</f>
        <v/>
      </c>
      <c r="AC80" s="155">
        <f>MIN(AD79+AA80-AB80,MAX(0,$AQ80-(E80+I80+M80+Q80+U80+Y80)))</f>
        <v/>
      </c>
      <c r="AD80" s="155">
        <f>ROUND(AD79+AA80-AB80-AC80,2)</f>
        <v/>
      </c>
      <c r="AE80" s="155">
        <f>ROUND(AH79*$D$17,2)</f>
        <v/>
      </c>
      <c r="AF80" s="155">
        <f>MIN($E$17,AH79+AE80)</f>
        <v/>
      </c>
      <c r="AG80" s="155">
        <f>MIN(AH79+AE80-AF80,MAX(0,$AQ80-(E80+I80+M80+Q80+U80+Y80+AC80)))</f>
        <v/>
      </c>
      <c r="AH80" s="155">
        <f>ROUND(AH79+AE80-AF80-AG80,2)</f>
        <v/>
      </c>
      <c r="AI80" s="155">
        <f>ROUND(AL79*$D$18,2)</f>
        <v/>
      </c>
      <c r="AJ80" s="155">
        <f>MIN($E$18,AL79+AI80)</f>
        <v/>
      </c>
      <c r="AK80" s="155">
        <f>MIN(AL79+AI80-AJ80,MAX(0,$AQ80-(E80+I80+M80+Q80+U80+Y80+AC80+AG80)))</f>
        <v/>
      </c>
      <c r="AL80" s="155">
        <f>ROUND(AL79+AI80-AJ80-AK80,2)</f>
        <v/>
      </c>
      <c r="AM80" s="155">
        <f>ROUND(AP79*$D$19,2)</f>
        <v/>
      </c>
      <c r="AN80" s="155">
        <f>MIN($E$19,AP79+AM80)</f>
        <v/>
      </c>
      <c r="AO80" s="155">
        <f>MIN(AP79+AM80-AN80,MAX(0,$AQ80-(E80+I80+M80+Q80+U80+Y80+AC80+AG80+AK80)))</f>
        <v/>
      </c>
      <c r="AP80" s="155">
        <f>ROUND(AP79+AM80-AN80-AO80,2)</f>
        <v/>
      </c>
      <c r="AQ80" s="155">
        <f>MAX(0,$B$6-(D80+H80+L80+P80+T80+X80+AB80+AF80+AJ80+AN80))</f>
        <v/>
      </c>
      <c r="AR80" s="155">
        <f>D80+H80+L80+P80+T80+X80+AB80+AF80+AJ80+AN80+E80+I80+M80+Q80+U80+Y80+AC80+AG80+AK80+AO80</f>
        <v/>
      </c>
      <c r="AS80" s="155">
        <f>C80+G80+K80+O80+S80+W80+AA80+AE80+AI80+AM80</f>
        <v/>
      </c>
      <c r="AT80" s="155">
        <f>F80+J80+N80+R80+V80+Z80+AD80+AH80+AL80+AP80</f>
        <v/>
      </c>
      <c r="AU80" s="157">
        <f>MID(IF(AND(F80=0,F79&gt;0),"; "&amp;$B$10,"")&amp;IF(AND(J80=0,J79&gt;0),"; "&amp;$B$11,"")&amp;IF(AND(N80=0,N79&gt;0),"; "&amp;$B$12,"")&amp;IF(AND(R80=0,R79&gt;0),"; "&amp;$B$13,"")&amp;IF(AND(V80=0,V79&gt;0),"; "&amp;$B$14,"")&amp;IF(AND(Z80=0,Z79&gt;0),"; "&amp;$B$15,"")&amp;IF(AND(AD80=0,AD79&gt;0),"; "&amp;$B$16,"")&amp;IF(AND(AH80=0,AH79&gt;0),"; "&amp;$B$17,"")&amp;IF(AND(AL80=0,AL79&gt;0),"; "&amp;$B$18,"")&amp;IF(AND(AP80=0,AP79&gt;0),"; "&amp;$B$19,""),3,200)</f>
        <v/>
      </c>
    </row>
    <row r="81">
      <c r="A81" s="154" t="n">
        <v>57</v>
      </c>
      <c r="B81" s="156">
        <f>EDATE($B$5,A81-1)</f>
        <v/>
      </c>
      <c r="C81" s="155">
        <f>ROUND(F80*$D$10,2)</f>
        <v/>
      </c>
      <c r="D81" s="155">
        <f>MIN($E$10,F80+C81)</f>
        <v/>
      </c>
      <c r="E81" s="155">
        <f>MIN(F80+C81-D81,MAX(0,$AQ81-(0)))</f>
        <v/>
      </c>
      <c r="F81" s="155">
        <f>ROUND(F80+C81-D81-E81,2)</f>
        <v/>
      </c>
      <c r="G81" s="155">
        <f>ROUND(J80*$D$11,2)</f>
        <v/>
      </c>
      <c r="H81" s="155">
        <f>MIN($E$11,J80+G81)</f>
        <v/>
      </c>
      <c r="I81" s="155">
        <f>MIN(J80+G81-H81,MAX(0,$AQ81-(E81)))</f>
        <v/>
      </c>
      <c r="J81" s="155">
        <f>ROUND(J80+G81-H81-I81,2)</f>
        <v/>
      </c>
      <c r="K81" s="155">
        <f>ROUND(N80*$D$12,2)</f>
        <v/>
      </c>
      <c r="L81" s="155">
        <f>MIN($E$12,N80+K81)</f>
        <v/>
      </c>
      <c r="M81" s="155">
        <f>MIN(N80+K81-L81,MAX(0,$AQ81-(E81+I81)))</f>
        <v/>
      </c>
      <c r="N81" s="155">
        <f>ROUND(N80+K81-L81-M81,2)</f>
        <v/>
      </c>
      <c r="O81" s="155">
        <f>ROUND(R80*$D$13,2)</f>
        <v/>
      </c>
      <c r="P81" s="155">
        <f>MIN($E$13,R80+O81)</f>
        <v/>
      </c>
      <c r="Q81" s="155">
        <f>MIN(R80+O81-P81,MAX(0,$AQ81-(E81+I81+M81)))</f>
        <v/>
      </c>
      <c r="R81" s="155">
        <f>ROUND(R80+O81-P81-Q81,2)</f>
        <v/>
      </c>
      <c r="S81" s="155">
        <f>ROUND(V80*$D$14,2)</f>
        <v/>
      </c>
      <c r="T81" s="155">
        <f>MIN($E$14,V80+S81)</f>
        <v/>
      </c>
      <c r="U81" s="155">
        <f>MIN(V80+S81-T81,MAX(0,$AQ81-(E81+I81+M81+Q81)))</f>
        <v/>
      </c>
      <c r="V81" s="155">
        <f>ROUND(V80+S81-T81-U81,2)</f>
        <v/>
      </c>
      <c r="W81" s="155">
        <f>ROUND(Z80*$D$15,2)</f>
        <v/>
      </c>
      <c r="X81" s="155">
        <f>MIN($E$15,Z80+W81)</f>
        <v/>
      </c>
      <c r="Y81" s="155">
        <f>MIN(Z80+W81-X81,MAX(0,$AQ81-(E81+I81+M81+Q81+U81)))</f>
        <v/>
      </c>
      <c r="Z81" s="155">
        <f>ROUND(Z80+W81-X81-Y81,2)</f>
        <v/>
      </c>
      <c r="AA81" s="155">
        <f>ROUND(AD80*$D$16,2)</f>
        <v/>
      </c>
      <c r="AB81" s="155">
        <f>MIN($E$16,AD80+AA81)</f>
        <v/>
      </c>
      <c r="AC81" s="155">
        <f>MIN(AD80+AA81-AB81,MAX(0,$AQ81-(E81+I81+M81+Q81+U81+Y81)))</f>
        <v/>
      </c>
      <c r="AD81" s="155">
        <f>ROUND(AD80+AA81-AB81-AC81,2)</f>
        <v/>
      </c>
      <c r="AE81" s="155">
        <f>ROUND(AH80*$D$17,2)</f>
        <v/>
      </c>
      <c r="AF81" s="155">
        <f>MIN($E$17,AH80+AE81)</f>
        <v/>
      </c>
      <c r="AG81" s="155">
        <f>MIN(AH80+AE81-AF81,MAX(0,$AQ81-(E81+I81+M81+Q81+U81+Y81+AC81)))</f>
        <v/>
      </c>
      <c r="AH81" s="155">
        <f>ROUND(AH80+AE81-AF81-AG81,2)</f>
        <v/>
      </c>
      <c r="AI81" s="155">
        <f>ROUND(AL80*$D$18,2)</f>
        <v/>
      </c>
      <c r="AJ81" s="155">
        <f>MIN($E$18,AL80+AI81)</f>
        <v/>
      </c>
      <c r="AK81" s="155">
        <f>MIN(AL80+AI81-AJ81,MAX(0,$AQ81-(E81+I81+M81+Q81+U81+Y81+AC81+AG81)))</f>
        <v/>
      </c>
      <c r="AL81" s="155">
        <f>ROUND(AL80+AI81-AJ81-AK81,2)</f>
        <v/>
      </c>
      <c r="AM81" s="155">
        <f>ROUND(AP80*$D$19,2)</f>
        <v/>
      </c>
      <c r="AN81" s="155">
        <f>MIN($E$19,AP80+AM81)</f>
        <v/>
      </c>
      <c r="AO81" s="155">
        <f>MIN(AP80+AM81-AN81,MAX(0,$AQ81-(E81+I81+M81+Q81+U81+Y81+AC81+AG81+AK81)))</f>
        <v/>
      </c>
      <c r="AP81" s="155">
        <f>ROUND(AP80+AM81-AN81-AO81,2)</f>
        <v/>
      </c>
      <c r="AQ81" s="155">
        <f>MAX(0,$B$6-(D81+H81+L81+P81+T81+X81+AB81+AF81+AJ81+AN81))</f>
        <v/>
      </c>
      <c r="AR81" s="155">
        <f>D81+H81+L81+P81+T81+X81+AB81+AF81+AJ81+AN81+E81+I81+M81+Q81+U81+Y81+AC81+AG81+AK81+AO81</f>
        <v/>
      </c>
      <c r="AS81" s="155">
        <f>C81+G81+K81+O81+S81+W81+AA81+AE81+AI81+AM81</f>
        <v/>
      </c>
      <c r="AT81" s="155">
        <f>F81+J81+N81+R81+V81+Z81+AD81+AH81+AL81+AP81</f>
        <v/>
      </c>
      <c r="AU81" s="157">
        <f>MID(IF(AND(F81=0,F80&gt;0),"; "&amp;$B$10,"")&amp;IF(AND(J81=0,J80&gt;0),"; "&amp;$B$11,"")&amp;IF(AND(N81=0,N80&gt;0),"; "&amp;$B$12,"")&amp;IF(AND(R81=0,R80&gt;0),"; "&amp;$B$13,"")&amp;IF(AND(V81=0,V80&gt;0),"; "&amp;$B$14,"")&amp;IF(AND(Z81=0,Z80&gt;0),"; "&amp;$B$15,"")&amp;IF(AND(AD81=0,AD80&gt;0),"; "&amp;$B$16,"")&amp;IF(AND(AH81=0,AH80&gt;0),"; "&amp;$B$17,"")&amp;IF(AND(AL81=0,AL80&gt;0),"; "&amp;$B$18,"")&amp;IF(AND(AP81=0,AP80&gt;0),"; "&amp;$B$19,""),3,200)</f>
        <v/>
      </c>
    </row>
    <row r="82">
      <c r="A82" s="154" t="n">
        <v>58</v>
      </c>
      <c r="B82" s="156">
        <f>EDATE($B$5,A82-1)</f>
        <v/>
      </c>
      <c r="C82" s="155">
        <f>ROUND(F81*$D$10,2)</f>
        <v/>
      </c>
      <c r="D82" s="155">
        <f>MIN($E$10,F81+C82)</f>
        <v/>
      </c>
      <c r="E82" s="155">
        <f>MIN(F81+C82-D82,MAX(0,$AQ82-(0)))</f>
        <v/>
      </c>
      <c r="F82" s="155">
        <f>ROUND(F81+C82-D82-E82,2)</f>
        <v/>
      </c>
      <c r="G82" s="155">
        <f>ROUND(J81*$D$11,2)</f>
        <v/>
      </c>
      <c r="H82" s="155">
        <f>MIN($E$11,J81+G82)</f>
        <v/>
      </c>
      <c r="I82" s="155">
        <f>MIN(J81+G82-H82,MAX(0,$AQ82-(E82)))</f>
        <v/>
      </c>
      <c r="J82" s="155">
        <f>ROUND(J81+G82-H82-I82,2)</f>
        <v/>
      </c>
      <c r="K82" s="155">
        <f>ROUND(N81*$D$12,2)</f>
        <v/>
      </c>
      <c r="L82" s="155">
        <f>MIN($E$12,N81+K82)</f>
        <v/>
      </c>
      <c r="M82" s="155">
        <f>MIN(N81+K82-L82,MAX(0,$AQ82-(E82+I82)))</f>
        <v/>
      </c>
      <c r="N82" s="155">
        <f>ROUND(N81+K82-L82-M82,2)</f>
        <v/>
      </c>
      <c r="O82" s="155">
        <f>ROUND(R81*$D$13,2)</f>
        <v/>
      </c>
      <c r="P82" s="155">
        <f>MIN($E$13,R81+O82)</f>
        <v/>
      </c>
      <c r="Q82" s="155">
        <f>MIN(R81+O82-P82,MAX(0,$AQ82-(E82+I82+M82)))</f>
        <v/>
      </c>
      <c r="R82" s="155">
        <f>ROUND(R81+O82-P82-Q82,2)</f>
        <v/>
      </c>
      <c r="S82" s="155">
        <f>ROUND(V81*$D$14,2)</f>
        <v/>
      </c>
      <c r="T82" s="155">
        <f>MIN($E$14,V81+S82)</f>
        <v/>
      </c>
      <c r="U82" s="155">
        <f>MIN(V81+S82-T82,MAX(0,$AQ82-(E82+I82+M82+Q82)))</f>
        <v/>
      </c>
      <c r="V82" s="155">
        <f>ROUND(V81+S82-T82-U82,2)</f>
        <v/>
      </c>
      <c r="W82" s="155">
        <f>ROUND(Z81*$D$15,2)</f>
        <v/>
      </c>
      <c r="X82" s="155">
        <f>MIN($E$15,Z81+W82)</f>
        <v/>
      </c>
      <c r="Y82" s="155">
        <f>MIN(Z81+W82-X82,MAX(0,$AQ82-(E82+I82+M82+Q82+U82)))</f>
        <v/>
      </c>
      <c r="Z82" s="155">
        <f>ROUND(Z81+W82-X82-Y82,2)</f>
        <v/>
      </c>
      <c r="AA82" s="155">
        <f>ROUND(AD81*$D$16,2)</f>
        <v/>
      </c>
      <c r="AB82" s="155">
        <f>MIN($E$16,AD81+AA82)</f>
        <v/>
      </c>
      <c r="AC82" s="155">
        <f>MIN(AD81+AA82-AB82,MAX(0,$AQ82-(E82+I82+M82+Q82+U82+Y82)))</f>
        <v/>
      </c>
      <c r="AD82" s="155">
        <f>ROUND(AD81+AA82-AB82-AC82,2)</f>
        <v/>
      </c>
      <c r="AE82" s="155">
        <f>ROUND(AH81*$D$17,2)</f>
        <v/>
      </c>
      <c r="AF82" s="155">
        <f>MIN($E$17,AH81+AE82)</f>
        <v/>
      </c>
      <c r="AG82" s="155">
        <f>MIN(AH81+AE82-AF82,MAX(0,$AQ82-(E82+I82+M82+Q82+U82+Y82+AC82)))</f>
        <v/>
      </c>
      <c r="AH82" s="155">
        <f>ROUND(AH81+AE82-AF82-AG82,2)</f>
        <v/>
      </c>
      <c r="AI82" s="155">
        <f>ROUND(AL81*$D$18,2)</f>
        <v/>
      </c>
      <c r="AJ82" s="155">
        <f>MIN($E$18,AL81+AI82)</f>
        <v/>
      </c>
      <c r="AK82" s="155">
        <f>MIN(AL81+AI82-AJ82,MAX(0,$AQ82-(E82+I82+M82+Q82+U82+Y82+AC82+AG82)))</f>
        <v/>
      </c>
      <c r="AL82" s="155">
        <f>ROUND(AL81+AI82-AJ82-AK82,2)</f>
        <v/>
      </c>
      <c r="AM82" s="155">
        <f>ROUND(AP81*$D$19,2)</f>
        <v/>
      </c>
      <c r="AN82" s="155">
        <f>MIN($E$19,AP81+AM82)</f>
        <v/>
      </c>
      <c r="AO82" s="155">
        <f>MIN(AP81+AM82-AN82,MAX(0,$AQ82-(E82+I82+M82+Q82+U82+Y82+AC82+AG82+AK82)))</f>
        <v/>
      </c>
      <c r="AP82" s="155">
        <f>ROUND(AP81+AM82-AN82-AO82,2)</f>
        <v/>
      </c>
      <c r="AQ82" s="155">
        <f>MAX(0,$B$6-(D82+H82+L82+P82+T82+X82+AB82+AF82+AJ82+AN82))</f>
        <v/>
      </c>
      <c r="AR82" s="155">
        <f>D82+H82+L82+P82+T82+X82+AB82+AF82+AJ82+AN82+E82+I82+M82+Q82+U82+Y82+AC82+AG82+AK82+AO82</f>
        <v/>
      </c>
      <c r="AS82" s="155">
        <f>C82+G82+K82+O82+S82+W82+AA82+AE82+AI82+AM82</f>
        <v/>
      </c>
      <c r="AT82" s="155">
        <f>F82+J82+N82+R82+V82+Z82+AD82+AH82+AL82+AP82</f>
        <v/>
      </c>
      <c r="AU82" s="157">
        <f>MID(IF(AND(F82=0,F81&gt;0),"; "&amp;$B$10,"")&amp;IF(AND(J82=0,J81&gt;0),"; "&amp;$B$11,"")&amp;IF(AND(N82=0,N81&gt;0),"; "&amp;$B$12,"")&amp;IF(AND(R82=0,R81&gt;0),"; "&amp;$B$13,"")&amp;IF(AND(V82=0,V81&gt;0),"; "&amp;$B$14,"")&amp;IF(AND(Z82=0,Z81&gt;0),"; "&amp;$B$15,"")&amp;IF(AND(AD82=0,AD81&gt;0),"; "&amp;$B$16,"")&amp;IF(AND(AH82=0,AH81&gt;0),"; "&amp;$B$17,"")&amp;IF(AND(AL82=0,AL81&gt;0),"; "&amp;$B$18,"")&amp;IF(AND(AP82=0,AP81&gt;0),"; "&amp;$B$19,""),3,200)</f>
        <v/>
      </c>
    </row>
    <row r="83">
      <c r="A83" s="154" t="n">
        <v>59</v>
      </c>
      <c r="B83" s="156">
        <f>EDATE($B$5,A83-1)</f>
        <v/>
      </c>
      <c r="C83" s="155">
        <f>ROUND(F82*$D$10,2)</f>
        <v/>
      </c>
      <c r="D83" s="155">
        <f>MIN($E$10,F82+C83)</f>
        <v/>
      </c>
      <c r="E83" s="155">
        <f>MIN(F82+C83-D83,MAX(0,$AQ83-(0)))</f>
        <v/>
      </c>
      <c r="F83" s="155">
        <f>ROUND(F82+C83-D83-E83,2)</f>
        <v/>
      </c>
      <c r="G83" s="155">
        <f>ROUND(J82*$D$11,2)</f>
        <v/>
      </c>
      <c r="H83" s="155">
        <f>MIN($E$11,J82+G83)</f>
        <v/>
      </c>
      <c r="I83" s="155">
        <f>MIN(J82+G83-H83,MAX(0,$AQ83-(E83)))</f>
        <v/>
      </c>
      <c r="J83" s="155">
        <f>ROUND(J82+G83-H83-I83,2)</f>
        <v/>
      </c>
      <c r="K83" s="155">
        <f>ROUND(N82*$D$12,2)</f>
        <v/>
      </c>
      <c r="L83" s="155">
        <f>MIN($E$12,N82+K83)</f>
        <v/>
      </c>
      <c r="M83" s="155">
        <f>MIN(N82+K83-L83,MAX(0,$AQ83-(E83+I83)))</f>
        <v/>
      </c>
      <c r="N83" s="155">
        <f>ROUND(N82+K83-L83-M83,2)</f>
        <v/>
      </c>
      <c r="O83" s="155">
        <f>ROUND(R82*$D$13,2)</f>
        <v/>
      </c>
      <c r="P83" s="155">
        <f>MIN($E$13,R82+O83)</f>
        <v/>
      </c>
      <c r="Q83" s="155">
        <f>MIN(R82+O83-P83,MAX(0,$AQ83-(E83+I83+M83)))</f>
        <v/>
      </c>
      <c r="R83" s="155">
        <f>ROUND(R82+O83-P83-Q83,2)</f>
        <v/>
      </c>
      <c r="S83" s="155">
        <f>ROUND(V82*$D$14,2)</f>
        <v/>
      </c>
      <c r="T83" s="155">
        <f>MIN($E$14,V82+S83)</f>
        <v/>
      </c>
      <c r="U83" s="155">
        <f>MIN(V82+S83-T83,MAX(0,$AQ83-(E83+I83+M83+Q83)))</f>
        <v/>
      </c>
      <c r="V83" s="155">
        <f>ROUND(V82+S83-T83-U83,2)</f>
        <v/>
      </c>
      <c r="W83" s="155">
        <f>ROUND(Z82*$D$15,2)</f>
        <v/>
      </c>
      <c r="X83" s="155">
        <f>MIN($E$15,Z82+W83)</f>
        <v/>
      </c>
      <c r="Y83" s="155">
        <f>MIN(Z82+W83-X83,MAX(0,$AQ83-(E83+I83+M83+Q83+U83)))</f>
        <v/>
      </c>
      <c r="Z83" s="155">
        <f>ROUND(Z82+W83-X83-Y83,2)</f>
        <v/>
      </c>
      <c r="AA83" s="155">
        <f>ROUND(AD82*$D$16,2)</f>
        <v/>
      </c>
      <c r="AB83" s="155">
        <f>MIN($E$16,AD82+AA83)</f>
        <v/>
      </c>
      <c r="AC83" s="155">
        <f>MIN(AD82+AA83-AB83,MAX(0,$AQ83-(E83+I83+M83+Q83+U83+Y83)))</f>
        <v/>
      </c>
      <c r="AD83" s="155">
        <f>ROUND(AD82+AA83-AB83-AC83,2)</f>
        <v/>
      </c>
      <c r="AE83" s="155">
        <f>ROUND(AH82*$D$17,2)</f>
        <v/>
      </c>
      <c r="AF83" s="155">
        <f>MIN($E$17,AH82+AE83)</f>
        <v/>
      </c>
      <c r="AG83" s="155">
        <f>MIN(AH82+AE83-AF83,MAX(0,$AQ83-(E83+I83+M83+Q83+U83+Y83+AC83)))</f>
        <v/>
      </c>
      <c r="AH83" s="155">
        <f>ROUND(AH82+AE83-AF83-AG83,2)</f>
        <v/>
      </c>
      <c r="AI83" s="155">
        <f>ROUND(AL82*$D$18,2)</f>
        <v/>
      </c>
      <c r="AJ83" s="155">
        <f>MIN($E$18,AL82+AI83)</f>
        <v/>
      </c>
      <c r="AK83" s="155">
        <f>MIN(AL82+AI83-AJ83,MAX(0,$AQ83-(E83+I83+M83+Q83+U83+Y83+AC83+AG83)))</f>
        <v/>
      </c>
      <c r="AL83" s="155">
        <f>ROUND(AL82+AI83-AJ83-AK83,2)</f>
        <v/>
      </c>
      <c r="AM83" s="155">
        <f>ROUND(AP82*$D$19,2)</f>
        <v/>
      </c>
      <c r="AN83" s="155">
        <f>MIN($E$19,AP82+AM83)</f>
        <v/>
      </c>
      <c r="AO83" s="155">
        <f>MIN(AP82+AM83-AN83,MAX(0,$AQ83-(E83+I83+M83+Q83+U83+Y83+AC83+AG83+AK83)))</f>
        <v/>
      </c>
      <c r="AP83" s="155">
        <f>ROUND(AP82+AM83-AN83-AO83,2)</f>
        <v/>
      </c>
      <c r="AQ83" s="155">
        <f>MAX(0,$B$6-(D83+H83+L83+P83+T83+X83+AB83+AF83+AJ83+AN83))</f>
        <v/>
      </c>
      <c r="AR83" s="155">
        <f>D83+H83+L83+P83+T83+X83+AB83+AF83+AJ83+AN83+E83+I83+M83+Q83+U83+Y83+AC83+AG83+AK83+AO83</f>
        <v/>
      </c>
      <c r="AS83" s="155">
        <f>C83+G83+K83+O83+S83+W83+AA83+AE83+AI83+AM83</f>
        <v/>
      </c>
      <c r="AT83" s="155">
        <f>F83+J83+N83+R83+V83+Z83+AD83+AH83+AL83+AP83</f>
        <v/>
      </c>
      <c r="AU83" s="157">
        <f>MID(IF(AND(F83=0,F82&gt;0),"; "&amp;$B$10,"")&amp;IF(AND(J83=0,J82&gt;0),"; "&amp;$B$11,"")&amp;IF(AND(N83=0,N82&gt;0),"; "&amp;$B$12,"")&amp;IF(AND(R83=0,R82&gt;0),"; "&amp;$B$13,"")&amp;IF(AND(V83=0,V82&gt;0),"; "&amp;$B$14,"")&amp;IF(AND(Z83=0,Z82&gt;0),"; "&amp;$B$15,"")&amp;IF(AND(AD83=0,AD82&gt;0),"; "&amp;$B$16,"")&amp;IF(AND(AH83=0,AH82&gt;0),"; "&amp;$B$17,"")&amp;IF(AND(AL83=0,AL82&gt;0),"; "&amp;$B$18,"")&amp;IF(AND(AP83=0,AP82&gt;0),"; "&amp;$B$19,""),3,200)</f>
        <v/>
      </c>
    </row>
    <row r="84">
      <c r="A84" s="154" t="n">
        <v>60</v>
      </c>
      <c r="B84" s="156">
        <f>EDATE($B$5,A84-1)</f>
        <v/>
      </c>
      <c r="C84" s="155">
        <f>ROUND(F83*$D$10,2)</f>
        <v/>
      </c>
      <c r="D84" s="155">
        <f>MIN($E$10,F83+C84)</f>
        <v/>
      </c>
      <c r="E84" s="155">
        <f>MIN(F83+C84-D84,MAX(0,$AQ84-(0)))</f>
        <v/>
      </c>
      <c r="F84" s="155">
        <f>ROUND(F83+C84-D84-E84,2)</f>
        <v/>
      </c>
      <c r="G84" s="155">
        <f>ROUND(J83*$D$11,2)</f>
        <v/>
      </c>
      <c r="H84" s="155">
        <f>MIN($E$11,J83+G84)</f>
        <v/>
      </c>
      <c r="I84" s="155">
        <f>MIN(J83+G84-H84,MAX(0,$AQ84-(E84)))</f>
        <v/>
      </c>
      <c r="J84" s="155">
        <f>ROUND(J83+G84-H84-I84,2)</f>
        <v/>
      </c>
      <c r="K84" s="155">
        <f>ROUND(N83*$D$12,2)</f>
        <v/>
      </c>
      <c r="L84" s="155">
        <f>MIN($E$12,N83+K84)</f>
        <v/>
      </c>
      <c r="M84" s="155">
        <f>MIN(N83+K84-L84,MAX(0,$AQ84-(E84+I84)))</f>
        <v/>
      </c>
      <c r="N84" s="155">
        <f>ROUND(N83+K84-L84-M84,2)</f>
        <v/>
      </c>
      <c r="O84" s="155">
        <f>ROUND(R83*$D$13,2)</f>
        <v/>
      </c>
      <c r="P84" s="155">
        <f>MIN($E$13,R83+O84)</f>
        <v/>
      </c>
      <c r="Q84" s="155">
        <f>MIN(R83+O84-P84,MAX(0,$AQ84-(E84+I84+M84)))</f>
        <v/>
      </c>
      <c r="R84" s="155">
        <f>ROUND(R83+O84-P84-Q84,2)</f>
        <v/>
      </c>
      <c r="S84" s="155">
        <f>ROUND(V83*$D$14,2)</f>
        <v/>
      </c>
      <c r="T84" s="155">
        <f>MIN($E$14,V83+S84)</f>
        <v/>
      </c>
      <c r="U84" s="155">
        <f>MIN(V83+S84-T84,MAX(0,$AQ84-(E84+I84+M84+Q84)))</f>
        <v/>
      </c>
      <c r="V84" s="155">
        <f>ROUND(V83+S84-T84-U84,2)</f>
        <v/>
      </c>
      <c r="W84" s="155">
        <f>ROUND(Z83*$D$15,2)</f>
        <v/>
      </c>
      <c r="X84" s="155">
        <f>MIN($E$15,Z83+W84)</f>
        <v/>
      </c>
      <c r="Y84" s="155">
        <f>MIN(Z83+W84-X84,MAX(0,$AQ84-(E84+I84+M84+Q84+U84)))</f>
        <v/>
      </c>
      <c r="Z84" s="155">
        <f>ROUND(Z83+W84-X84-Y84,2)</f>
        <v/>
      </c>
      <c r="AA84" s="155">
        <f>ROUND(AD83*$D$16,2)</f>
        <v/>
      </c>
      <c r="AB84" s="155">
        <f>MIN($E$16,AD83+AA84)</f>
        <v/>
      </c>
      <c r="AC84" s="155">
        <f>MIN(AD83+AA84-AB84,MAX(0,$AQ84-(E84+I84+M84+Q84+U84+Y84)))</f>
        <v/>
      </c>
      <c r="AD84" s="155">
        <f>ROUND(AD83+AA84-AB84-AC84,2)</f>
        <v/>
      </c>
      <c r="AE84" s="155">
        <f>ROUND(AH83*$D$17,2)</f>
        <v/>
      </c>
      <c r="AF84" s="155">
        <f>MIN($E$17,AH83+AE84)</f>
        <v/>
      </c>
      <c r="AG84" s="155">
        <f>MIN(AH83+AE84-AF84,MAX(0,$AQ84-(E84+I84+M84+Q84+U84+Y84+AC84)))</f>
        <v/>
      </c>
      <c r="AH84" s="155">
        <f>ROUND(AH83+AE84-AF84-AG84,2)</f>
        <v/>
      </c>
      <c r="AI84" s="155">
        <f>ROUND(AL83*$D$18,2)</f>
        <v/>
      </c>
      <c r="AJ84" s="155">
        <f>MIN($E$18,AL83+AI84)</f>
        <v/>
      </c>
      <c r="AK84" s="155">
        <f>MIN(AL83+AI84-AJ84,MAX(0,$AQ84-(E84+I84+M84+Q84+U84+Y84+AC84+AG84)))</f>
        <v/>
      </c>
      <c r="AL84" s="155">
        <f>ROUND(AL83+AI84-AJ84-AK84,2)</f>
        <v/>
      </c>
      <c r="AM84" s="155">
        <f>ROUND(AP83*$D$19,2)</f>
        <v/>
      </c>
      <c r="AN84" s="155">
        <f>MIN($E$19,AP83+AM84)</f>
        <v/>
      </c>
      <c r="AO84" s="155">
        <f>MIN(AP83+AM84-AN84,MAX(0,$AQ84-(E84+I84+M84+Q84+U84+Y84+AC84+AG84+AK84)))</f>
        <v/>
      </c>
      <c r="AP84" s="155">
        <f>ROUND(AP83+AM84-AN84-AO84,2)</f>
        <v/>
      </c>
      <c r="AQ84" s="155">
        <f>MAX(0,$B$6-(D84+H84+L84+P84+T84+X84+AB84+AF84+AJ84+AN84))</f>
        <v/>
      </c>
      <c r="AR84" s="155">
        <f>D84+H84+L84+P84+T84+X84+AB84+AF84+AJ84+AN84+E84+I84+M84+Q84+U84+Y84+AC84+AG84+AK84+AO84</f>
        <v/>
      </c>
      <c r="AS84" s="155">
        <f>C84+G84+K84+O84+S84+W84+AA84+AE84+AI84+AM84</f>
        <v/>
      </c>
      <c r="AT84" s="155">
        <f>F84+J84+N84+R84+V84+Z84+AD84+AH84+AL84+AP84</f>
        <v/>
      </c>
      <c r="AU84" s="157">
        <f>MID(IF(AND(F84=0,F83&gt;0),"; "&amp;$B$10,"")&amp;IF(AND(J84=0,J83&gt;0),"; "&amp;$B$11,"")&amp;IF(AND(N84=0,N83&gt;0),"; "&amp;$B$12,"")&amp;IF(AND(R84=0,R83&gt;0),"; "&amp;$B$13,"")&amp;IF(AND(V84=0,V83&gt;0),"; "&amp;$B$14,"")&amp;IF(AND(Z84=0,Z83&gt;0),"; "&amp;$B$15,"")&amp;IF(AND(AD84=0,AD83&gt;0),"; "&amp;$B$16,"")&amp;IF(AND(AH84=0,AH83&gt;0),"; "&amp;$B$17,"")&amp;IF(AND(AL84=0,AL83&gt;0),"; "&amp;$B$18,"")&amp;IF(AND(AP84=0,AP83&gt;0),"; "&amp;$B$19,""),3,200)</f>
        <v/>
      </c>
    </row>
    <row r="87">
      <c r="A87" s="5" t="inlineStr">
        <is>
          <t>AVALANCHE: mínimos em todas e todo o excedente na dívida de maior juros</t>
        </is>
      </c>
    </row>
    <row r="89" ht="18" customHeight="1">
      <c r="A89" s="44" t="inlineStr">
        <is>
          <t>mês nº</t>
        </is>
      </c>
      <c r="B89" s="44" t="inlineStr">
        <is>
          <t>Mês</t>
        </is>
      </c>
      <c r="C89" s="70" t="inlineStr">
        <is>
          <t>Juros 1</t>
        </is>
      </c>
      <c r="D89" s="70" t="inlineStr">
        <is>
          <t>Pago (mín.) 1</t>
        </is>
      </c>
      <c r="E89" s="70" t="inlineStr">
        <is>
          <t>Extra 1</t>
        </is>
      </c>
      <c r="F89" s="70" t="inlineStr">
        <is>
          <t>Saldo 1</t>
        </is>
      </c>
      <c r="G89" s="70" t="inlineStr">
        <is>
          <t>Juros 2</t>
        </is>
      </c>
      <c r="H89" s="70" t="inlineStr">
        <is>
          <t>Pago (mín.) 2</t>
        </is>
      </c>
      <c r="I89" s="70" t="inlineStr">
        <is>
          <t>Extra 2</t>
        </is>
      </c>
      <c r="J89" s="70" t="inlineStr">
        <is>
          <t>Saldo 2</t>
        </is>
      </c>
      <c r="K89" s="70" t="inlineStr">
        <is>
          <t>Juros 3</t>
        </is>
      </c>
      <c r="L89" s="70" t="inlineStr">
        <is>
          <t>Pago (mín.) 3</t>
        </is>
      </c>
      <c r="M89" s="70" t="inlineStr">
        <is>
          <t>Extra 3</t>
        </is>
      </c>
      <c r="N89" s="70" t="inlineStr">
        <is>
          <t>Saldo 3</t>
        </is>
      </c>
      <c r="O89" s="70" t="inlineStr">
        <is>
          <t>Juros 4</t>
        </is>
      </c>
      <c r="P89" s="70" t="inlineStr">
        <is>
          <t>Pago (mín.) 4</t>
        </is>
      </c>
      <c r="Q89" s="70" t="inlineStr">
        <is>
          <t>Extra 4</t>
        </is>
      </c>
      <c r="R89" s="70" t="inlineStr">
        <is>
          <t>Saldo 4</t>
        </is>
      </c>
      <c r="S89" s="70" t="inlineStr">
        <is>
          <t>Juros 5</t>
        </is>
      </c>
      <c r="T89" s="70" t="inlineStr">
        <is>
          <t>Pago (mín.) 5</t>
        </is>
      </c>
      <c r="U89" s="70" t="inlineStr">
        <is>
          <t>Extra 5</t>
        </is>
      </c>
      <c r="V89" s="70" t="inlineStr">
        <is>
          <t>Saldo 5</t>
        </is>
      </c>
      <c r="W89" s="70" t="inlineStr">
        <is>
          <t>Juros 6</t>
        </is>
      </c>
      <c r="X89" s="70" t="inlineStr">
        <is>
          <t>Pago (mín.) 6</t>
        </is>
      </c>
      <c r="Y89" s="70" t="inlineStr">
        <is>
          <t>Extra 6</t>
        </is>
      </c>
      <c r="Z89" s="70" t="inlineStr">
        <is>
          <t>Saldo 6</t>
        </is>
      </c>
      <c r="AA89" s="70" t="inlineStr">
        <is>
          <t>Juros 7</t>
        </is>
      </c>
      <c r="AB89" s="70" t="inlineStr">
        <is>
          <t>Pago (mín.) 7</t>
        </is>
      </c>
      <c r="AC89" s="70" t="inlineStr">
        <is>
          <t>Extra 7</t>
        </is>
      </c>
      <c r="AD89" s="70" t="inlineStr">
        <is>
          <t>Saldo 7</t>
        </is>
      </c>
      <c r="AE89" s="70" t="inlineStr">
        <is>
          <t>Juros 8</t>
        </is>
      </c>
      <c r="AF89" s="70" t="inlineStr">
        <is>
          <t>Pago (mín.) 8</t>
        </is>
      </c>
      <c r="AG89" s="70" t="inlineStr">
        <is>
          <t>Extra 8</t>
        </is>
      </c>
      <c r="AH89" s="70" t="inlineStr">
        <is>
          <t>Saldo 8</t>
        </is>
      </c>
      <c r="AI89" s="70" t="inlineStr">
        <is>
          <t>Juros 9</t>
        </is>
      </c>
      <c r="AJ89" s="70" t="inlineStr">
        <is>
          <t>Pago (mín.) 9</t>
        </is>
      </c>
      <c r="AK89" s="70" t="inlineStr">
        <is>
          <t>Extra 9</t>
        </is>
      </c>
      <c r="AL89" s="70" t="inlineStr">
        <is>
          <t>Saldo 9</t>
        </is>
      </c>
      <c r="AM89" s="70" t="inlineStr">
        <is>
          <t>Juros 10</t>
        </is>
      </c>
      <c r="AN89" s="70" t="inlineStr">
        <is>
          <t>Pago (mín.) 10</t>
        </is>
      </c>
      <c r="AO89" s="70" t="inlineStr">
        <is>
          <t>Extra 10</t>
        </is>
      </c>
      <c r="AP89" s="70" t="inlineStr">
        <is>
          <t>Saldo 10</t>
        </is>
      </c>
      <c r="AQ89" s="44" t="inlineStr">
        <is>
          <t>Excedente</t>
        </is>
      </c>
      <c r="AR89" s="44" t="inlineStr">
        <is>
          <t>Pago no mês</t>
        </is>
      </c>
      <c r="AS89" s="44" t="inlineStr">
        <is>
          <t>Juros do mês</t>
        </is>
      </c>
      <c r="AT89" s="44" t="inlineStr">
        <is>
          <t>Saldo total</t>
        </is>
      </c>
      <c r="AU89" s="44" t="inlineStr">
        <is>
          <t>Quitada no mês</t>
        </is>
      </c>
    </row>
    <row r="90">
      <c r="A90" s="154" t="n">
        <v>0</v>
      </c>
      <c r="F90" s="155">
        <f>$I$10</f>
        <v/>
      </c>
      <c r="J90" s="155">
        <f>$I$11</f>
        <v/>
      </c>
      <c r="N90" s="155">
        <f>$I$12</f>
        <v/>
      </c>
      <c r="R90" s="155">
        <f>$I$13</f>
        <v/>
      </c>
      <c r="V90" s="155">
        <f>$I$14</f>
        <v/>
      </c>
      <c r="Z90" s="155">
        <f>$I$15</f>
        <v/>
      </c>
      <c r="AD90" s="155">
        <f>$I$16</f>
        <v/>
      </c>
      <c r="AH90" s="155">
        <f>$I$17</f>
        <v/>
      </c>
      <c r="AL90" s="155">
        <f>$I$18</f>
        <v/>
      </c>
      <c r="AP90" s="155">
        <f>$I$19</f>
        <v/>
      </c>
      <c r="AT90" s="155">
        <f>F90+J90+N90+R90+V90+Z90+AD90+AH90+AL90+AP90</f>
        <v/>
      </c>
    </row>
    <row r="91">
      <c r="A91" s="154" t="n">
        <v>1</v>
      </c>
      <c r="B91" s="156">
        <f>EDATE($B$5,A91-1)</f>
        <v/>
      </c>
      <c r="C91" s="155">
        <f>ROUND(F90*$J$10,2)</f>
        <v/>
      </c>
      <c r="D91" s="155">
        <f>MIN($K$10,F90+C91)</f>
        <v/>
      </c>
      <c r="E91" s="155">
        <f>MIN(F90+C91-D91,MAX(0,$AQ91-(0)))</f>
        <v/>
      </c>
      <c r="F91" s="155">
        <f>ROUND(F90+C91-D91-E91,2)</f>
        <v/>
      </c>
      <c r="G91" s="155">
        <f>ROUND(J90*$J$11,2)</f>
        <v/>
      </c>
      <c r="H91" s="155">
        <f>MIN($K$11,J90+G91)</f>
        <v/>
      </c>
      <c r="I91" s="155">
        <f>MIN(J90+G91-H91,MAX(0,$AQ91-(E91)))</f>
        <v/>
      </c>
      <c r="J91" s="155">
        <f>ROUND(J90+G91-H91-I91,2)</f>
        <v/>
      </c>
      <c r="K91" s="155">
        <f>ROUND(N90*$J$12,2)</f>
        <v/>
      </c>
      <c r="L91" s="155">
        <f>MIN($K$12,N90+K91)</f>
        <v/>
      </c>
      <c r="M91" s="155">
        <f>MIN(N90+K91-L91,MAX(0,$AQ91-(E91+I91)))</f>
        <v/>
      </c>
      <c r="N91" s="155">
        <f>ROUND(N90+K91-L91-M91,2)</f>
        <v/>
      </c>
      <c r="O91" s="155">
        <f>ROUND(R90*$J$13,2)</f>
        <v/>
      </c>
      <c r="P91" s="155">
        <f>MIN($K$13,R90+O91)</f>
        <v/>
      </c>
      <c r="Q91" s="155">
        <f>MIN(R90+O91-P91,MAX(0,$AQ91-(E91+I91+M91)))</f>
        <v/>
      </c>
      <c r="R91" s="155">
        <f>ROUND(R90+O91-P91-Q91,2)</f>
        <v/>
      </c>
      <c r="S91" s="155">
        <f>ROUND(V90*$J$14,2)</f>
        <v/>
      </c>
      <c r="T91" s="155">
        <f>MIN($K$14,V90+S91)</f>
        <v/>
      </c>
      <c r="U91" s="155">
        <f>MIN(V90+S91-T91,MAX(0,$AQ91-(E91+I91+M91+Q91)))</f>
        <v/>
      </c>
      <c r="V91" s="155">
        <f>ROUND(V90+S91-T91-U91,2)</f>
        <v/>
      </c>
      <c r="W91" s="155">
        <f>ROUND(Z90*$J$15,2)</f>
        <v/>
      </c>
      <c r="X91" s="155">
        <f>MIN($K$15,Z90+W91)</f>
        <v/>
      </c>
      <c r="Y91" s="155">
        <f>MIN(Z90+W91-X91,MAX(0,$AQ91-(E91+I91+M91+Q91+U91)))</f>
        <v/>
      </c>
      <c r="Z91" s="155">
        <f>ROUND(Z90+W91-X91-Y91,2)</f>
        <v/>
      </c>
      <c r="AA91" s="155">
        <f>ROUND(AD90*$J$16,2)</f>
        <v/>
      </c>
      <c r="AB91" s="155">
        <f>MIN($K$16,AD90+AA91)</f>
        <v/>
      </c>
      <c r="AC91" s="155">
        <f>MIN(AD90+AA91-AB91,MAX(0,$AQ91-(E91+I91+M91+Q91+U91+Y91)))</f>
        <v/>
      </c>
      <c r="AD91" s="155">
        <f>ROUND(AD90+AA91-AB91-AC91,2)</f>
        <v/>
      </c>
      <c r="AE91" s="155">
        <f>ROUND(AH90*$J$17,2)</f>
        <v/>
      </c>
      <c r="AF91" s="155">
        <f>MIN($K$17,AH90+AE91)</f>
        <v/>
      </c>
      <c r="AG91" s="155">
        <f>MIN(AH90+AE91-AF91,MAX(0,$AQ91-(E91+I91+M91+Q91+U91+Y91+AC91)))</f>
        <v/>
      </c>
      <c r="AH91" s="155">
        <f>ROUND(AH90+AE91-AF91-AG91,2)</f>
        <v/>
      </c>
      <c r="AI91" s="155">
        <f>ROUND(AL90*$J$18,2)</f>
        <v/>
      </c>
      <c r="AJ91" s="155">
        <f>MIN($K$18,AL90+AI91)</f>
        <v/>
      </c>
      <c r="AK91" s="155">
        <f>MIN(AL90+AI91-AJ91,MAX(0,$AQ91-(E91+I91+M91+Q91+U91+Y91+AC91+AG91)))</f>
        <v/>
      </c>
      <c r="AL91" s="155">
        <f>ROUND(AL90+AI91-AJ91-AK91,2)</f>
        <v/>
      </c>
      <c r="AM91" s="155">
        <f>ROUND(AP90*$J$19,2)</f>
        <v/>
      </c>
      <c r="AN91" s="155">
        <f>MIN($K$19,AP90+AM91)</f>
        <v/>
      </c>
      <c r="AO91" s="155">
        <f>MIN(AP90+AM91-AN91,MAX(0,$AQ91-(E91+I91+M91+Q91+U91+Y91+AC91+AG91+AK91)))</f>
        <v/>
      </c>
      <c r="AP91" s="155">
        <f>ROUND(AP90+AM91-AN91-AO91,2)</f>
        <v/>
      </c>
      <c r="AQ91" s="155">
        <f>MAX(0,$B$6-(D91+H91+L91+P91+T91+X91+AB91+AF91+AJ91+AN91))</f>
        <v/>
      </c>
      <c r="AR91" s="155">
        <f>D91+H91+L91+P91+T91+X91+AB91+AF91+AJ91+AN91+E91+I91+M91+Q91+U91+Y91+AC91+AG91+AK91+AO91</f>
        <v/>
      </c>
      <c r="AS91" s="155">
        <f>C91+G91+K91+O91+S91+W91+AA91+AE91+AI91+AM91</f>
        <v/>
      </c>
      <c r="AT91" s="155">
        <f>F91+J91+N91+R91+V91+Z91+AD91+AH91+AL91+AP91</f>
        <v/>
      </c>
      <c r="AU91" s="157">
        <f>MID(IF(AND(F91=0,F90&gt;0),"; "&amp;$H$10,"")&amp;IF(AND(J91=0,J90&gt;0),"; "&amp;$H$11,"")&amp;IF(AND(N91=0,N90&gt;0),"; "&amp;$H$12,"")&amp;IF(AND(R91=0,R90&gt;0),"; "&amp;$H$13,"")&amp;IF(AND(V91=0,V90&gt;0),"; "&amp;$H$14,"")&amp;IF(AND(Z91=0,Z90&gt;0),"; "&amp;$H$15,"")&amp;IF(AND(AD91=0,AD90&gt;0),"; "&amp;$H$16,"")&amp;IF(AND(AH91=0,AH90&gt;0),"; "&amp;$H$17,"")&amp;IF(AND(AL91=0,AL90&gt;0),"; "&amp;$H$18,"")&amp;IF(AND(AP91=0,AP90&gt;0),"; "&amp;$H$19,""),3,200)</f>
        <v/>
      </c>
    </row>
    <row r="92">
      <c r="A92" s="154" t="n">
        <v>2</v>
      </c>
      <c r="B92" s="156">
        <f>EDATE($B$5,A92-1)</f>
        <v/>
      </c>
      <c r="C92" s="155">
        <f>ROUND(F91*$J$10,2)</f>
        <v/>
      </c>
      <c r="D92" s="155">
        <f>MIN($K$10,F91+C92)</f>
        <v/>
      </c>
      <c r="E92" s="155">
        <f>MIN(F91+C92-D92,MAX(0,$AQ92-(0)))</f>
        <v/>
      </c>
      <c r="F92" s="155">
        <f>ROUND(F91+C92-D92-E92,2)</f>
        <v/>
      </c>
      <c r="G92" s="155">
        <f>ROUND(J91*$J$11,2)</f>
        <v/>
      </c>
      <c r="H92" s="155">
        <f>MIN($K$11,J91+G92)</f>
        <v/>
      </c>
      <c r="I92" s="155">
        <f>MIN(J91+G92-H92,MAX(0,$AQ92-(E92)))</f>
        <v/>
      </c>
      <c r="J92" s="155">
        <f>ROUND(J91+G92-H92-I92,2)</f>
        <v/>
      </c>
      <c r="K92" s="155">
        <f>ROUND(N91*$J$12,2)</f>
        <v/>
      </c>
      <c r="L92" s="155">
        <f>MIN($K$12,N91+K92)</f>
        <v/>
      </c>
      <c r="M92" s="155">
        <f>MIN(N91+K92-L92,MAX(0,$AQ92-(E92+I92)))</f>
        <v/>
      </c>
      <c r="N92" s="155">
        <f>ROUND(N91+K92-L92-M92,2)</f>
        <v/>
      </c>
      <c r="O92" s="155">
        <f>ROUND(R91*$J$13,2)</f>
        <v/>
      </c>
      <c r="P92" s="155">
        <f>MIN($K$13,R91+O92)</f>
        <v/>
      </c>
      <c r="Q92" s="155">
        <f>MIN(R91+O92-P92,MAX(0,$AQ92-(E92+I92+M92)))</f>
        <v/>
      </c>
      <c r="R92" s="155">
        <f>ROUND(R91+O92-P92-Q92,2)</f>
        <v/>
      </c>
      <c r="S92" s="155">
        <f>ROUND(V91*$J$14,2)</f>
        <v/>
      </c>
      <c r="T92" s="155">
        <f>MIN($K$14,V91+S92)</f>
        <v/>
      </c>
      <c r="U92" s="155">
        <f>MIN(V91+S92-T92,MAX(0,$AQ92-(E92+I92+M92+Q92)))</f>
        <v/>
      </c>
      <c r="V92" s="155">
        <f>ROUND(V91+S92-T92-U92,2)</f>
        <v/>
      </c>
      <c r="W92" s="155">
        <f>ROUND(Z91*$J$15,2)</f>
        <v/>
      </c>
      <c r="X92" s="155">
        <f>MIN($K$15,Z91+W92)</f>
        <v/>
      </c>
      <c r="Y92" s="155">
        <f>MIN(Z91+W92-X92,MAX(0,$AQ92-(E92+I92+M92+Q92+U92)))</f>
        <v/>
      </c>
      <c r="Z92" s="155">
        <f>ROUND(Z91+W92-X92-Y92,2)</f>
        <v/>
      </c>
      <c r="AA92" s="155">
        <f>ROUND(AD91*$J$16,2)</f>
        <v/>
      </c>
      <c r="AB92" s="155">
        <f>MIN($K$16,AD91+AA92)</f>
        <v/>
      </c>
      <c r="AC92" s="155">
        <f>MIN(AD91+AA92-AB92,MAX(0,$AQ92-(E92+I92+M92+Q92+U92+Y92)))</f>
        <v/>
      </c>
      <c r="AD92" s="155">
        <f>ROUND(AD91+AA92-AB92-AC92,2)</f>
        <v/>
      </c>
      <c r="AE92" s="155">
        <f>ROUND(AH91*$J$17,2)</f>
        <v/>
      </c>
      <c r="AF92" s="155">
        <f>MIN($K$17,AH91+AE92)</f>
        <v/>
      </c>
      <c r="AG92" s="155">
        <f>MIN(AH91+AE92-AF92,MAX(0,$AQ92-(E92+I92+M92+Q92+U92+Y92+AC92)))</f>
        <v/>
      </c>
      <c r="AH92" s="155">
        <f>ROUND(AH91+AE92-AF92-AG92,2)</f>
        <v/>
      </c>
      <c r="AI92" s="155">
        <f>ROUND(AL91*$J$18,2)</f>
        <v/>
      </c>
      <c r="AJ92" s="155">
        <f>MIN($K$18,AL91+AI92)</f>
        <v/>
      </c>
      <c r="AK92" s="155">
        <f>MIN(AL91+AI92-AJ92,MAX(0,$AQ92-(E92+I92+M92+Q92+U92+Y92+AC92+AG92)))</f>
        <v/>
      </c>
      <c r="AL92" s="155">
        <f>ROUND(AL91+AI92-AJ92-AK92,2)</f>
        <v/>
      </c>
      <c r="AM92" s="155">
        <f>ROUND(AP91*$J$19,2)</f>
        <v/>
      </c>
      <c r="AN92" s="155">
        <f>MIN($K$19,AP91+AM92)</f>
        <v/>
      </c>
      <c r="AO92" s="155">
        <f>MIN(AP91+AM92-AN92,MAX(0,$AQ92-(E92+I92+M92+Q92+U92+Y92+AC92+AG92+AK92)))</f>
        <v/>
      </c>
      <c r="AP92" s="155">
        <f>ROUND(AP91+AM92-AN92-AO92,2)</f>
        <v/>
      </c>
      <c r="AQ92" s="155">
        <f>MAX(0,$B$6-(D92+H92+L92+P92+T92+X92+AB92+AF92+AJ92+AN92))</f>
        <v/>
      </c>
      <c r="AR92" s="155">
        <f>D92+H92+L92+P92+T92+X92+AB92+AF92+AJ92+AN92+E92+I92+M92+Q92+U92+Y92+AC92+AG92+AK92+AO92</f>
        <v/>
      </c>
      <c r="AS92" s="155">
        <f>C92+G92+K92+O92+S92+W92+AA92+AE92+AI92+AM92</f>
        <v/>
      </c>
      <c r="AT92" s="155">
        <f>F92+J92+N92+R92+V92+Z92+AD92+AH92+AL92+AP92</f>
        <v/>
      </c>
      <c r="AU92" s="157">
        <f>MID(IF(AND(F92=0,F91&gt;0),"; "&amp;$H$10,"")&amp;IF(AND(J92=0,J91&gt;0),"; "&amp;$H$11,"")&amp;IF(AND(N92=0,N91&gt;0),"; "&amp;$H$12,"")&amp;IF(AND(R92=0,R91&gt;0),"; "&amp;$H$13,"")&amp;IF(AND(V92=0,V91&gt;0),"; "&amp;$H$14,"")&amp;IF(AND(Z92=0,Z91&gt;0),"; "&amp;$H$15,"")&amp;IF(AND(AD92=0,AD91&gt;0),"; "&amp;$H$16,"")&amp;IF(AND(AH92=0,AH91&gt;0),"; "&amp;$H$17,"")&amp;IF(AND(AL92=0,AL91&gt;0),"; "&amp;$H$18,"")&amp;IF(AND(AP92=0,AP91&gt;0),"; "&amp;$H$19,""),3,200)</f>
        <v/>
      </c>
    </row>
    <row r="93">
      <c r="A93" s="154" t="n">
        <v>3</v>
      </c>
      <c r="B93" s="156">
        <f>EDATE($B$5,A93-1)</f>
        <v/>
      </c>
      <c r="C93" s="155">
        <f>ROUND(F92*$J$10,2)</f>
        <v/>
      </c>
      <c r="D93" s="155">
        <f>MIN($K$10,F92+C93)</f>
        <v/>
      </c>
      <c r="E93" s="155">
        <f>MIN(F92+C93-D93,MAX(0,$AQ93-(0)))</f>
        <v/>
      </c>
      <c r="F93" s="155">
        <f>ROUND(F92+C93-D93-E93,2)</f>
        <v/>
      </c>
      <c r="G93" s="155">
        <f>ROUND(J92*$J$11,2)</f>
        <v/>
      </c>
      <c r="H93" s="155">
        <f>MIN($K$11,J92+G93)</f>
        <v/>
      </c>
      <c r="I93" s="155">
        <f>MIN(J92+G93-H93,MAX(0,$AQ93-(E93)))</f>
        <v/>
      </c>
      <c r="J93" s="155">
        <f>ROUND(J92+G93-H93-I93,2)</f>
        <v/>
      </c>
      <c r="K93" s="155">
        <f>ROUND(N92*$J$12,2)</f>
        <v/>
      </c>
      <c r="L93" s="155">
        <f>MIN($K$12,N92+K93)</f>
        <v/>
      </c>
      <c r="M93" s="155">
        <f>MIN(N92+K93-L93,MAX(0,$AQ93-(E93+I93)))</f>
        <v/>
      </c>
      <c r="N93" s="155">
        <f>ROUND(N92+K93-L93-M93,2)</f>
        <v/>
      </c>
      <c r="O93" s="155">
        <f>ROUND(R92*$J$13,2)</f>
        <v/>
      </c>
      <c r="P93" s="155">
        <f>MIN($K$13,R92+O93)</f>
        <v/>
      </c>
      <c r="Q93" s="155">
        <f>MIN(R92+O93-P93,MAX(0,$AQ93-(E93+I93+M93)))</f>
        <v/>
      </c>
      <c r="R93" s="155">
        <f>ROUND(R92+O93-P93-Q93,2)</f>
        <v/>
      </c>
      <c r="S93" s="155">
        <f>ROUND(V92*$J$14,2)</f>
        <v/>
      </c>
      <c r="T93" s="155">
        <f>MIN($K$14,V92+S93)</f>
        <v/>
      </c>
      <c r="U93" s="155">
        <f>MIN(V92+S93-T93,MAX(0,$AQ93-(E93+I93+M93+Q93)))</f>
        <v/>
      </c>
      <c r="V93" s="155">
        <f>ROUND(V92+S93-T93-U93,2)</f>
        <v/>
      </c>
      <c r="W93" s="155">
        <f>ROUND(Z92*$J$15,2)</f>
        <v/>
      </c>
      <c r="X93" s="155">
        <f>MIN($K$15,Z92+W93)</f>
        <v/>
      </c>
      <c r="Y93" s="155">
        <f>MIN(Z92+W93-X93,MAX(0,$AQ93-(E93+I93+M93+Q93+U93)))</f>
        <v/>
      </c>
      <c r="Z93" s="155">
        <f>ROUND(Z92+W93-X93-Y93,2)</f>
        <v/>
      </c>
      <c r="AA93" s="155">
        <f>ROUND(AD92*$J$16,2)</f>
        <v/>
      </c>
      <c r="AB93" s="155">
        <f>MIN($K$16,AD92+AA93)</f>
        <v/>
      </c>
      <c r="AC93" s="155">
        <f>MIN(AD92+AA93-AB93,MAX(0,$AQ93-(E93+I93+M93+Q93+U93+Y93)))</f>
        <v/>
      </c>
      <c r="AD93" s="155">
        <f>ROUND(AD92+AA93-AB93-AC93,2)</f>
        <v/>
      </c>
      <c r="AE93" s="155">
        <f>ROUND(AH92*$J$17,2)</f>
        <v/>
      </c>
      <c r="AF93" s="155">
        <f>MIN($K$17,AH92+AE93)</f>
        <v/>
      </c>
      <c r="AG93" s="155">
        <f>MIN(AH92+AE93-AF93,MAX(0,$AQ93-(E93+I93+M93+Q93+U93+Y93+AC93)))</f>
        <v/>
      </c>
      <c r="AH93" s="155">
        <f>ROUND(AH92+AE93-AF93-AG93,2)</f>
        <v/>
      </c>
      <c r="AI93" s="155">
        <f>ROUND(AL92*$J$18,2)</f>
        <v/>
      </c>
      <c r="AJ93" s="155">
        <f>MIN($K$18,AL92+AI93)</f>
        <v/>
      </c>
      <c r="AK93" s="155">
        <f>MIN(AL92+AI93-AJ93,MAX(0,$AQ93-(E93+I93+M93+Q93+U93+Y93+AC93+AG93)))</f>
        <v/>
      </c>
      <c r="AL93" s="155">
        <f>ROUND(AL92+AI93-AJ93-AK93,2)</f>
        <v/>
      </c>
      <c r="AM93" s="155">
        <f>ROUND(AP92*$J$19,2)</f>
        <v/>
      </c>
      <c r="AN93" s="155">
        <f>MIN($K$19,AP92+AM93)</f>
        <v/>
      </c>
      <c r="AO93" s="155">
        <f>MIN(AP92+AM93-AN93,MAX(0,$AQ93-(E93+I93+M93+Q93+U93+Y93+AC93+AG93+AK93)))</f>
        <v/>
      </c>
      <c r="AP93" s="155">
        <f>ROUND(AP92+AM93-AN93-AO93,2)</f>
        <v/>
      </c>
      <c r="AQ93" s="155">
        <f>MAX(0,$B$6-(D93+H93+L93+P93+T93+X93+AB93+AF93+AJ93+AN93))</f>
        <v/>
      </c>
      <c r="AR93" s="155">
        <f>D93+H93+L93+P93+T93+X93+AB93+AF93+AJ93+AN93+E93+I93+M93+Q93+U93+Y93+AC93+AG93+AK93+AO93</f>
        <v/>
      </c>
      <c r="AS93" s="155">
        <f>C93+G93+K93+O93+S93+W93+AA93+AE93+AI93+AM93</f>
        <v/>
      </c>
      <c r="AT93" s="155">
        <f>F93+J93+N93+R93+V93+Z93+AD93+AH93+AL93+AP93</f>
        <v/>
      </c>
      <c r="AU93" s="157">
        <f>MID(IF(AND(F93=0,F92&gt;0),"; "&amp;$H$10,"")&amp;IF(AND(J93=0,J92&gt;0),"; "&amp;$H$11,"")&amp;IF(AND(N93=0,N92&gt;0),"; "&amp;$H$12,"")&amp;IF(AND(R93=0,R92&gt;0),"; "&amp;$H$13,"")&amp;IF(AND(V93=0,V92&gt;0),"; "&amp;$H$14,"")&amp;IF(AND(Z93=0,Z92&gt;0),"; "&amp;$H$15,"")&amp;IF(AND(AD93=0,AD92&gt;0),"; "&amp;$H$16,"")&amp;IF(AND(AH93=0,AH92&gt;0),"; "&amp;$H$17,"")&amp;IF(AND(AL93=0,AL92&gt;0),"; "&amp;$H$18,"")&amp;IF(AND(AP93=0,AP92&gt;0),"; "&amp;$H$19,""),3,200)</f>
        <v/>
      </c>
    </row>
    <row r="94">
      <c r="A94" s="154" t="n">
        <v>4</v>
      </c>
      <c r="B94" s="156">
        <f>EDATE($B$5,A94-1)</f>
        <v/>
      </c>
      <c r="C94" s="155">
        <f>ROUND(F93*$J$10,2)</f>
        <v/>
      </c>
      <c r="D94" s="155">
        <f>MIN($K$10,F93+C94)</f>
        <v/>
      </c>
      <c r="E94" s="155">
        <f>MIN(F93+C94-D94,MAX(0,$AQ94-(0)))</f>
        <v/>
      </c>
      <c r="F94" s="155">
        <f>ROUND(F93+C94-D94-E94,2)</f>
        <v/>
      </c>
      <c r="G94" s="155">
        <f>ROUND(J93*$J$11,2)</f>
        <v/>
      </c>
      <c r="H94" s="155">
        <f>MIN($K$11,J93+G94)</f>
        <v/>
      </c>
      <c r="I94" s="155">
        <f>MIN(J93+G94-H94,MAX(0,$AQ94-(E94)))</f>
        <v/>
      </c>
      <c r="J94" s="155">
        <f>ROUND(J93+G94-H94-I94,2)</f>
        <v/>
      </c>
      <c r="K94" s="155">
        <f>ROUND(N93*$J$12,2)</f>
        <v/>
      </c>
      <c r="L94" s="155">
        <f>MIN($K$12,N93+K94)</f>
        <v/>
      </c>
      <c r="M94" s="155">
        <f>MIN(N93+K94-L94,MAX(0,$AQ94-(E94+I94)))</f>
        <v/>
      </c>
      <c r="N94" s="155">
        <f>ROUND(N93+K94-L94-M94,2)</f>
        <v/>
      </c>
      <c r="O94" s="155">
        <f>ROUND(R93*$J$13,2)</f>
        <v/>
      </c>
      <c r="P94" s="155">
        <f>MIN($K$13,R93+O94)</f>
        <v/>
      </c>
      <c r="Q94" s="155">
        <f>MIN(R93+O94-P94,MAX(0,$AQ94-(E94+I94+M94)))</f>
        <v/>
      </c>
      <c r="R94" s="155">
        <f>ROUND(R93+O94-P94-Q94,2)</f>
        <v/>
      </c>
      <c r="S94" s="155">
        <f>ROUND(V93*$J$14,2)</f>
        <v/>
      </c>
      <c r="T94" s="155">
        <f>MIN($K$14,V93+S94)</f>
        <v/>
      </c>
      <c r="U94" s="155">
        <f>MIN(V93+S94-T94,MAX(0,$AQ94-(E94+I94+M94+Q94)))</f>
        <v/>
      </c>
      <c r="V94" s="155">
        <f>ROUND(V93+S94-T94-U94,2)</f>
        <v/>
      </c>
      <c r="W94" s="155">
        <f>ROUND(Z93*$J$15,2)</f>
        <v/>
      </c>
      <c r="X94" s="155">
        <f>MIN($K$15,Z93+W94)</f>
        <v/>
      </c>
      <c r="Y94" s="155">
        <f>MIN(Z93+W94-X94,MAX(0,$AQ94-(E94+I94+M94+Q94+U94)))</f>
        <v/>
      </c>
      <c r="Z94" s="155">
        <f>ROUND(Z93+W94-X94-Y94,2)</f>
        <v/>
      </c>
      <c r="AA94" s="155">
        <f>ROUND(AD93*$J$16,2)</f>
        <v/>
      </c>
      <c r="AB94" s="155">
        <f>MIN($K$16,AD93+AA94)</f>
        <v/>
      </c>
      <c r="AC94" s="155">
        <f>MIN(AD93+AA94-AB94,MAX(0,$AQ94-(E94+I94+M94+Q94+U94+Y94)))</f>
        <v/>
      </c>
      <c r="AD94" s="155">
        <f>ROUND(AD93+AA94-AB94-AC94,2)</f>
        <v/>
      </c>
      <c r="AE94" s="155">
        <f>ROUND(AH93*$J$17,2)</f>
        <v/>
      </c>
      <c r="AF94" s="155">
        <f>MIN($K$17,AH93+AE94)</f>
        <v/>
      </c>
      <c r="AG94" s="155">
        <f>MIN(AH93+AE94-AF94,MAX(0,$AQ94-(E94+I94+M94+Q94+U94+Y94+AC94)))</f>
        <v/>
      </c>
      <c r="AH94" s="155">
        <f>ROUND(AH93+AE94-AF94-AG94,2)</f>
        <v/>
      </c>
      <c r="AI94" s="155">
        <f>ROUND(AL93*$J$18,2)</f>
        <v/>
      </c>
      <c r="AJ94" s="155">
        <f>MIN($K$18,AL93+AI94)</f>
        <v/>
      </c>
      <c r="AK94" s="155">
        <f>MIN(AL93+AI94-AJ94,MAX(0,$AQ94-(E94+I94+M94+Q94+U94+Y94+AC94+AG94)))</f>
        <v/>
      </c>
      <c r="AL94" s="155">
        <f>ROUND(AL93+AI94-AJ94-AK94,2)</f>
        <v/>
      </c>
      <c r="AM94" s="155">
        <f>ROUND(AP93*$J$19,2)</f>
        <v/>
      </c>
      <c r="AN94" s="155">
        <f>MIN($K$19,AP93+AM94)</f>
        <v/>
      </c>
      <c r="AO94" s="155">
        <f>MIN(AP93+AM94-AN94,MAX(0,$AQ94-(E94+I94+M94+Q94+U94+Y94+AC94+AG94+AK94)))</f>
        <v/>
      </c>
      <c r="AP94" s="155">
        <f>ROUND(AP93+AM94-AN94-AO94,2)</f>
        <v/>
      </c>
      <c r="AQ94" s="155">
        <f>MAX(0,$B$6-(D94+H94+L94+P94+T94+X94+AB94+AF94+AJ94+AN94))</f>
        <v/>
      </c>
      <c r="AR94" s="155">
        <f>D94+H94+L94+P94+T94+X94+AB94+AF94+AJ94+AN94+E94+I94+M94+Q94+U94+Y94+AC94+AG94+AK94+AO94</f>
        <v/>
      </c>
      <c r="AS94" s="155">
        <f>C94+G94+K94+O94+S94+W94+AA94+AE94+AI94+AM94</f>
        <v/>
      </c>
      <c r="AT94" s="155">
        <f>F94+J94+N94+R94+V94+Z94+AD94+AH94+AL94+AP94</f>
        <v/>
      </c>
      <c r="AU94" s="157">
        <f>MID(IF(AND(F94=0,F93&gt;0),"; "&amp;$H$10,"")&amp;IF(AND(J94=0,J93&gt;0),"; "&amp;$H$11,"")&amp;IF(AND(N94=0,N93&gt;0),"; "&amp;$H$12,"")&amp;IF(AND(R94=0,R93&gt;0),"; "&amp;$H$13,"")&amp;IF(AND(V94=0,V93&gt;0),"; "&amp;$H$14,"")&amp;IF(AND(Z94=0,Z93&gt;0),"; "&amp;$H$15,"")&amp;IF(AND(AD94=0,AD93&gt;0),"; "&amp;$H$16,"")&amp;IF(AND(AH94=0,AH93&gt;0),"; "&amp;$H$17,"")&amp;IF(AND(AL94=0,AL93&gt;0),"; "&amp;$H$18,"")&amp;IF(AND(AP94=0,AP93&gt;0),"; "&amp;$H$19,""),3,200)</f>
        <v/>
      </c>
    </row>
    <row r="95">
      <c r="A95" s="154" t="n">
        <v>5</v>
      </c>
      <c r="B95" s="156">
        <f>EDATE($B$5,A95-1)</f>
        <v/>
      </c>
      <c r="C95" s="155">
        <f>ROUND(F94*$J$10,2)</f>
        <v/>
      </c>
      <c r="D95" s="155">
        <f>MIN($K$10,F94+C95)</f>
        <v/>
      </c>
      <c r="E95" s="155">
        <f>MIN(F94+C95-D95,MAX(0,$AQ95-(0)))</f>
        <v/>
      </c>
      <c r="F95" s="155">
        <f>ROUND(F94+C95-D95-E95,2)</f>
        <v/>
      </c>
      <c r="G95" s="155">
        <f>ROUND(J94*$J$11,2)</f>
        <v/>
      </c>
      <c r="H95" s="155">
        <f>MIN($K$11,J94+G95)</f>
        <v/>
      </c>
      <c r="I95" s="155">
        <f>MIN(J94+G95-H95,MAX(0,$AQ95-(E95)))</f>
        <v/>
      </c>
      <c r="J95" s="155">
        <f>ROUND(J94+G95-H95-I95,2)</f>
        <v/>
      </c>
      <c r="K95" s="155">
        <f>ROUND(N94*$J$12,2)</f>
        <v/>
      </c>
      <c r="L95" s="155">
        <f>MIN($K$12,N94+K95)</f>
        <v/>
      </c>
      <c r="M95" s="155">
        <f>MIN(N94+K95-L95,MAX(0,$AQ95-(E95+I95)))</f>
        <v/>
      </c>
      <c r="N95" s="155">
        <f>ROUND(N94+K95-L95-M95,2)</f>
        <v/>
      </c>
      <c r="O95" s="155">
        <f>ROUND(R94*$J$13,2)</f>
        <v/>
      </c>
      <c r="P95" s="155">
        <f>MIN($K$13,R94+O95)</f>
        <v/>
      </c>
      <c r="Q95" s="155">
        <f>MIN(R94+O95-P95,MAX(0,$AQ95-(E95+I95+M95)))</f>
        <v/>
      </c>
      <c r="R95" s="155">
        <f>ROUND(R94+O95-P95-Q95,2)</f>
        <v/>
      </c>
      <c r="S95" s="155">
        <f>ROUND(V94*$J$14,2)</f>
        <v/>
      </c>
      <c r="T95" s="155">
        <f>MIN($K$14,V94+S95)</f>
        <v/>
      </c>
      <c r="U95" s="155">
        <f>MIN(V94+S95-T95,MAX(0,$AQ95-(E95+I95+M95+Q95)))</f>
        <v/>
      </c>
      <c r="V95" s="155">
        <f>ROUND(V94+S95-T95-U95,2)</f>
        <v/>
      </c>
      <c r="W95" s="155">
        <f>ROUND(Z94*$J$15,2)</f>
        <v/>
      </c>
      <c r="X95" s="155">
        <f>MIN($K$15,Z94+W95)</f>
        <v/>
      </c>
      <c r="Y95" s="155">
        <f>MIN(Z94+W95-X95,MAX(0,$AQ95-(E95+I95+M95+Q95+U95)))</f>
        <v/>
      </c>
      <c r="Z95" s="155">
        <f>ROUND(Z94+W95-X95-Y95,2)</f>
        <v/>
      </c>
      <c r="AA95" s="155">
        <f>ROUND(AD94*$J$16,2)</f>
        <v/>
      </c>
      <c r="AB95" s="155">
        <f>MIN($K$16,AD94+AA95)</f>
        <v/>
      </c>
      <c r="AC95" s="155">
        <f>MIN(AD94+AA95-AB95,MAX(0,$AQ95-(E95+I95+M95+Q95+U95+Y95)))</f>
        <v/>
      </c>
      <c r="AD95" s="155">
        <f>ROUND(AD94+AA95-AB95-AC95,2)</f>
        <v/>
      </c>
      <c r="AE95" s="155">
        <f>ROUND(AH94*$J$17,2)</f>
        <v/>
      </c>
      <c r="AF95" s="155">
        <f>MIN($K$17,AH94+AE95)</f>
        <v/>
      </c>
      <c r="AG95" s="155">
        <f>MIN(AH94+AE95-AF95,MAX(0,$AQ95-(E95+I95+M95+Q95+U95+Y95+AC95)))</f>
        <v/>
      </c>
      <c r="AH95" s="155">
        <f>ROUND(AH94+AE95-AF95-AG95,2)</f>
        <v/>
      </c>
      <c r="AI95" s="155">
        <f>ROUND(AL94*$J$18,2)</f>
        <v/>
      </c>
      <c r="AJ95" s="155">
        <f>MIN($K$18,AL94+AI95)</f>
        <v/>
      </c>
      <c r="AK95" s="155">
        <f>MIN(AL94+AI95-AJ95,MAX(0,$AQ95-(E95+I95+M95+Q95+U95+Y95+AC95+AG95)))</f>
        <v/>
      </c>
      <c r="AL95" s="155">
        <f>ROUND(AL94+AI95-AJ95-AK95,2)</f>
        <v/>
      </c>
      <c r="AM95" s="155">
        <f>ROUND(AP94*$J$19,2)</f>
        <v/>
      </c>
      <c r="AN95" s="155">
        <f>MIN($K$19,AP94+AM95)</f>
        <v/>
      </c>
      <c r="AO95" s="155">
        <f>MIN(AP94+AM95-AN95,MAX(0,$AQ95-(E95+I95+M95+Q95+U95+Y95+AC95+AG95+AK95)))</f>
        <v/>
      </c>
      <c r="AP95" s="155">
        <f>ROUND(AP94+AM95-AN95-AO95,2)</f>
        <v/>
      </c>
      <c r="AQ95" s="155">
        <f>MAX(0,$B$6-(D95+H95+L95+P95+T95+X95+AB95+AF95+AJ95+AN95))</f>
        <v/>
      </c>
      <c r="AR95" s="155">
        <f>D95+H95+L95+P95+T95+X95+AB95+AF95+AJ95+AN95+E95+I95+M95+Q95+U95+Y95+AC95+AG95+AK95+AO95</f>
        <v/>
      </c>
      <c r="AS95" s="155">
        <f>C95+G95+K95+O95+S95+W95+AA95+AE95+AI95+AM95</f>
        <v/>
      </c>
      <c r="AT95" s="155">
        <f>F95+J95+N95+R95+V95+Z95+AD95+AH95+AL95+AP95</f>
        <v/>
      </c>
      <c r="AU95" s="157">
        <f>MID(IF(AND(F95=0,F94&gt;0),"; "&amp;$H$10,"")&amp;IF(AND(J95=0,J94&gt;0),"; "&amp;$H$11,"")&amp;IF(AND(N95=0,N94&gt;0),"; "&amp;$H$12,"")&amp;IF(AND(R95=0,R94&gt;0),"; "&amp;$H$13,"")&amp;IF(AND(V95=0,V94&gt;0),"; "&amp;$H$14,"")&amp;IF(AND(Z95=0,Z94&gt;0),"; "&amp;$H$15,"")&amp;IF(AND(AD95=0,AD94&gt;0),"; "&amp;$H$16,"")&amp;IF(AND(AH95=0,AH94&gt;0),"; "&amp;$H$17,"")&amp;IF(AND(AL95=0,AL94&gt;0),"; "&amp;$H$18,"")&amp;IF(AND(AP95=0,AP94&gt;0),"; "&amp;$H$19,""),3,200)</f>
        <v/>
      </c>
    </row>
    <row r="96">
      <c r="A96" s="154" t="n">
        <v>6</v>
      </c>
      <c r="B96" s="156">
        <f>EDATE($B$5,A96-1)</f>
        <v/>
      </c>
      <c r="C96" s="155">
        <f>ROUND(F95*$J$10,2)</f>
        <v/>
      </c>
      <c r="D96" s="155">
        <f>MIN($K$10,F95+C96)</f>
        <v/>
      </c>
      <c r="E96" s="155">
        <f>MIN(F95+C96-D96,MAX(0,$AQ96-(0)))</f>
        <v/>
      </c>
      <c r="F96" s="155">
        <f>ROUND(F95+C96-D96-E96,2)</f>
        <v/>
      </c>
      <c r="G96" s="155">
        <f>ROUND(J95*$J$11,2)</f>
        <v/>
      </c>
      <c r="H96" s="155">
        <f>MIN($K$11,J95+G96)</f>
        <v/>
      </c>
      <c r="I96" s="155">
        <f>MIN(J95+G96-H96,MAX(0,$AQ96-(E96)))</f>
        <v/>
      </c>
      <c r="J96" s="155">
        <f>ROUND(J95+G96-H96-I96,2)</f>
        <v/>
      </c>
      <c r="K96" s="155">
        <f>ROUND(N95*$J$12,2)</f>
        <v/>
      </c>
      <c r="L96" s="155">
        <f>MIN($K$12,N95+K96)</f>
        <v/>
      </c>
      <c r="M96" s="155">
        <f>MIN(N95+K96-L96,MAX(0,$AQ96-(E96+I96)))</f>
        <v/>
      </c>
      <c r="N96" s="155">
        <f>ROUND(N95+K96-L96-M96,2)</f>
        <v/>
      </c>
      <c r="O96" s="155">
        <f>ROUND(R95*$J$13,2)</f>
        <v/>
      </c>
      <c r="P96" s="155">
        <f>MIN($K$13,R95+O96)</f>
        <v/>
      </c>
      <c r="Q96" s="155">
        <f>MIN(R95+O96-P96,MAX(0,$AQ96-(E96+I96+M96)))</f>
        <v/>
      </c>
      <c r="R96" s="155">
        <f>ROUND(R95+O96-P96-Q96,2)</f>
        <v/>
      </c>
      <c r="S96" s="155">
        <f>ROUND(V95*$J$14,2)</f>
        <v/>
      </c>
      <c r="T96" s="155">
        <f>MIN($K$14,V95+S96)</f>
        <v/>
      </c>
      <c r="U96" s="155">
        <f>MIN(V95+S96-T96,MAX(0,$AQ96-(E96+I96+M96+Q96)))</f>
        <v/>
      </c>
      <c r="V96" s="155">
        <f>ROUND(V95+S96-T96-U96,2)</f>
        <v/>
      </c>
      <c r="W96" s="155">
        <f>ROUND(Z95*$J$15,2)</f>
        <v/>
      </c>
      <c r="X96" s="155">
        <f>MIN($K$15,Z95+W96)</f>
        <v/>
      </c>
      <c r="Y96" s="155">
        <f>MIN(Z95+W96-X96,MAX(0,$AQ96-(E96+I96+M96+Q96+U96)))</f>
        <v/>
      </c>
      <c r="Z96" s="155">
        <f>ROUND(Z95+W96-X96-Y96,2)</f>
        <v/>
      </c>
      <c r="AA96" s="155">
        <f>ROUND(AD95*$J$16,2)</f>
        <v/>
      </c>
      <c r="AB96" s="155">
        <f>MIN($K$16,AD95+AA96)</f>
        <v/>
      </c>
      <c r="AC96" s="155">
        <f>MIN(AD95+AA96-AB96,MAX(0,$AQ96-(E96+I96+M96+Q96+U96+Y96)))</f>
        <v/>
      </c>
      <c r="AD96" s="155">
        <f>ROUND(AD95+AA96-AB96-AC96,2)</f>
        <v/>
      </c>
      <c r="AE96" s="155">
        <f>ROUND(AH95*$J$17,2)</f>
        <v/>
      </c>
      <c r="AF96" s="155">
        <f>MIN($K$17,AH95+AE96)</f>
        <v/>
      </c>
      <c r="AG96" s="155">
        <f>MIN(AH95+AE96-AF96,MAX(0,$AQ96-(E96+I96+M96+Q96+U96+Y96+AC96)))</f>
        <v/>
      </c>
      <c r="AH96" s="155">
        <f>ROUND(AH95+AE96-AF96-AG96,2)</f>
        <v/>
      </c>
      <c r="AI96" s="155">
        <f>ROUND(AL95*$J$18,2)</f>
        <v/>
      </c>
      <c r="AJ96" s="155">
        <f>MIN($K$18,AL95+AI96)</f>
        <v/>
      </c>
      <c r="AK96" s="155">
        <f>MIN(AL95+AI96-AJ96,MAX(0,$AQ96-(E96+I96+M96+Q96+U96+Y96+AC96+AG96)))</f>
        <v/>
      </c>
      <c r="AL96" s="155">
        <f>ROUND(AL95+AI96-AJ96-AK96,2)</f>
        <v/>
      </c>
      <c r="AM96" s="155">
        <f>ROUND(AP95*$J$19,2)</f>
        <v/>
      </c>
      <c r="AN96" s="155">
        <f>MIN($K$19,AP95+AM96)</f>
        <v/>
      </c>
      <c r="AO96" s="155">
        <f>MIN(AP95+AM96-AN96,MAX(0,$AQ96-(E96+I96+M96+Q96+U96+Y96+AC96+AG96+AK96)))</f>
        <v/>
      </c>
      <c r="AP96" s="155">
        <f>ROUND(AP95+AM96-AN96-AO96,2)</f>
        <v/>
      </c>
      <c r="AQ96" s="155">
        <f>MAX(0,$B$6-(D96+H96+L96+P96+T96+X96+AB96+AF96+AJ96+AN96))</f>
        <v/>
      </c>
      <c r="AR96" s="155">
        <f>D96+H96+L96+P96+T96+X96+AB96+AF96+AJ96+AN96+E96+I96+M96+Q96+U96+Y96+AC96+AG96+AK96+AO96</f>
        <v/>
      </c>
      <c r="AS96" s="155">
        <f>C96+G96+K96+O96+S96+W96+AA96+AE96+AI96+AM96</f>
        <v/>
      </c>
      <c r="AT96" s="155">
        <f>F96+J96+N96+R96+V96+Z96+AD96+AH96+AL96+AP96</f>
        <v/>
      </c>
      <c r="AU96" s="157">
        <f>MID(IF(AND(F96=0,F95&gt;0),"; "&amp;$H$10,"")&amp;IF(AND(J96=0,J95&gt;0),"; "&amp;$H$11,"")&amp;IF(AND(N96=0,N95&gt;0),"; "&amp;$H$12,"")&amp;IF(AND(R96=0,R95&gt;0),"; "&amp;$H$13,"")&amp;IF(AND(V96=0,V95&gt;0),"; "&amp;$H$14,"")&amp;IF(AND(Z96=0,Z95&gt;0),"; "&amp;$H$15,"")&amp;IF(AND(AD96=0,AD95&gt;0),"; "&amp;$H$16,"")&amp;IF(AND(AH96=0,AH95&gt;0),"; "&amp;$H$17,"")&amp;IF(AND(AL96=0,AL95&gt;0),"; "&amp;$H$18,"")&amp;IF(AND(AP96=0,AP95&gt;0),"; "&amp;$H$19,""),3,200)</f>
        <v/>
      </c>
    </row>
    <row r="97">
      <c r="A97" s="154" t="n">
        <v>7</v>
      </c>
      <c r="B97" s="156">
        <f>EDATE($B$5,A97-1)</f>
        <v/>
      </c>
      <c r="C97" s="155">
        <f>ROUND(F96*$J$10,2)</f>
        <v/>
      </c>
      <c r="D97" s="155">
        <f>MIN($K$10,F96+C97)</f>
        <v/>
      </c>
      <c r="E97" s="155">
        <f>MIN(F96+C97-D97,MAX(0,$AQ97-(0)))</f>
        <v/>
      </c>
      <c r="F97" s="155">
        <f>ROUND(F96+C97-D97-E97,2)</f>
        <v/>
      </c>
      <c r="G97" s="155">
        <f>ROUND(J96*$J$11,2)</f>
        <v/>
      </c>
      <c r="H97" s="155">
        <f>MIN($K$11,J96+G97)</f>
        <v/>
      </c>
      <c r="I97" s="155">
        <f>MIN(J96+G97-H97,MAX(0,$AQ97-(E97)))</f>
        <v/>
      </c>
      <c r="J97" s="155">
        <f>ROUND(J96+G97-H97-I97,2)</f>
        <v/>
      </c>
      <c r="K97" s="155">
        <f>ROUND(N96*$J$12,2)</f>
        <v/>
      </c>
      <c r="L97" s="155">
        <f>MIN($K$12,N96+K97)</f>
        <v/>
      </c>
      <c r="M97" s="155">
        <f>MIN(N96+K97-L97,MAX(0,$AQ97-(E97+I97)))</f>
        <v/>
      </c>
      <c r="N97" s="155">
        <f>ROUND(N96+K97-L97-M97,2)</f>
        <v/>
      </c>
      <c r="O97" s="155">
        <f>ROUND(R96*$J$13,2)</f>
        <v/>
      </c>
      <c r="P97" s="155">
        <f>MIN($K$13,R96+O97)</f>
        <v/>
      </c>
      <c r="Q97" s="155">
        <f>MIN(R96+O97-P97,MAX(0,$AQ97-(E97+I97+M97)))</f>
        <v/>
      </c>
      <c r="R97" s="155">
        <f>ROUND(R96+O97-P97-Q97,2)</f>
        <v/>
      </c>
      <c r="S97" s="155">
        <f>ROUND(V96*$J$14,2)</f>
        <v/>
      </c>
      <c r="T97" s="155">
        <f>MIN($K$14,V96+S97)</f>
        <v/>
      </c>
      <c r="U97" s="155">
        <f>MIN(V96+S97-T97,MAX(0,$AQ97-(E97+I97+M97+Q97)))</f>
        <v/>
      </c>
      <c r="V97" s="155">
        <f>ROUND(V96+S97-T97-U97,2)</f>
        <v/>
      </c>
      <c r="W97" s="155">
        <f>ROUND(Z96*$J$15,2)</f>
        <v/>
      </c>
      <c r="X97" s="155">
        <f>MIN($K$15,Z96+W97)</f>
        <v/>
      </c>
      <c r="Y97" s="155">
        <f>MIN(Z96+W97-X97,MAX(0,$AQ97-(E97+I97+M97+Q97+U97)))</f>
        <v/>
      </c>
      <c r="Z97" s="155">
        <f>ROUND(Z96+W97-X97-Y97,2)</f>
        <v/>
      </c>
      <c r="AA97" s="155">
        <f>ROUND(AD96*$J$16,2)</f>
        <v/>
      </c>
      <c r="AB97" s="155">
        <f>MIN($K$16,AD96+AA97)</f>
        <v/>
      </c>
      <c r="AC97" s="155">
        <f>MIN(AD96+AA97-AB97,MAX(0,$AQ97-(E97+I97+M97+Q97+U97+Y97)))</f>
        <v/>
      </c>
      <c r="AD97" s="155">
        <f>ROUND(AD96+AA97-AB97-AC97,2)</f>
        <v/>
      </c>
      <c r="AE97" s="155">
        <f>ROUND(AH96*$J$17,2)</f>
        <v/>
      </c>
      <c r="AF97" s="155">
        <f>MIN($K$17,AH96+AE97)</f>
        <v/>
      </c>
      <c r="AG97" s="155">
        <f>MIN(AH96+AE97-AF97,MAX(0,$AQ97-(E97+I97+M97+Q97+U97+Y97+AC97)))</f>
        <v/>
      </c>
      <c r="AH97" s="155">
        <f>ROUND(AH96+AE97-AF97-AG97,2)</f>
        <v/>
      </c>
      <c r="AI97" s="155">
        <f>ROUND(AL96*$J$18,2)</f>
        <v/>
      </c>
      <c r="AJ97" s="155">
        <f>MIN($K$18,AL96+AI97)</f>
        <v/>
      </c>
      <c r="AK97" s="155">
        <f>MIN(AL96+AI97-AJ97,MAX(0,$AQ97-(E97+I97+M97+Q97+U97+Y97+AC97+AG97)))</f>
        <v/>
      </c>
      <c r="AL97" s="155">
        <f>ROUND(AL96+AI97-AJ97-AK97,2)</f>
        <v/>
      </c>
      <c r="AM97" s="155">
        <f>ROUND(AP96*$J$19,2)</f>
        <v/>
      </c>
      <c r="AN97" s="155">
        <f>MIN($K$19,AP96+AM97)</f>
        <v/>
      </c>
      <c r="AO97" s="155">
        <f>MIN(AP96+AM97-AN97,MAX(0,$AQ97-(E97+I97+M97+Q97+U97+Y97+AC97+AG97+AK97)))</f>
        <v/>
      </c>
      <c r="AP97" s="155">
        <f>ROUND(AP96+AM97-AN97-AO97,2)</f>
        <v/>
      </c>
      <c r="AQ97" s="155">
        <f>MAX(0,$B$6-(D97+H97+L97+P97+T97+X97+AB97+AF97+AJ97+AN97))</f>
        <v/>
      </c>
      <c r="AR97" s="155">
        <f>D97+H97+L97+P97+T97+X97+AB97+AF97+AJ97+AN97+E97+I97+M97+Q97+U97+Y97+AC97+AG97+AK97+AO97</f>
        <v/>
      </c>
      <c r="AS97" s="155">
        <f>C97+G97+K97+O97+S97+W97+AA97+AE97+AI97+AM97</f>
        <v/>
      </c>
      <c r="AT97" s="155">
        <f>F97+J97+N97+R97+V97+Z97+AD97+AH97+AL97+AP97</f>
        <v/>
      </c>
      <c r="AU97" s="157">
        <f>MID(IF(AND(F97=0,F96&gt;0),"; "&amp;$H$10,"")&amp;IF(AND(J97=0,J96&gt;0),"; "&amp;$H$11,"")&amp;IF(AND(N97=0,N96&gt;0),"; "&amp;$H$12,"")&amp;IF(AND(R97=0,R96&gt;0),"; "&amp;$H$13,"")&amp;IF(AND(V97=0,V96&gt;0),"; "&amp;$H$14,"")&amp;IF(AND(Z97=0,Z96&gt;0),"; "&amp;$H$15,"")&amp;IF(AND(AD97=0,AD96&gt;0),"; "&amp;$H$16,"")&amp;IF(AND(AH97=0,AH96&gt;0),"; "&amp;$H$17,"")&amp;IF(AND(AL97=0,AL96&gt;0),"; "&amp;$H$18,"")&amp;IF(AND(AP97=0,AP96&gt;0),"; "&amp;$H$19,""),3,200)</f>
        <v/>
      </c>
    </row>
    <row r="98">
      <c r="A98" s="154" t="n">
        <v>8</v>
      </c>
      <c r="B98" s="156">
        <f>EDATE($B$5,A98-1)</f>
        <v/>
      </c>
      <c r="C98" s="155">
        <f>ROUND(F97*$J$10,2)</f>
        <v/>
      </c>
      <c r="D98" s="155">
        <f>MIN($K$10,F97+C98)</f>
        <v/>
      </c>
      <c r="E98" s="155">
        <f>MIN(F97+C98-D98,MAX(0,$AQ98-(0)))</f>
        <v/>
      </c>
      <c r="F98" s="155">
        <f>ROUND(F97+C98-D98-E98,2)</f>
        <v/>
      </c>
      <c r="G98" s="155">
        <f>ROUND(J97*$J$11,2)</f>
        <v/>
      </c>
      <c r="H98" s="155">
        <f>MIN($K$11,J97+G98)</f>
        <v/>
      </c>
      <c r="I98" s="155">
        <f>MIN(J97+G98-H98,MAX(0,$AQ98-(E98)))</f>
        <v/>
      </c>
      <c r="J98" s="155">
        <f>ROUND(J97+G98-H98-I98,2)</f>
        <v/>
      </c>
      <c r="K98" s="155">
        <f>ROUND(N97*$J$12,2)</f>
        <v/>
      </c>
      <c r="L98" s="155">
        <f>MIN($K$12,N97+K98)</f>
        <v/>
      </c>
      <c r="M98" s="155">
        <f>MIN(N97+K98-L98,MAX(0,$AQ98-(E98+I98)))</f>
        <v/>
      </c>
      <c r="N98" s="155">
        <f>ROUND(N97+K98-L98-M98,2)</f>
        <v/>
      </c>
      <c r="O98" s="155">
        <f>ROUND(R97*$J$13,2)</f>
        <v/>
      </c>
      <c r="P98" s="155">
        <f>MIN($K$13,R97+O98)</f>
        <v/>
      </c>
      <c r="Q98" s="155">
        <f>MIN(R97+O98-P98,MAX(0,$AQ98-(E98+I98+M98)))</f>
        <v/>
      </c>
      <c r="R98" s="155">
        <f>ROUND(R97+O98-P98-Q98,2)</f>
        <v/>
      </c>
      <c r="S98" s="155">
        <f>ROUND(V97*$J$14,2)</f>
        <v/>
      </c>
      <c r="T98" s="155">
        <f>MIN($K$14,V97+S98)</f>
        <v/>
      </c>
      <c r="U98" s="155">
        <f>MIN(V97+S98-T98,MAX(0,$AQ98-(E98+I98+M98+Q98)))</f>
        <v/>
      </c>
      <c r="V98" s="155">
        <f>ROUND(V97+S98-T98-U98,2)</f>
        <v/>
      </c>
      <c r="W98" s="155">
        <f>ROUND(Z97*$J$15,2)</f>
        <v/>
      </c>
      <c r="X98" s="155">
        <f>MIN($K$15,Z97+W98)</f>
        <v/>
      </c>
      <c r="Y98" s="155">
        <f>MIN(Z97+W98-X98,MAX(0,$AQ98-(E98+I98+M98+Q98+U98)))</f>
        <v/>
      </c>
      <c r="Z98" s="155">
        <f>ROUND(Z97+W98-X98-Y98,2)</f>
        <v/>
      </c>
      <c r="AA98" s="155">
        <f>ROUND(AD97*$J$16,2)</f>
        <v/>
      </c>
      <c r="AB98" s="155">
        <f>MIN($K$16,AD97+AA98)</f>
        <v/>
      </c>
      <c r="AC98" s="155">
        <f>MIN(AD97+AA98-AB98,MAX(0,$AQ98-(E98+I98+M98+Q98+U98+Y98)))</f>
        <v/>
      </c>
      <c r="AD98" s="155">
        <f>ROUND(AD97+AA98-AB98-AC98,2)</f>
        <v/>
      </c>
      <c r="AE98" s="155">
        <f>ROUND(AH97*$J$17,2)</f>
        <v/>
      </c>
      <c r="AF98" s="155">
        <f>MIN($K$17,AH97+AE98)</f>
        <v/>
      </c>
      <c r="AG98" s="155">
        <f>MIN(AH97+AE98-AF98,MAX(0,$AQ98-(E98+I98+M98+Q98+U98+Y98+AC98)))</f>
        <v/>
      </c>
      <c r="AH98" s="155">
        <f>ROUND(AH97+AE98-AF98-AG98,2)</f>
        <v/>
      </c>
      <c r="AI98" s="155">
        <f>ROUND(AL97*$J$18,2)</f>
        <v/>
      </c>
      <c r="AJ98" s="155">
        <f>MIN($K$18,AL97+AI98)</f>
        <v/>
      </c>
      <c r="AK98" s="155">
        <f>MIN(AL97+AI98-AJ98,MAX(0,$AQ98-(E98+I98+M98+Q98+U98+Y98+AC98+AG98)))</f>
        <v/>
      </c>
      <c r="AL98" s="155">
        <f>ROUND(AL97+AI98-AJ98-AK98,2)</f>
        <v/>
      </c>
      <c r="AM98" s="155">
        <f>ROUND(AP97*$J$19,2)</f>
        <v/>
      </c>
      <c r="AN98" s="155">
        <f>MIN($K$19,AP97+AM98)</f>
        <v/>
      </c>
      <c r="AO98" s="155">
        <f>MIN(AP97+AM98-AN98,MAX(0,$AQ98-(E98+I98+M98+Q98+U98+Y98+AC98+AG98+AK98)))</f>
        <v/>
      </c>
      <c r="AP98" s="155">
        <f>ROUND(AP97+AM98-AN98-AO98,2)</f>
        <v/>
      </c>
      <c r="AQ98" s="155">
        <f>MAX(0,$B$6-(D98+H98+L98+P98+T98+X98+AB98+AF98+AJ98+AN98))</f>
        <v/>
      </c>
      <c r="AR98" s="155">
        <f>D98+H98+L98+P98+T98+X98+AB98+AF98+AJ98+AN98+E98+I98+M98+Q98+U98+Y98+AC98+AG98+AK98+AO98</f>
        <v/>
      </c>
      <c r="AS98" s="155">
        <f>C98+G98+K98+O98+S98+W98+AA98+AE98+AI98+AM98</f>
        <v/>
      </c>
      <c r="AT98" s="155">
        <f>F98+J98+N98+R98+V98+Z98+AD98+AH98+AL98+AP98</f>
        <v/>
      </c>
      <c r="AU98" s="157">
        <f>MID(IF(AND(F98=0,F97&gt;0),"; "&amp;$H$10,"")&amp;IF(AND(J98=0,J97&gt;0),"; "&amp;$H$11,"")&amp;IF(AND(N98=0,N97&gt;0),"; "&amp;$H$12,"")&amp;IF(AND(R98=0,R97&gt;0),"; "&amp;$H$13,"")&amp;IF(AND(V98=0,V97&gt;0),"; "&amp;$H$14,"")&amp;IF(AND(Z98=0,Z97&gt;0),"; "&amp;$H$15,"")&amp;IF(AND(AD98=0,AD97&gt;0),"; "&amp;$H$16,"")&amp;IF(AND(AH98=0,AH97&gt;0),"; "&amp;$H$17,"")&amp;IF(AND(AL98=0,AL97&gt;0),"; "&amp;$H$18,"")&amp;IF(AND(AP98=0,AP97&gt;0),"; "&amp;$H$19,""),3,200)</f>
        <v/>
      </c>
    </row>
    <row r="99">
      <c r="A99" s="154" t="n">
        <v>9</v>
      </c>
      <c r="B99" s="156">
        <f>EDATE($B$5,A99-1)</f>
        <v/>
      </c>
      <c r="C99" s="155">
        <f>ROUND(F98*$J$10,2)</f>
        <v/>
      </c>
      <c r="D99" s="155">
        <f>MIN($K$10,F98+C99)</f>
        <v/>
      </c>
      <c r="E99" s="155">
        <f>MIN(F98+C99-D99,MAX(0,$AQ99-(0)))</f>
        <v/>
      </c>
      <c r="F99" s="155">
        <f>ROUND(F98+C99-D99-E99,2)</f>
        <v/>
      </c>
      <c r="G99" s="155">
        <f>ROUND(J98*$J$11,2)</f>
        <v/>
      </c>
      <c r="H99" s="155">
        <f>MIN($K$11,J98+G99)</f>
        <v/>
      </c>
      <c r="I99" s="155">
        <f>MIN(J98+G99-H99,MAX(0,$AQ99-(E99)))</f>
        <v/>
      </c>
      <c r="J99" s="155">
        <f>ROUND(J98+G99-H99-I99,2)</f>
        <v/>
      </c>
      <c r="K99" s="155">
        <f>ROUND(N98*$J$12,2)</f>
        <v/>
      </c>
      <c r="L99" s="155">
        <f>MIN($K$12,N98+K99)</f>
        <v/>
      </c>
      <c r="M99" s="155">
        <f>MIN(N98+K99-L99,MAX(0,$AQ99-(E99+I99)))</f>
        <v/>
      </c>
      <c r="N99" s="155">
        <f>ROUND(N98+K99-L99-M99,2)</f>
        <v/>
      </c>
      <c r="O99" s="155">
        <f>ROUND(R98*$J$13,2)</f>
        <v/>
      </c>
      <c r="P99" s="155">
        <f>MIN($K$13,R98+O99)</f>
        <v/>
      </c>
      <c r="Q99" s="155">
        <f>MIN(R98+O99-P99,MAX(0,$AQ99-(E99+I99+M99)))</f>
        <v/>
      </c>
      <c r="R99" s="155">
        <f>ROUND(R98+O99-P99-Q99,2)</f>
        <v/>
      </c>
      <c r="S99" s="155">
        <f>ROUND(V98*$J$14,2)</f>
        <v/>
      </c>
      <c r="T99" s="155">
        <f>MIN($K$14,V98+S99)</f>
        <v/>
      </c>
      <c r="U99" s="155">
        <f>MIN(V98+S99-T99,MAX(0,$AQ99-(E99+I99+M99+Q99)))</f>
        <v/>
      </c>
      <c r="V99" s="155">
        <f>ROUND(V98+S99-T99-U99,2)</f>
        <v/>
      </c>
      <c r="W99" s="155">
        <f>ROUND(Z98*$J$15,2)</f>
        <v/>
      </c>
      <c r="X99" s="155">
        <f>MIN($K$15,Z98+W99)</f>
        <v/>
      </c>
      <c r="Y99" s="155">
        <f>MIN(Z98+W99-X99,MAX(0,$AQ99-(E99+I99+M99+Q99+U99)))</f>
        <v/>
      </c>
      <c r="Z99" s="155">
        <f>ROUND(Z98+W99-X99-Y99,2)</f>
        <v/>
      </c>
      <c r="AA99" s="155">
        <f>ROUND(AD98*$J$16,2)</f>
        <v/>
      </c>
      <c r="AB99" s="155">
        <f>MIN($K$16,AD98+AA99)</f>
        <v/>
      </c>
      <c r="AC99" s="155">
        <f>MIN(AD98+AA99-AB99,MAX(0,$AQ99-(E99+I99+M99+Q99+U99+Y99)))</f>
        <v/>
      </c>
      <c r="AD99" s="155">
        <f>ROUND(AD98+AA99-AB99-AC99,2)</f>
        <v/>
      </c>
      <c r="AE99" s="155">
        <f>ROUND(AH98*$J$17,2)</f>
        <v/>
      </c>
      <c r="AF99" s="155">
        <f>MIN($K$17,AH98+AE99)</f>
        <v/>
      </c>
      <c r="AG99" s="155">
        <f>MIN(AH98+AE99-AF99,MAX(0,$AQ99-(E99+I99+M99+Q99+U99+Y99+AC99)))</f>
        <v/>
      </c>
      <c r="AH99" s="155">
        <f>ROUND(AH98+AE99-AF99-AG99,2)</f>
        <v/>
      </c>
      <c r="AI99" s="155">
        <f>ROUND(AL98*$J$18,2)</f>
        <v/>
      </c>
      <c r="AJ99" s="155">
        <f>MIN($K$18,AL98+AI99)</f>
        <v/>
      </c>
      <c r="AK99" s="155">
        <f>MIN(AL98+AI99-AJ99,MAX(0,$AQ99-(E99+I99+M99+Q99+U99+Y99+AC99+AG99)))</f>
        <v/>
      </c>
      <c r="AL99" s="155">
        <f>ROUND(AL98+AI99-AJ99-AK99,2)</f>
        <v/>
      </c>
      <c r="AM99" s="155">
        <f>ROUND(AP98*$J$19,2)</f>
        <v/>
      </c>
      <c r="AN99" s="155">
        <f>MIN($K$19,AP98+AM99)</f>
        <v/>
      </c>
      <c r="AO99" s="155">
        <f>MIN(AP98+AM99-AN99,MAX(0,$AQ99-(E99+I99+M99+Q99+U99+Y99+AC99+AG99+AK99)))</f>
        <v/>
      </c>
      <c r="AP99" s="155">
        <f>ROUND(AP98+AM99-AN99-AO99,2)</f>
        <v/>
      </c>
      <c r="AQ99" s="155">
        <f>MAX(0,$B$6-(D99+H99+L99+P99+T99+X99+AB99+AF99+AJ99+AN99))</f>
        <v/>
      </c>
      <c r="AR99" s="155">
        <f>D99+H99+L99+P99+T99+X99+AB99+AF99+AJ99+AN99+E99+I99+M99+Q99+U99+Y99+AC99+AG99+AK99+AO99</f>
        <v/>
      </c>
      <c r="AS99" s="155">
        <f>C99+G99+K99+O99+S99+W99+AA99+AE99+AI99+AM99</f>
        <v/>
      </c>
      <c r="AT99" s="155">
        <f>F99+J99+N99+R99+V99+Z99+AD99+AH99+AL99+AP99</f>
        <v/>
      </c>
      <c r="AU99" s="157">
        <f>MID(IF(AND(F99=0,F98&gt;0),"; "&amp;$H$10,"")&amp;IF(AND(J99=0,J98&gt;0),"; "&amp;$H$11,"")&amp;IF(AND(N99=0,N98&gt;0),"; "&amp;$H$12,"")&amp;IF(AND(R99=0,R98&gt;0),"; "&amp;$H$13,"")&amp;IF(AND(V99=0,V98&gt;0),"; "&amp;$H$14,"")&amp;IF(AND(Z99=0,Z98&gt;0),"; "&amp;$H$15,"")&amp;IF(AND(AD99=0,AD98&gt;0),"; "&amp;$H$16,"")&amp;IF(AND(AH99=0,AH98&gt;0),"; "&amp;$H$17,"")&amp;IF(AND(AL99=0,AL98&gt;0),"; "&amp;$H$18,"")&amp;IF(AND(AP99=0,AP98&gt;0),"; "&amp;$H$19,""),3,200)</f>
        <v/>
      </c>
    </row>
    <row r="100">
      <c r="A100" s="154" t="n">
        <v>10</v>
      </c>
      <c r="B100" s="156">
        <f>EDATE($B$5,A100-1)</f>
        <v/>
      </c>
      <c r="C100" s="155">
        <f>ROUND(F99*$J$10,2)</f>
        <v/>
      </c>
      <c r="D100" s="155">
        <f>MIN($K$10,F99+C100)</f>
        <v/>
      </c>
      <c r="E100" s="155">
        <f>MIN(F99+C100-D100,MAX(0,$AQ100-(0)))</f>
        <v/>
      </c>
      <c r="F100" s="155">
        <f>ROUND(F99+C100-D100-E100,2)</f>
        <v/>
      </c>
      <c r="G100" s="155">
        <f>ROUND(J99*$J$11,2)</f>
        <v/>
      </c>
      <c r="H100" s="155">
        <f>MIN($K$11,J99+G100)</f>
        <v/>
      </c>
      <c r="I100" s="155">
        <f>MIN(J99+G100-H100,MAX(0,$AQ100-(E100)))</f>
        <v/>
      </c>
      <c r="J100" s="155">
        <f>ROUND(J99+G100-H100-I100,2)</f>
        <v/>
      </c>
      <c r="K100" s="155">
        <f>ROUND(N99*$J$12,2)</f>
        <v/>
      </c>
      <c r="L100" s="155">
        <f>MIN($K$12,N99+K100)</f>
        <v/>
      </c>
      <c r="M100" s="155">
        <f>MIN(N99+K100-L100,MAX(0,$AQ100-(E100+I100)))</f>
        <v/>
      </c>
      <c r="N100" s="155">
        <f>ROUND(N99+K100-L100-M100,2)</f>
        <v/>
      </c>
      <c r="O100" s="155">
        <f>ROUND(R99*$J$13,2)</f>
        <v/>
      </c>
      <c r="P100" s="155">
        <f>MIN($K$13,R99+O100)</f>
        <v/>
      </c>
      <c r="Q100" s="155">
        <f>MIN(R99+O100-P100,MAX(0,$AQ100-(E100+I100+M100)))</f>
        <v/>
      </c>
      <c r="R100" s="155">
        <f>ROUND(R99+O100-P100-Q100,2)</f>
        <v/>
      </c>
      <c r="S100" s="155">
        <f>ROUND(V99*$J$14,2)</f>
        <v/>
      </c>
      <c r="T100" s="155">
        <f>MIN($K$14,V99+S100)</f>
        <v/>
      </c>
      <c r="U100" s="155">
        <f>MIN(V99+S100-T100,MAX(0,$AQ100-(E100+I100+M100+Q100)))</f>
        <v/>
      </c>
      <c r="V100" s="155">
        <f>ROUND(V99+S100-T100-U100,2)</f>
        <v/>
      </c>
      <c r="W100" s="155">
        <f>ROUND(Z99*$J$15,2)</f>
        <v/>
      </c>
      <c r="X100" s="155">
        <f>MIN($K$15,Z99+W100)</f>
        <v/>
      </c>
      <c r="Y100" s="155">
        <f>MIN(Z99+W100-X100,MAX(0,$AQ100-(E100+I100+M100+Q100+U100)))</f>
        <v/>
      </c>
      <c r="Z100" s="155">
        <f>ROUND(Z99+W100-X100-Y100,2)</f>
        <v/>
      </c>
      <c r="AA100" s="155">
        <f>ROUND(AD99*$J$16,2)</f>
        <v/>
      </c>
      <c r="AB100" s="155">
        <f>MIN($K$16,AD99+AA100)</f>
        <v/>
      </c>
      <c r="AC100" s="155">
        <f>MIN(AD99+AA100-AB100,MAX(0,$AQ100-(E100+I100+M100+Q100+U100+Y100)))</f>
        <v/>
      </c>
      <c r="AD100" s="155">
        <f>ROUND(AD99+AA100-AB100-AC100,2)</f>
        <v/>
      </c>
      <c r="AE100" s="155">
        <f>ROUND(AH99*$J$17,2)</f>
        <v/>
      </c>
      <c r="AF100" s="155">
        <f>MIN($K$17,AH99+AE100)</f>
        <v/>
      </c>
      <c r="AG100" s="155">
        <f>MIN(AH99+AE100-AF100,MAX(0,$AQ100-(E100+I100+M100+Q100+U100+Y100+AC100)))</f>
        <v/>
      </c>
      <c r="AH100" s="155">
        <f>ROUND(AH99+AE100-AF100-AG100,2)</f>
        <v/>
      </c>
      <c r="AI100" s="155">
        <f>ROUND(AL99*$J$18,2)</f>
        <v/>
      </c>
      <c r="AJ100" s="155">
        <f>MIN($K$18,AL99+AI100)</f>
        <v/>
      </c>
      <c r="AK100" s="155">
        <f>MIN(AL99+AI100-AJ100,MAX(0,$AQ100-(E100+I100+M100+Q100+U100+Y100+AC100+AG100)))</f>
        <v/>
      </c>
      <c r="AL100" s="155">
        <f>ROUND(AL99+AI100-AJ100-AK100,2)</f>
        <v/>
      </c>
      <c r="AM100" s="155">
        <f>ROUND(AP99*$J$19,2)</f>
        <v/>
      </c>
      <c r="AN100" s="155">
        <f>MIN($K$19,AP99+AM100)</f>
        <v/>
      </c>
      <c r="AO100" s="155">
        <f>MIN(AP99+AM100-AN100,MAX(0,$AQ100-(E100+I100+M100+Q100+U100+Y100+AC100+AG100+AK100)))</f>
        <v/>
      </c>
      <c r="AP100" s="155">
        <f>ROUND(AP99+AM100-AN100-AO100,2)</f>
        <v/>
      </c>
      <c r="AQ100" s="155">
        <f>MAX(0,$B$6-(D100+H100+L100+P100+T100+X100+AB100+AF100+AJ100+AN100))</f>
        <v/>
      </c>
      <c r="AR100" s="155">
        <f>D100+H100+L100+P100+T100+X100+AB100+AF100+AJ100+AN100+E100+I100+M100+Q100+U100+Y100+AC100+AG100+AK100+AO100</f>
        <v/>
      </c>
      <c r="AS100" s="155">
        <f>C100+G100+K100+O100+S100+W100+AA100+AE100+AI100+AM100</f>
        <v/>
      </c>
      <c r="AT100" s="155">
        <f>F100+J100+N100+R100+V100+Z100+AD100+AH100+AL100+AP100</f>
        <v/>
      </c>
      <c r="AU100" s="157">
        <f>MID(IF(AND(F100=0,F99&gt;0),"; "&amp;$H$10,"")&amp;IF(AND(J100=0,J99&gt;0),"; "&amp;$H$11,"")&amp;IF(AND(N100=0,N99&gt;0),"; "&amp;$H$12,"")&amp;IF(AND(R100=0,R99&gt;0),"; "&amp;$H$13,"")&amp;IF(AND(V100=0,V99&gt;0),"; "&amp;$H$14,"")&amp;IF(AND(Z100=0,Z99&gt;0),"; "&amp;$H$15,"")&amp;IF(AND(AD100=0,AD99&gt;0),"; "&amp;$H$16,"")&amp;IF(AND(AH100=0,AH99&gt;0),"; "&amp;$H$17,"")&amp;IF(AND(AL100=0,AL99&gt;0),"; "&amp;$H$18,"")&amp;IF(AND(AP100=0,AP99&gt;0),"; "&amp;$H$19,""),3,200)</f>
        <v/>
      </c>
    </row>
    <row r="101">
      <c r="A101" s="154" t="n">
        <v>11</v>
      </c>
      <c r="B101" s="156">
        <f>EDATE($B$5,A101-1)</f>
        <v/>
      </c>
      <c r="C101" s="155">
        <f>ROUND(F100*$J$10,2)</f>
        <v/>
      </c>
      <c r="D101" s="155">
        <f>MIN($K$10,F100+C101)</f>
        <v/>
      </c>
      <c r="E101" s="155">
        <f>MIN(F100+C101-D101,MAX(0,$AQ101-(0)))</f>
        <v/>
      </c>
      <c r="F101" s="155">
        <f>ROUND(F100+C101-D101-E101,2)</f>
        <v/>
      </c>
      <c r="G101" s="155">
        <f>ROUND(J100*$J$11,2)</f>
        <v/>
      </c>
      <c r="H101" s="155">
        <f>MIN($K$11,J100+G101)</f>
        <v/>
      </c>
      <c r="I101" s="155">
        <f>MIN(J100+G101-H101,MAX(0,$AQ101-(E101)))</f>
        <v/>
      </c>
      <c r="J101" s="155">
        <f>ROUND(J100+G101-H101-I101,2)</f>
        <v/>
      </c>
      <c r="K101" s="155">
        <f>ROUND(N100*$J$12,2)</f>
        <v/>
      </c>
      <c r="L101" s="155">
        <f>MIN($K$12,N100+K101)</f>
        <v/>
      </c>
      <c r="M101" s="155">
        <f>MIN(N100+K101-L101,MAX(0,$AQ101-(E101+I101)))</f>
        <v/>
      </c>
      <c r="N101" s="155">
        <f>ROUND(N100+K101-L101-M101,2)</f>
        <v/>
      </c>
      <c r="O101" s="155">
        <f>ROUND(R100*$J$13,2)</f>
        <v/>
      </c>
      <c r="P101" s="155">
        <f>MIN($K$13,R100+O101)</f>
        <v/>
      </c>
      <c r="Q101" s="155">
        <f>MIN(R100+O101-P101,MAX(0,$AQ101-(E101+I101+M101)))</f>
        <v/>
      </c>
      <c r="R101" s="155">
        <f>ROUND(R100+O101-P101-Q101,2)</f>
        <v/>
      </c>
      <c r="S101" s="155">
        <f>ROUND(V100*$J$14,2)</f>
        <v/>
      </c>
      <c r="T101" s="155">
        <f>MIN($K$14,V100+S101)</f>
        <v/>
      </c>
      <c r="U101" s="155">
        <f>MIN(V100+S101-T101,MAX(0,$AQ101-(E101+I101+M101+Q101)))</f>
        <v/>
      </c>
      <c r="V101" s="155">
        <f>ROUND(V100+S101-T101-U101,2)</f>
        <v/>
      </c>
      <c r="W101" s="155">
        <f>ROUND(Z100*$J$15,2)</f>
        <v/>
      </c>
      <c r="X101" s="155">
        <f>MIN($K$15,Z100+W101)</f>
        <v/>
      </c>
      <c r="Y101" s="155">
        <f>MIN(Z100+W101-X101,MAX(0,$AQ101-(E101+I101+M101+Q101+U101)))</f>
        <v/>
      </c>
      <c r="Z101" s="155">
        <f>ROUND(Z100+W101-X101-Y101,2)</f>
        <v/>
      </c>
      <c r="AA101" s="155">
        <f>ROUND(AD100*$J$16,2)</f>
        <v/>
      </c>
      <c r="AB101" s="155">
        <f>MIN($K$16,AD100+AA101)</f>
        <v/>
      </c>
      <c r="AC101" s="155">
        <f>MIN(AD100+AA101-AB101,MAX(0,$AQ101-(E101+I101+M101+Q101+U101+Y101)))</f>
        <v/>
      </c>
      <c r="AD101" s="155">
        <f>ROUND(AD100+AA101-AB101-AC101,2)</f>
        <v/>
      </c>
      <c r="AE101" s="155">
        <f>ROUND(AH100*$J$17,2)</f>
        <v/>
      </c>
      <c r="AF101" s="155">
        <f>MIN($K$17,AH100+AE101)</f>
        <v/>
      </c>
      <c r="AG101" s="155">
        <f>MIN(AH100+AE101-AF101,MAX(0,$AQ101-(E101+I101+M101+Q101+U101+Y101+AC101)))</f>
        <v/>
      </c>
      <c r="AH101" s="155">
        <f>ROUND(AH100+AE101-AF101-AG101,2)</f>
        <v/>
      </c>
      <c r="AI101" s="155">
        <f>ROUND(AL100*$J$18,2)</f>
        <v/>
      </c>
      <c r="AJ101" s="155">
        <f>MIN($K$18,AL100+AI101)</f>
        <v/>
      </c>
      <c r="AK101" s="155">
        <f>MIN(AL100+AI101-AJ101,MAX(0,$AQ101-(E101+I101+M101+Q101+U101+Y101+AC101+AG101)))</f>
        <v/>
      </c>
      <c r="AL101" s="155">
        <f>ROUND(AL100+AI101-AJ101-AK101,2)</f>
        <v/>
      </c>
      <c r="AM101" s="155">
        <f>ROUND(AP100*$J$19,2)</f>
        <v/>
      </c>
      <c r="AN101" s="155">
        <f>MIN($K$19,AP100+AM101)</f>
        <v/>
      </c>
      <c r="AO101" s="155">
        <f>MIN(AP100+AM101-AN101,MAX(0,$AQ101-(E101+I101+M101+Q101+U101+Y101+AC101+AG101+AK101)))</f>
        <v/>
      </c>
      <c r="AP101" s="155">
        <f>ROUND(AP100+AM101-AN101-AO101,2)</f>
        <v/>
      </c>
      <c r="AQ101" s="155">
        <f>MAX(0,$B$6-(D101+H101+L101+P101+T101+X101+AB101+AF101+AJ101+AN101))</f>
        <v/>
      </c>
      <c r="AR101" s="155">
        <f>D101+H101+L101+P101+T101+X101+AB101+AF101+AJ101+AN101+E101+I101+M101+Q101+U101+Y101+AC101+AG101+AK101+AO101</f>
        <v/>
      </c>
      <c r="AS101" s="155">
        <f>C101+G101+K101+O101+S101+W101+AA101+AE101+AI101+AM101</f>
        <v/>
      </c>
      <c r="AT101" s="155">
        <f>F101+J101+N101+R101+V101+Z101+AD101+AH101+AL101+AP101</f>
        <v/>
      </c>
      <c r="AU101" s="157">
        <f>MID(IF(AND(F101=0,F100&gt;0),"; "&amp;$H$10,"")&amp;IF(AND(J101=0,J100&gt;0),"; "&amp;$H$11,"")&amp;IF(AND(N101=0,N100&gt;0),"; "&amp;$H$12,"")&amp;IF(AND(R101=0,R100&gt;0),"; "&amp;$H$13,"")&amp;IF(AND(V101=0,V100&gt;0),"; "&amp;$H$14,"")&amp;IF(AND(Z101=0,Z100&gt;0),"; "&amp;$H$15,"")&amp;IF(AND(AD101=0,AD100&gt;0),"; "&amp;$H$16,"")&amp;IF(AND(AH101=0,AH100&gt;0),"; "&amp;$H$17,"")&amp;IF(AND(AL101=0,AL100&gt;0),"; "&amp;$H$18,"")&amp;IF(AND(AP101=0,AP100&gt;0),"; "&amp;$H$19,""),3,200)</f>
        <v/>
      </c>
    </row>
    <row r="102">
      <c r="A102" s="154" t="n">
        <v>12</v>
      </c>
      <c r="B102" s="156">
        <f>EDATE($B$5,A102-1)</f>
        <v/>
      </c>
      <c r="C102" s="155">
        <f>ROUND(F101*$J$10,2)</f>
        <v/>
      </c>
      <c r="D102" s="155">
        <f>MIN($K$10,F101+C102)</f>
        <v/>
      </c>
      <c r="E102" s="155">
        <f>MIN(F101+C102-D102,MAX(0,$AQ102-(0)))</f>
        <v/>
      </c>
      <c r="F102" s="155">
        <f>ROUND(F101+C102-D102-E102,2)</f>
        <v/>
      </c>
      <c r="G102" s="155">
        <f>ROUND(J101*$J$11,2)</f>
        <v/>
      </c>
      <c r="H102" s="155">
        <f>MIN($K$11,J101+G102)</f>
        <v/>
      </c>
      <c r="I102" s="155">
        <f>MIN(J101+G102-H102,MAX(0,$AQ102-(E102)))</f>
        <v/>
      </c>
      <c r="J102" s="155">
        <f>ROUND(J101+G102-H102-I102,2)</f>
        <v/>
      </c>
      <c r="K102" s="155">
        <f>ROUND(N101*$J$12,2)</f>
        <v/>
      </c>
      <c r="L102" s="155">
        <f>MIN($K$12,N101+K102)</f>
        <v/>
      </c>
      <c r="M102" s="155">
        <f>MIN(N101+K102-L102,MAX(0,$AQ102-(E102+I102)))</f>
        <v/>
      </c>
      <c r="N102" s="155">
        <f>ROUND(N101+K102-L102-M102,2)</f>
        <v/>
      </c>
      <c r="O102" s="155">
        <f>ROUND(R101*$J$13,2)</f>
        <v/>
      </c>
      <c r="P102" s="155">
        <f>MIN($K$13,R101+O102)</f>
        <v/>
      </c>
      <c r="Q102" s="155">
        <f>MIN(R101+O102-P102,MAX(0,$AQ102-(E102+I102+M102)))</f>
        <v/>
      </c>
      <c r="R102" s="155">
        <f>ROUND(R101+O102-P102-Q102,2)</f>
        <v/>
      </c>
      <c r="S102" s="155">
        <f>ROUND(V101*$J$14,2)</f>
        <v/>
      </c>
      <c r="T102" s="155">
        <f>MIN($K$14,V101+S102)</f>
        <v/>
      </c>
      <c r="U102" s="155">
        <f>MIN(V101+S102-T102,MAX(0,$AQ102-(E102+I102+M102+Q102)))</f>
        <v/>
      </c>
      <c r="V102" s="155">
        <f>ROUND(V101+S102-T102-U102,2)</f>
        <v/>
      </c>
      <c r="W102" s="155">
        <f>ROUND(Z101*$J$15,2)</f>
        <v/>
      </c>
      <c r="X102" s="155">
        <f>MIN($K$15,Z101+W102)</f>
        <v/>
      </c>
      <c r="Y102" s="155">
        <f>MIN(Z101+W102-X102,MAX(0,$AQ102-(E102+I102+M102+Q102+U102)))</f>
        <v/>
      </c>
      <c r="Z102" s="155">
        <f>ROUND(Z101+W102-X102-Y102,2)</f>
        <v/>
      </c>
      <c r="AA102" s="155">
        <f>ROUND(AD101*$J$16,2)</f>
        <v/>
      </c>
      <c r="AB102" s="155">
        <f>MIN($K$16,AD101+AA102)</f>
        <v/>
      </c>
      <c r="AC102" s="155">
        <f>MIN(AD101+AA102-AB102,MAX(0,$AQ102-(E102+I102+M102+Q102+U102+Y102)))</f>
        <v/>
      </c>
      <c r="AD102" s="155">
        <f>ROUND(AD101+AA102-AB102-AC102,2)</f>
        <v/>
      </c>
      <c r="AE102" s="155">
        <f>ROUND(AH101*$J$17,2)</f>
        <v/>
      </c>
      <c r="AF102" s="155">
        <f>MIN($K$17,AH101+AE102)</f>
        <v/>
      </c>
      <c r="AG102" s="155">
        <f>MIN(AH101+AE102-AF102,MAX(0,$AQ102-(E102+I102+M102+Q102+U102+Y102+AC102)))</f>
        <v/>
      </c>
      <c r="AH102" s="155">
        <f>ROUND(AH101+AE102-AF102-AG102,2)</f>
        <v/>
      </c>
      <c r="AI102" s="155">
        <f>ROUND(AL101*$J$18,2)</f>
        <v/>
      </c>
      <c r="AJ102" s="155">
        <f>MIN($K$18,AL101+AI102)</f>
        <v/>
      </c>
      <c r="AK102" s="155">
        <f>MIN(AL101+AI102-AJ102,MAX(0,$AQ102-(E102+I102+M102+Q102+U102+Y102+AC102+AG102)))</f>
        <v/>
      </c>
      <c r="AL102" s="155">
        <f>ROUND(AL101+AI102-AJ102-AK102,2)</f>
        <v/>
      </c>
      <c r="AM102" s="155">
        <f>ROUND(AP101*$J$19,2)</f>
        <v/>
      </c>
      <c r="AN102" s="155">
        <f>MIN($K$19,AP101+AM102)</f>
        <v/>
      </c>
      <c r="AO102" s="155">
        <f>MIN(AP101+AM102-AN102,MAX(0,$AQ102-(E102+I102+M102+Q102+U102+Y102+AC102+AG102+AK102)))</f>
        <v/>
      </c>
      <c r="AP102" s="155">
        <f>ROUND(AP101+AM102-AN102-AO102,2)</f>
        <v/>
      </c>
      <c r="AQ102" s="155">
        <f>MAX(0,$B$6-(D102+H102+L102+P102+T102+X102+AB102+AF102+AJ102+AN102))</f>
        <v/>
      </c>
      <c r="AR102" s="155">
        <f>D102+H102+L102+P102+T102+X102+AB102+AF102+AJ102+AN102+E102+I102+M102+Q102+U102+Y102+AC102+AG102+AK102+AO102</f>
        <v/>
      </c>
      <c r="AS102" s="155">
        <f>C102+G102+K102+O102+S102+W102+AA102+AE102+AI102+AM102</f>
        <v/>
      </c>
      <c r="AT102" s="155">
        <f>F102+J102+N102+R102+V102+Z102+AD102+AH102+AL102+AP102</f>
        <v/>
      </c>
      <c r="AU102" s="157">
        <f>MID(IF(AND(F102=0,F101&gt;0),"; "&amp;$H$10,"")&amp;IF(AND(J102=0,J101&gt;0),"; "&amp;$H$11,"")&amp;IF(AND(N102=0,N101&gt;0),"; "&amp;$H$12,"")&amp;IF(AND(R102=0,R101&gt;0),"; "&amp;$H$13,"")&amp;IF(AND(V102=0,V101&gt;0),"; "&amp;$H$14,"")&amp;IF(AND(Z102=0,Z101&gt;0),"; "&amp;$H$15,"")&amp;IF(AND(AD102=0,AD101&gt;0),"; "&amp;$H$16,"")&amp;IF(AND(AH102=0,AH101&gt;0),"; "&amp;$H$17,"")&amp;IF(AND(AL102=0,AL101&gt;0),"; "&amp;$H$18,"")&amp;IF(AND(AP102=0,AP101&gt;0),"; "&amp;$H$19,""),3,200)</f>
        <v/>
      </c>
    </row>
    <row r="103">
      <c r="A103" s="154" t="n">
        <v>13</v>
      </c>
      <c r="B103" s="156">
        <f>EDATE($B$5,A103-1)</f>
        <v/>
      </c>
      <c r="C103" s="155">
        <f>ROUND(F102*$J$10,2)</f>
        <v/>
      </c>
      <c r="D103" s="155">
        <f>MIN($K$10,F102+C103)</f>
        <v/>
      </c>
      <c r="E103" s="155">
        <f>MIN(F102+C103-D103,MAX(0,$AQ103-(0)))</f>
        <v/>
      </c>
      <c r="F103" s="155">
        <f>ROUND(F102+C103-D103-E103,2)</f>
        <v/>
      </c>
      <c r="G103" s="155">
        <f>ROUND(J102*$J$11,2)</f>
        <v/>
      </c>
      <c r="H103" s="155">
        <f>MIN($K$11,J102+G103)</f>
        <v/>
      </c>
      <c r="I103" s="155">
        <f>MIN(J102+G103-H103,MAX(0,$AQ103-(E103)))</f>
        <v/>
      </c>
      <c r="J103" s="155">
        <f>ROUND(J102+G103-H103-I103,2)</f>
        <v/>
      </c>
      <c r="K103" s="155">
        <f>ROUND(N102*$J$12,2)</f>
        <v/>
      </c>
      <c r="L103" s="155">
        <f>MIN($K$12,N102+K103)</f>
        <v/>
      </c>
      <c r="M103" s="155">
        <f>MIN(N102+K103-L103,MAX(0,$AQ103-(E103+I103)))</f>
        <v/>
      </c>
      <c r="N103" s="155">
        <f>ROUND(N102+K103-L103-M103,2)</f>
        <v/>
      </c>
      <c r="O103" s="155">
        <f>ROUND(R102*$J$13,2)</f>
        <v/>
      </c>
      <c r="P103" s="155">
        <f>MIN($K$13,R102+O103)</f>
        <v/>
      </c>
      <c r="Q103" s="155">
        <f>MIN(R102+O103-P103,MAX(0,$AQ103-(E103+I103+M103)))</f>
        <v/>
      </c>
      <c r="R103" s="155">
        <f>ROUND(R102+O103-P103-Q103,2)</f>
        <v/>
      </c>
      <c r="S103" s="155">
        <f>ROUND(V102*$J$14,2)</f>
        <v/>
      </c>
      <c r="T103" s="155">
        <f>MIN($K$14,V102+S103)</f>
        <v/>
      </c>
      <c r="U103" s="155">
        <f>MIN(V102+S103-T103,MAX(0,$AQ103-(E103+I103+M103+Q103)))</f>
        <v/>
      </c>
      <c r="V103" s="155">
        <f>ROUND(V102+S103-T103-U103,2)</f>
        <v/>
      </c>
      <c r="W103" s="155">
        <f>ROUND(Z102*$J$15,2)</f>
        <v/>
      </c>
      <c r="X103" s="155">
        <f>MIN($K$15,Z102+W103)</f>
        <v/>
      </c>
      <c r="Y103" s="155">
        <f>MIN(Z102+W103-X103,MAX(0,$AQ103-(E103+I103+M103+Q103+U103)))</f>
        <v/>
      </c>
      <c r="Z103" s="155">
        <f>ROUND(Z102+W103-X103-Y103,2)</f>
        <v/>
      </c>
      <c r="AA103" s="155">
        <f>ROUND(AD102*$J$16,2)</f>
        <v/>
      </c>
      <c r="AB103" s="155">
        <f>MIN($K$16,AD102+AA103)</f>
        <v/>
      </c>
      <c r="AC103" s="155">
        <f>MIN(AD102+AA103-AB103,MAX(0,$AQ103-(E103+I103+M103+Q103+U103+Y103)))</f>
        <v/>
      </c>
      <c r="AD103" s="155">
        <f>ROUND(AD102+AA103-AB103-AC103,2)</f>
        <v/>
      </c>
      <c r="AE103" s="155">
        <f>ROUND(AH102*$J$17,2)</f>
        <v/>
      </c>
      <c r="AF103" s="155">
        <f>MIN($K$17,AH102+AE103)</f>
        <v/>
      </c>
      <c r="AG103" s="155">
        <f>MIN(AH102+AE103-AF103,MAX(0,$AQ103-(E103+I103+M103+Q103+U103+Y103+AC103)))</f>
        <v/>
      </c>
      <c r="AH103" s="155">
        <f>ROUND(AH102+AE103-AF103-AG103,2)</f>
        <v/>
      </c>
      <c r="AI103" s="155">
        <f>ROUND(AL102*$J$18,2)</f>
        <v/>
      </c>
      <c r="AJ103" s="155">
        <f>MIN($K$18,AL102+AI103)</f>
        <v/>
      </c>
      <c r="AK103" s="155">
        <f>MIN(AL102+AI103-AJ103,MAX(0,$AQ103-(E103+I103+M103+Q103+U103+Y103+AC103+AG103)))</f>
        <v/>
      </c>
      <c r="AL103" s="155">
        <f>ROUND(AL102+AI103-AJ103-AK103,2)</f>
        <v/>
      </c>
      <c r="AM103" s="155">
        <f>ROUND(AP102*$J$19,2)</f>
        <v/>
      </c>
      <c r="AN103" s="155">
        <f>MIN($K$19,AP102+AM103)</f>
        <v/>
      </c>
      <c r="AO103" s="155">
        <f>MIN(AP102+AM103-AN103,MAX(0,$AQ103-(E103+I103+M103+Q103+U103+Y103+AC103+AG103+AK103)))</f>
        <v/>
      </c>
      <c r="AP103" s="155">
        <f>ROUND(AP102+AM103-AN103-AO103,2)</f>
        <v/>
      </c>
      <c r="AQ103" s="155">
        <f>MAX(0,$B$6-(D103+H103+L103+P103+T103+X103+AB103+AF103+AJ103+AN103))</f>
        <v/>
      </c>
      <c r="AR103" s="155">
        <f>D103+H103+L103+P103+T103+X103+AB103+AF103+AJ103+AN103+E103+I103+M103+Q103+U103+Y103+AC103+AG103+AK103+AO103</f>
        <v/>
      </c>
      <c r="AS103" s="155">
        <f>C103+G103+K103+O103+S103+W103+AA103+AE103+AI103+AM103</f>
        <v/>
      </c>
      <c r="AT103" s="155">
        <f>F103+J103+N103+R103+V103+Z103+AD103+AH103+AL103+AP103</f>
        <v/>
      </c>
      <c r="AU103" s="157">
        <f>MID(IF(AND(F103=0,F102&gt;0),"; "&amp;$H$10,"")&amp;IF(AND(J103=0,J102&gt;0),"; "&amp;$H$11,"")&amp;IF(AND(N103=0,N102&gt;0),"; "&amp;$H$12,"")&amp;IF(AND(R103=0,R102&gt;0),"; "&amp;$H$13,"")&amp;IF(AND(V103=0,V102&gt;0),"; "&amp;$H$14,"")&amp;IF(AND(Z103=0,Z102&gt;0),"; "&amp;$H$15,"")&amp;IF(AND(AD103=0,AD102&gt;0),"; "&amp;$H$16,"")&amp;IF(AND(AH103=0,AH102&gt;0),"; "&amp;$H$17,"")&amp;IF(AND(AL103=0,AL102&gt;0),"; "&amp;$H$18,"")&amp;IF(AND(AP103=0,AP102&gt;0),"; "&amp;$H$19,""),3,200)</f>
        <v/>
      </c>
    </row>
    <row r="104">
      <c r="A104" s="154" t="n">
        <v>14</v>
      </c>
      <c r="B104" s="156">
        <f>EDATE($B$5,A104-1)</f>
        <v/>
      </c>
      <c r="C104" s="155">
        <f>ROUND(F103*$J$10,2)</f>
        <v/>
      </c>
      <c r="D104" s="155">
        <f>MIN($K$10,F103+C104)</f>
        <v/>
      </c>
      <c r="E104" s="155">
        <f>MIN(F103+C104-D104,MAX(0,$AQ104-(0)))</f>
        <v/>
      </c>
      <c r="F104" s="155">
        <f>ROUND(F103+C104-D104-E104,2)</f>
        <v/>
      </c>
      <c r="G104" s="155">
        <f>ROUND(J103*$J$11,2)</f>
        <v/>
      </c>
      <c r="H104" s="155">
        <f>MIN($K$11,J103+G104)</f>
        <v/>
      </c>
      <c r="I104" s="155">
        <f>MIN(J103+G104-H104,MAX(0,$AQ104-(E104)))</f>
        <v/>
      </c>
      <c r="J104" s="155">
        <f>ROUND(J103+G104-H104-I104,2)</f>
        <v/>
      </c>
      <c r="K104" s="155">
        <f>ROUND(N103*$J$12,2)</f>
        <v/>
      </c>
      <c r="L104" s="155">
        <f>MIN($K$12,N103+K104)</f>
        <v/>
      </c>
      <c r="M104" s="155">
        <f>MIN(N103+K104-L104,MAX(0,$AQ104-(E104+I104)))</f>
        <v/>
      </c>
      <c r="N104" s="155">
        <f>ROUND(N103+K104-L104-M104,2)</f>
        <v/>
      </c>
      <c r="O104" s="155">
        <f>ROUND(R103*$J$13,2)</f>
        <v/>
      </c>
      <c r="P104" s="155">
        <f>MIN($K$13,R103+O104)</f>
        <v/>
      </c>
      <c r="Q104" s="155">
        <f>MIN(R103+O104-P104,MAX(0,$AQ104-(E104+I104+M104)))</f>
        <v/>
      </c>
      <c r="R104" s="155">
        <f>ROUND(R103+O104-P104-Q104,2)</f>
        <v/>
      </c>
      <c r="S104" s="155">
        <f>ROUND(V103*$J$14,2)</f>
        <v/>
      </c>
      <c r="T104" s="155">
        <f>MIN($K$14,V103+S104)</f>
        <v/>
      </c>
      <c r="U104" s="155">
        <f>MIN(V103+S104-T104,MAX(0,$AQ104-(E104+I104+M104+Q104)))</f>
        <v/>
      </c>
      <c r="V104" s="155">
        <f>ROUND(V103+S104-T104-U104,2)</f>
        <v/>
      </c>
      <c r="W104" s="155">
        <f>ROUND(Z103*$J$15,2)</f>
        <v/>
      </c>
      <c r="X104" s="155">
        <f>MIN($K$15,Z103+W104)</f>
        <v/>
      </c>
      <c r="Y104" s="155">
        <f>MIN(Z103+W104-X104,MAX(0,$AQ104-(E104+I104+M104+Q104+U104)))</f>
        <v/>
      </c>
      <c r="Z104" s="155">
        <f>ROUND(Z103+W104-X104-Y104,2)</f>
        <v/>
      </c>
      <c r="AA104" s="155">
        <f>ROUND(AD103*$J$16,2)</f>
        <v/>
      </c>
      <c r="AB104" s="155">
        <f>MIN($K$16,AD103+AA104)</f>
        <v/>
      </c>
      <c r="AC104" s="155">
        <f>MIN(AD103+AA104-AB104,MAX(0,$AQ104-(E104+I104+M104+Q104+U104+Y104)))</f>
        <v/>
      </c>
      <c r="AD104" s="155">
        <f>ROUND(AD103+AA104-AB104-AC104,2)</f>
        <v/>
      </c>
      <c r="AE104" s="155">
        <f>ROUND(AH103*$J$17,2)</f>
        <v/>
      </c>
      <c r="AF104" s="155">
        <f>MIN($K$17,AH103+AE104)</f>
        <v/>
      </c>
      <c r="AG104" s="155">
        <f>MIN(AH103+AE104-AF104,MAX(0,$AQ104-(E104+I104+M104+Q104+U104+Y104+AC104)))</f>
        <v/>
      </c>
      <c r="AH104" s="155">
        <f>ROUND(AH103+AE104-AF104-AG104,2)</f>
        <v/>
      </c>
      <c r="AI104" s="155">
        <f>ROUND(AL103*$J$18,2)</f>
        <v/>
      </c>
      <c r="AJ104" s="155">
        <f>MIN($K$18,AL103+AI104)</f>
        <v/>
      </c>
      <c r="AK104" s="155">
        <f>MIN(AL103+AI104-AJ104,MAX(0,$AQ104-(E104+I104+M104+Q104+U104+Y104+AC104+AG104)))</f>
        <v/>
      </c>
      <c r="AL104" s="155">
        <f>ROUND(AL103+AI104-AJ104-AK104,2)</f>
        <v/>
      </c>
      <c r="AM104" s="155">
        <f>ROUND(AP103*$J$19,2)</f>
        <v/>
      </c>
      <c r="AN104" s="155">
        <f>MIN($K$19,AP103+AM104)</f>
        <v/>
      </c>
      <c r="AO104" s="155">
        <f>MIN(AP103+AM104-AN104,MAX(0,$AQ104-(E104+I104+M104+Q104+U104+Y104+AC104+AG104+AK104)))</f>
        <v/>
      </c>
      <c r="AP104" s="155">
        <f>ROUND(AP103+AM104-AN104-AO104,2)</f>
        <v/>
      </c>
      <c r="AQ104" s="155">
        <f>MAX(0,$B$6-(D104+H104+L104+P104+T104+X104+AB104+AF104+AJ104+AN104))</f>
        <v/>
      </c>
      <c r="AR104" s="155">
        <f>D104+H104+L104+P104+T104+X104+AB104+AF104+AJ104+AN104+E104+I104+M104+Q104+U104+Y104+AC104+AG104+AK104+AO104</f>
        <v/>
      </c>
      <c r="AS104" s="155">
        <f>C104+G104+K104+O104+S104+W104+AA104+AE104+AI104+AM104</f>
        <v/>
      </c>
      <c r="AT104" s="155">
        <f>F104+J104+N104+R104+V104+Z104+AD104+AH104+AL104+AP104</f>
        <v/>
      </c>
      <c r="AU104" s="157">
        <f>MID(IF(AND(F104=0,F103&gt;0),"; "&amp;$H$10,"")&amp;IF(AND(J104=0,J103&gt;0),"; "&amp;$H$11,"")&amp;IF(AND(N104=0,N103&gt;0),"; "&amp;$H$12,"")&amp;IF(AND(R104=0,R103&gt;0),"; "&amp;$H$13,"")&amp;IF(AND(V104=0,V103&gt;0),"; "&amp;$H$14,"")&amp;IF(AND(Z104=0,Z103&gt;0),"; "&amp;$H$15,"")&amp;IF(AND(AD104=0,AD103&gt;0),"; "&amp;$H$16,"")&amp;IF(AND(AH104=0,AH103&gt;0),"; "&amp;$H$17,"")&amp;IF(AND(AL104=0,AL103&gt;0),"; "&amp;$H$18,"")&amp;IF(AND(AP104=0,AP103&gt;0),"; "&amp;$H$19,""),3,200)</f>
        <v/>
      </c>
    </row>
    <row r="105">
      <c r="A105" s="154" t="n">
        <v>15</v>
      </c>
      <c r="B105" s="156">
        <f>EDATE($B$5,A105-1)</f>
        <v/>
      </c>
      <c r="C105" s="155">
        <f>ROUND(F104*$J$10,2)</f>
        <v/>
      </c>
      <c r="D105" s="155">
        <f>MIN($K$10,F104+C105)</f>
        <v/>
      </c>
      <c r="E105" s="155">
        <f>MIN(F104+C105-D105,MAX(0,$AQ105-(0)))</f>
        <v/>
      </c>
      <c r="F105" s="155">
        <f>ROUND(F104+C105-D105-E105,2)</f>
        <v/>
      </c>
      <c r="G105" s="155">
        <f>ROUND(J104*$J$11,2)</f>
        <v/>
      </c>
      <c r="H105" s="155">
        <f>MIN($K$11,J104+G105)</f>
        <v/>
      </c>
      <c r="I105" s="155">
        <f>MIN(J104+G105-H105,MAX(0,$AQ105-(E105)))</f>
        <v/>
      </c>
      <c r="J105" s="155">
        <f>ROUND(J104+G105-H105-I105,2)</f>
        <v/>
      </c>
      <c r="K105" s="155">
        <f>ROUND(N104*$J$12,2)</f>
        <v/>
      </c>
      <c r="L105" s="155">
        <f>MIN($K$12,N104+K105)</f>
        <v/>
      </c>
      <c r="M105" s="155">
        <f>MIN(N104+K105-L105,MAX(0,$AQ105-(E105+I105)))</f>
        <v/>
      </c>
      <c r="N105" s="155">
        <f>ROUND(N104+K105-L105-M105,2)</f>
        <v/>
      </c>
      <c r="O105" s="155">
        <f>ROUND(R104*$J$13,2)</f>
        <v/>
      </c>
      <c r="P105" s="155">
        <f>MIN($K$13,R104+O105)</f>
        <v/>
      </c>
      <c r="Q105" s="155">
        <f>MIN(R104+O105-P105,MAX(0,$AQ105-(E105+I105+M105)))</f>
        <v/>
      </c>
      <c r="R105" s="155">
        <f>ROUND(R104+O105-P105-Q105,2)</f>
        <v/>
      </c>
      <c r="S105" s="155">
        <f>ROUND(V104*$J$14,2)</f>
        <v/>
      </c>
      <c r="T105" s="155">
        <f>MIN($K$14,V104+S105)</f>
        <v/>
      </c>
      <c r="U105" s="155">
        <f>MIN(V104+S105-T105,MAX(0,$AQ105-(E105+I105+M105+Q105)))</f>
        <v/>
      </c>
      <c r="V105" s="155">
        <f>ROUND(V104+S105-T105-U105,2)</f>
        <v/>
      </c>
      <c r="W105" s="155">
        <f>ROUND(Z104*$J$15,2)</f>
        <v/>
      </c>
      <c r="X105" s="155">
        <f>MIN($K$15,Z104+W105)</f>
        <v/>
      </c>
      <c r="Y105" s="155">
        <f>MIN(Z104+W105-X105,MAX(0,$AQ105-(E105+I105+M105+Q105+U105)))</f>
        <v/>
      </c>
      <c r="Z105" s="155">
        <f>ROUND(Z104+W105-X105-Y105,2)</f>
        <v/>
      </c>
      <c r="AA105" s="155">
        <f>ROUND(AD104*$J$16,2)</f>
        <v/>
      </c>
      <c r="AB105" s="155">
        <f>MIN($K$16,AD104+AA105)</f>
        <v/>
      </c>
      <c r="AC105" s="155">
        <f>MIN(AD104+AA105-AB105,MAX(0,$AQ105-(E105+I105+M105+Q105+U105+Y105)))</f>
        <v/>
      </c>
      <c r="AD105" s="155">
        <f>ROUND(AD104+AA105-AB105-AC105,2)</f>
        <v/>
      </c>
      <c r="AE105" s="155">
        <f>ROUND(AH104*$J$17,2)</f>
        <v/>
      </c>
      <c r="AF105" s="155">
        <f>MIN($K$17,AH104+AE105)</f>
        <v/>
      </c>
      <c r="AG105" s="155">
        <f>MIN(AH104+AE105-AF105,MAX(0,$AQ105-(E105+I105+M105+Q105+U105+Y105+AC105)))</f>
        <v/>
      </c>
      <c r="AH105" s="155">
        <f>ROUND(AH104+AE105-AF105-AG105,2)</f>
        <v/>
      </c>
      <c r="AI105" s="155">
        <f>ROUND(AL104*$J$18,2)</f>
        <v/>
      </c>
      <c r="AJ105" s="155">
        <f>MIN($K$18,AL104+AI105)</f>
        <v/>
      </c>
      <c r="AK105" s="155">
        <f>MIN(AL104+AI105-AJ105,MAX(0,$AQ105-(E105+I105+M105+Q105+U105+Y105+AC105+AG105)))</f>
        <v/>
      </c>
      <c r="AL105" s="155">
        <f>ROUND(AL104+AI105-AJ105-AK105,2)</f>
        <v/>
      </c>
      <c r="AM105" s="155">
        <f>ROUND(AP104*$J$19,2)</f>
        <v/>
      </c>
      <c r="AN105" s="155">
        <f>MIN($K$19,AP104+AM105)</f>
        <v/>
      </c>
      <c r="AO105" s="155">
        <f>MIN(AP104+AM105-AN105,MAX(0,$AQ105-(E105+I105+M105+Q105+U105+Y105+AC105+AG105+AK105)))</f>
        <v/>
      </c>
      <c r="AP105" s="155">
        <f>ROUND(AP104+AM105-AN105-AO105,2)</f>
        <v/>
      </c>
      <c r="AQ105" s="155">
        <f>MAX(0,$B$6-(D105+H105+L105+P105+T105+X105+AB105+AF105+AJ105+AN105))</f>
        <v/>
      </c>
      <c r="AR105" s="155">
        <f>D105+H105+L105+P105+T105+X105+AB105+AF105+AJ105+AN105+E105+I105+M105+Q105+U105+Y105+AC105+AG105+AK105+AO105</f>
        <v/>
      </c>
      <c r="AS105" s="155">
        <f>C105+G105+K105+O105+S105+W105+AA105+AE105+AI105+AM105</f>
        <v/>
      </c>
      <c r="AT105" s="155">
        <f>F105+J105+N105+R105+V105+Z105+AD105+AH105+AL105+AP105</f>
        <v/>
      </c>
      <c r="AU105" s="157">
        <f>MID(IF(AND(F105=0,F104&gt;0),"; "&amp;$H$10,"")&amp;IF(AND(J105=0,J104&gt;0),"; "&amp;$H$11,"")&amp;IF(AND(N105=0,N104&gt;0),"; "&amp;$H$12,"")&amp;IF(AND(R105=0,R104&gt;0),"; "&amp;$H$13,"")&amp;IF(AND(V105=0,V104&gt;0),"; "&amp;$H$14,"")&amp;IF(AND(Z105=0,Z104&gt;0),"; "&amp;$H$15,"")&amp;IF(AND(AD105=0,AD104&gt;0),"; "&amp;$H$16,"")&amp;IF(AND(AH105=0,AH104&gt;0),"; "&amp;$H$17,"")&amp;IF(AND(AL105=0,AL104&gt;0),"; "&amp;$H$18,"")&amp;IF(AND(AP105=0,AP104&gt;0),"; "&amp;$H$19,""),3,200)</f>
        <v/>
      </c>
    </row>
    <row r="106">
      <c r="A106" s="154" t="n">
        <v>16</v>
      </c>
      <c r="B106" s="156">
        <f>EDATE($B$5,A106-1)</f>
        <v/>
      </c>
      <c r="C106" s="155">
        <f>ROUND(F105*$J$10,2)</f>
        <v/>
      </c>
      <c r="D106" s="155">
        <f>MIN($K$10,F105+C106)</f>
        <v/>
      </c>
      <c r="E106" s="155">
        <f>MIN(F105+C106-D106,MAX(0,$AQ106-(0)))</f>
        <v/>
      </c>
      <c r="F106" s="155">
        <f>ROUND(F105+C106-D106-E106,2)</f>
        <v/>
      </c>
      <c r="G106" s="155">
        <f>ROUND(J105*$J$11,2)</f>
        <v/>
      </c>
      <c r="H106" s="155">
        <f>MIN($K$11,J105+G106)</f>
        <v/>
      </c>
      <c r="I106" s="155">
        <f>MIN(J105+G106-H106,MAX(0,$AQ106-(E106)))</f>
        <v/>
      </c>
      <c r="J106" s="155">
        <f>ROUND(J105+G106-H106-I106,2)</f>
        <v/>
      </c>
      <c r="K106" s="155">
        <f>ROUND(N105*$J$12,2)</f>
        <v/>
      </c>
      <c r="L106" s="155">
        <f>MIN($K$12,N105+K106)</f>
        <v/>
      </c>
      <c r="M106" s="155">
        <f>MIN(N105+K106-L106,MAX(0,$AQ106-(E106+I106)))</f>
        <v/>
      </c>
      <c r="N106" s="155">
        <f>ROUND(N105+K106-L106-M106,2)</f>
        <v/>
      </c>
      <c r="O106" s="155">
        <f>ROUND(R105*$J$13,2)</f>
        <v/>
      </c>
      <c r="P106" s="155">
        <f>MIN($K$13,R105+O106)</f>
        <v/>
      </c>
      <c r="Q106" s="155">
        <f>MIN(R105+O106-P106,MAX(0,$AQ106-(E106+I106+M106)))</f>
        <v/>
      </c>
      <c r="R106" s="155">
        <f>ROUND(R105+O106-P106-Q106,2)</f>
        <v/>
      </c>
      <c r="S106" s="155">
        <f>ROUND(V105*$J$14,2)</f>
        <v/>
      </c>
      <c r="T106" s="155">
        <f>MIN($K$14,V105+S106)</f>
        <v/>
      </c>
      <c r="U106" s="155">
        <f>MIN(V105+S106-T106,MAX(0,$AQ106-(E106+I106+M106+Q106)))</f>
        <v/>
      </c>
      <c r="V106" s="155">
        <f>ROUND(V105+S106-T106-U106,2)</f>
        <v/>
      </c>
      <c r="W106" s="155">
        <f>ROUND(Z105*$J$15,2)</f>
        <v/>
      </c>
      <c r="X106" s="155">
        <f>MIN($K$15,Z105+W106)</f>
        <v/>
      </c>
      <c r="Y106" s="155">
        <f>MIN(Z105+W106-X106,MAX(0,$AQ106-(E106+I106+M106+Q106+U106)))</f>
        <v/>
      </c>
      <c r="Z106" s="155">
        <f>ROUND(Z105+W106-X106-Y106,2)</f>
        <v/>
      </c>
      <c r="AA106" s="155">
        <f>ROUND(AD105*$J$16,2)</f>
        <v/>
      </c>
      <c r="AB106" s="155">
        <f>MIN($K$16,AD105+AA106)</f>
        <v/>
      </c>
      <c r="AC106" s="155">
        <f>MIN(AD105+AA106-AB106,MAX(0,$AQ106-(E106+I106+M106+Q106+U106+Y106)))</f>
        <v/>
      </c>
      <c r="AD106" s="155">
        <f>ROUND(AD105+AA106-AB106-AC106,2)</f>
        <v/>
      </c>
      <c r="AE106" s="155">
        <f>ROUND(AH105*$J$17,2)</f>
        <v/>
      </c>
      <c r="AF106" s="155">
        <f>MIN($K$17,AH105+AE106)</f>
        <v/>
      </c>
      <c r="AG106" s="155">
        <f>MIN(AH105+AE106-AF106,MAX(0,$AQ106-(E106+I106+M106+Q106+U106+Y106+AC106)))</f>
        <v/>
      </c>
      <c r="AH106" s="155">
        <f>ROUND(AH105+AE106-AF106-AG106,2)</f>
        <v/>
      </c>
      <c r="AI106" s="155">
        <f>ROUND(AL105*$J$18,2)</f>
        <v/>
      </c>
      <c r="AJ106" s="155">
        <f>MIN($K$18,AL105+AI106)</f>
        <v/>
      </c>
      <c r="AK106" s="155">
        <f>MIN(AL105+AI106-AJ106,MAX(0,$AQ106-(E106+I106+M106+Q106+U106+Y106+AC106+AG106)))</f>
        <v/>
      </c>
      <c r="AL106" s="155">
        <f>ROUND(AL105+AI106-AJ106-AK106,2)</f>
        <v/>
      </c>
      <c r="AM106" s="155">
        <f>ROUND(AP105*$J$19,2)</f>
        <v/>
      </c>
      <c r="AN106" s="155">
        <f>MIN($K$19,AP105+AM106)</f>
        <v/>
      </c>
      <c r="AO106" s="155">
        <f>MIN(AP105+AM106-AN106,MAX(0,$AQ106-(E106+I106+M106+Q106+U106+Y106+AC106+AG106+AK106)))</f>
        <v/>
      </c>
      <c r="AP106" s="155">
        <f>ROUND(AP105+AM106-AN106-AO106,2)</f>
        <v/>
      </c>
      <c r="AQ106" s="155">
        <f>MAX(0,$B$6-(D106+H106+L106+P106+T106+X106+AB106+AF106+AJ106+AN106))</f>
        <v/>
      </c>
      <c r="AR106" s="155">
        <f>D106+H106+L106+P106+T106+X106+AB106+AF106+AJ106+AN106+E106+I106+M106+Q106+U106+Y106+AC106+AG106+AK106+AO106</f>
        <v/>
      </c>
      <c r="AS106" s="155">
        <f>C106+G106+K106+O106+S106+W106+AA106+AE106+AI106+AM106</f>
        <v/>
      </c>
      <c r="AT106" s="155">
        <f>F106+J106+N106+R106+V106+Z106+AD106+AH106+AL106+AP106</f>
        <v/>
      </c>
      <c r="AU106" s="157">
        <f>MID(IF(AND(F106=0,F105&gt;0),"; "&amp;$H$10,"")&amp;IF(AND(J106=0,J105&gt;0),"; "&amp;$H$11,"")&amp;IF(AND(N106=0,N105&gt;0),"; "&amp;$H$12,"")&amp;IF(AND(R106=0,R105&gt;0),"; "&amp;$H$13,"")&amp;IF(AND(V106=0,V105&gt;0),"; "&amp;$H$14,"")&amp;IF(AND(Z106=0,Z105&gt;0),"; "&amp;$H$15,"")&amp;IF(AND(AD106=0,AD105&gt;0),"; "&amp;$H$16,"")&amp;IF(AND(AH106=0,AH105&gt;0),"; "&amp;$H$17,"")&amp;IF(AND(AL106=0,AL105&gt;0),"; "&amp;$H$18,"")&amp;IF(AND(AP106=0,AP105&gt;0),"; "&amp;$H$19,""),3,200)</f>
        <v/>
      </c>
    </row>
    <row r="107">
      <c r="A107" s="154" t="n">
        <v>17</v>
      </c>
      <c r="B107" s="156">
        <f>EDATE($B$5,A107-1)</f>
        <v/>
      </c>
      <c r="C107" s="155">
        <f>ROUND(F106*$J$10,2)</f>
        <v/>
      </c>
      <c r="D107" s="155">
        <f>MIN($K$10,F106+C107)</f>
        <v/>
      </c>
      <c r="E107" s="155">
        <f>MIN(F106+C107-D107,MAX(0,$AQ107-(0)))</f>
        <v/>
      </c>
      <c r="F107" s="155">
        <f>ROUND(F106+C107-D107-E107,2)</f>
        <v/>
      </c>
      <c r="G107" s="155">
        <f>ROUND(J106*$J$11,2)</f>
        <v/>
      </c>
      <c r="H107" s="155">
        <f>MIN($K$11,J106+G107)</f>
        <v/>
      </c>
      <c r="I107" s="155">
        <f>MIN(J106+G107-H107,MAX(0,$AQ107-(E107)))</f>
        <v/>
      </c>
      <c r="J107" s="155">
        <f>ROUND(J106+G107-H107-I107,2)</f>
        <v/>
      </c>
      <c r="K107" s="155">
        <f>ROUND(N106*$J$12,2)</f>
        <v/>
      </c>
      <c r="L107" s="155">
        <f>MIN($K$12,N106+K107)</f>
        <v/>
      </c>
      <c r="M107" s="155">
        <f>MIN(N106+K107-L107,MAX(0,$AQ107-(E107+I107)))</f>
        <v/>
      </c>
      <c r="N107" s="155">
        <f>ROUND(N106+K107-L107-M107,2)</f>
        <v/>
      </c>
      <c r="O107" s="155">
        <f>ROUND(R106*$J$13,2)</f>
        <v/>
      </c>
      <c r="P107" s="155">
        <f>MIN($K$13,R106+O107)</f>
        <v/>
      </c>
      <c r="Q107" s="155">
        <f>MIN(R106+O107-P107,MAX(0,$AQ107-(E107+I107+M107)))</f>
        <v/>
      </c>
      <c r="R107" s="155">
        <f>ROUND(R106+O107-P107-Q107,2)</f>
        <v/>
      </c>
      <c r="S107" s="155">
        <f>ROUND(V106*$J$14,2)</f>
        <v/>
      </c>
      <c r="T107" s="155">
        <f>MIN($K$14,V106+S107)</f>
        <v/>
      </c>
      <c r="U107" s="155">
        <f>MIN(V106+S107-T107,MAX(0,$AQ107-(E107+I107+M107+Q107)))</f>
        <v/>
      </c>
      <c r="V107" s="155">
        <f>ROUND(V106+S107-T107-U107,2)</f>
        <v/>
      </c>
      <c r="W107" s="155">
        <f>ROUND(Z106*$J$15,2)</f>
        <v/>
      </c>
      <c r="X107" s="155">
        <f>MIN($K$15,Z106+W107)</f>
        <v/>
      </c>
      <c r="Y107" s="155">
        <f>MIN(Z106+W107-X107,MAX(0,$AQ107-(E107+I107+M107+Q107+U107)))</f>
        <v/>
      </c>
      <c r="Z107" s="155">
        <f>ROUND(Z106+W107-X107-Y107,2)</f>
        <v/>
      </c>
      <c r="AA107" s="155">
        <f>ROUND(AD106*$J$16,2)</f>
        <v/>
      </c>
      <c r="AB107" s="155">
        <f>MIN($K$16,AD106+AA107)</f>
        <v/>
      </c>
      <c r="AC107" s="155">
        <f>MIN(AD106+AA107-AB107,MAX(0,$AQ107-(E107+I107+M107+Q107+U107+Y107)))</f>
        <v/>
      </c>
      <c r="AD107" s="155">
        <f>ROUND(AD106+AA107-AB107-AC107,2)</f>
        <v/>
      </c>
      <c r="AE107" s="155">
        <f>ROUND(AH106*$J$17,2)</f>
        <v/>
      </c>
      <c r="AF107" s="155">
        <f>MIN($K$17,AH106+AE107)</f>
        <v/>
      </c>
      <c r="AG107" s="155">
        <f>MIN(AH106+AE107-AF107,MAX(0,$AQ107-(E107+I107+M107+Q107+U107+Y107+AC107)))</f>
        <v/>
      </c>
      <c r="AH107" s="155">
        <f>ROUND(AH106+AE107-AF107-AG107,2)</f>
        <v/>
      </c>
      <c r="AI107" s="155">
        <f>ROUND(AL106*$J$18,2)</f>
        <v/>
      </c>
      <c r="AJ107" s="155">
        <f>MIN($K$18,AL106+AI107)</f>
        <v/>
      </c>
      <c r="AK107" s="155">
        <f>MIN(AL106+AI107-AJ107,MAX(0,$AQ107-(E107+I107+M107+Q107+U107+Y107+AC107+AG107)))</f>
        <v/>
      </c>
      <c r="AL107" s="155">
        <f>ROUND(AL106+AI107-AJ107-AK107,2)</f>
        <v/>
      </c>
      <c r="AM107" s="155">
        <f>ROUND(AP106*$J$19,2)</f>
        <v/>
      </c>
      <c r="AN107" s="155">
        <f>MIN($K$19,AP106+AM107)</f>
        <v/>
      </c>
      <c r="AO107" s="155">
        <f>MIN(AP106+AM107-AN107,MAX(0,$AQ107-(E107+I107+M107+Q107+U107+Y107+AC107+AG107+AK107)))</f>
        <v/>
      </c>
      <c r="AP107" s="155">
        <f>ROUND(AP106+AM107-AN107-AO107,2)</f>
        <v/>
      </c>
      <c r="AQ107" s="155">
        <f>MAX(0,$B$6-(D107+H107+L107+P107+T107+X107+AB107+AF107+AJ107+AN107))</f>
        <v/>
      </c>
      <c r="AR107" s="155">
        <f>D107+H107+L107+P107+T107+X107+AB107+AF107+AJ107+AN107+E107+I107+M107+Q107+U107+Y107+AC107+AG107+AK107+AO107</f>
        <v/>
      </c>
      <c r="AS107" s="155">
        <f>C107+G107+K107+O107+S107+W107+AA107+AE107+AI107+AM107</f>
        <v/>
      </c>
      <c r="AT107" s="155">
        <f>F107+J107+N107+R107+V107+Z107+AD107+AH107+AL107+AP107</f>
        <v/>
      </c>
      <c r="AU107" s="157">
        <f>MID(IF(AND(F107=0,F106&gt;0),"; "&amp;$H$10,"")&amp;IF(AND(J107=0,J106&gt;0),"; "&amp;$H$11,"")&amp;IF(AND(N107=0,N106&gt;0),"; "&amp;$H$12,"")&amp;IF(AND(R107=0,R106&gt;0),"; "&amp;$H$13,"")&amp;IF(AND(V107=0,V106&gt;0),"; "&amp;$H$14,"")&amp;IF(AND(Z107=0,Z106&gt;0),"; "&amp;$H$15,"")&amp;IF(AND(AD107=0,AD106&gt;0),"; "&amp;$H$16,"")&amp;IF(AND(AH107=0,AH106&gt;0),"; "&amp;$H$17,"")&amp;IF(AND(AL107=0,AL106&gt;0),"; "&amp;$H$18,"")&amp;IF(AND(AP107=0,AP106&gt;0),"; "&amp;$H$19,""),3,200)</f>
        <v/>
      </c>
    </row>
    <row r="108">
      <c r="A108" s="154" t="n">
        <v>18</v>
      </c>
      <c r="B108" s="156">
        <f>EDATE($B$5,A108-1)</f>
        <v/>
      </c>
      <c r="C108" s="155">
        <f>ROUND(F107*$J$10,2)</f>
        <v/>
      </c>
      <c r="D108" s="155">
        <f>MIN($K$10,F107+C108)</f>
        <v/>
      </c>
      <c r="E108" s="155">
        <f>MIN(F107+C108-D108,MAX(0,$AQ108-(0)))</f>
        <v/>
      </c>
      <c r="F108" s="155">
        <f>ROUND(F107+C108-D108-E108,2)</f>
        <v/>
      </c>
      <c r="G108" s="155">
        <f>ROUND(J107*$J$11,2)</f>
        <v/>
      </c>
      <c r="H108" s="155">
        <f>MIN($K$11,J107+G108)</f>
        <v/>
      </c>
      <c r="I108" s="155">
        <f>MIN(J107+G108-H108,MAX(0,$AQ108-(E108)))</f>
        <v/>
      </c>
      <c r="J108" s="155">
        <f>ROUND(J107+G108-H108-I108,2)</f>
        <v/>
      </c>
      <c r="K108" s="155">
        <f>ROUND(N107*$J$12,2)</f>
        <v/>
      </c>
      <c r="L108" s="155">
        <f>MIN($K$12,N107+K108)</f>
        <v/>
      </c>
      <c r="M108" s="155">
        <f>MIN(N107+K108-L108,MAX(0,$AQ108-(E108+I108)))</f>
        <v/>
      </c>
      <c r="N108" s="155">
        <f>ROUND(N107+K108-L108-M108,2)</f>
        <v/>
      </c>
      <c r="O108" s="155">
        <f>ROUND(R107*$J$13,2)</f>
        <v/>
      </c>
      <c r="P108" s="155">
        <f>MIN($K$13,R107+O108)</f>
        <v/>
      </c>
      <c r="Q108" s="155">
        <f>MIN(R107+O108-P108,MAX(0,$AQ108-(E108+I108+M108)))</f>
        <v/>
      </c>
      <c r="R108" s="155">
        <f>ROUND(R107+O108-P108-Q108,2)</f>
        <v/>
      </c>
      <c r="S108" s="155">
        <f>ROUND(V107*$J$14,2)</f>
        <v/>
      </c>
      <c r="T108" s="155">
        <f>MIN($K$14,V107+S108)</f>
        <v/>
      </c>
      <c r="U108" s="155">
        <f>MIN(V107+S108-T108,MAX(0,$AQ108-(E108+I108+M108+Q108)))</f>
        <v/>
      </c>
      <c r="V108" s="155">
        <f>ROUND(V107+S108-T108-U108,2)</f>
        <v/>
      </c>
      <c r="W108" s="155">
        <f>ROUND(Z107*$J$15,2)</f>
        <v/>
      </c>
      <c r="X108" s="155">
        <f>MIN($K$15,Z107+W108)</f>
        <v/>
      </c>
      <c r="Y108" s="155">
        <f>MIN(Z107+W108-X108,MAX(0,$AQ108-(E108+I108+M108+Q108+U108)))</f>
        <v/>
      </c>
      <c r="Z108" s="155">
        <f>ROUND(Z107+W108-X108-Y108,2)</f>
        <v/>
      </c>
      <c r="AA108" s="155">
        <f>ROUND(AD107*$J$16,2)</f>
        <v/>
      </c>
      <c r="AB108" s="155">
        <f>MIN($K$16,AD107+AA108)</f>
        <v/>
      </c>
      <c r="AC108" s="155">
        <f>MIN(AD107+AA108-AB108,MAX(0,$AQ108-(E108+I108+M108+Q108+U108+Y108)))</f>
        <v/>
      </c>
      <c r="AD108" s="155">
        <f>ROUND(AD107+AA108-AB108-AC108,2)</f>
        <v/>
      </c>
      <c r="AE108" s="155">
        <f>ROUND(AH107*$J$17,2)</f>
        <v/>
      </c>
      <c r="AF108" s="155">
        <f>MIN($K$17,AH107+AE108)</f>
        <v/>
      </c>
      <c r="AG108" s="155">
        <f>MIN(AH107+AE108-AF108,MAX(0,$AQ108-(E108+I108+M108+Q108+U108+Y108+AC108)))</f>
        <v/>
      </c>
      <c r="AH108" s="155">
        <f>ROUND(AH107+AE108-AF108-AG108,2)</f>
        <v/>
      </c>
      <c r="AI108" s="155">
        <f>ROUND(AL107*$J$18,2)</f>
        <v/>
      </c>
      <c r="AJ108" s="155">
        <f>MIN($K$18,AL107+AI108)</f>
        <v/>
      </c>
      <c r="AK108" s="155">
        <f>MIN(AL107+AI108-AJ108,MAX(0,$AQ108-(E108+I108+M108+Q108+U108+Y108+AC108+AG108)))</f>
        <v/>
      </c>
      <c r="AL108" s="155">
        <f>ROUND(AL107+AI108-AJ108-AK108,2)</f>
        <v/>
      </c>
      <c r="AM108" s="155">
        <f>ROUND(AP107*$J$19,2)</f>
        <v/>
      </c>
      <c r="AN108" s="155">
        <f>MIN($K$19,AP107+AM108)</f>
        <v/>
      </c>
      <c r="AO108" s="155">
        <f>MIN(AP107+AM108-AN108,MAX(0,$AQ108-(E108+I108+M108+Q108+U108+Y108+AC108+AG108+AK108)))</f>
        <v/>
      </c>
      <c r="AP108" s="155">
        <f>ROUND(AP107+AM108-AN108-AO108,2)</f>
        <v/>
      </c>
      <c r="AQ108" s="155">
        <f>MAX(0,$B$6-(D108+H108+L108+P108+T108+X108+AB108+AF108+AJ108+AN108))</f>
        <v/>
      </c>
      <c r="AR108" s="155">
        <f>D108+H108+L108+P108+T108+X108+AB108+AF108+AJ108+AN108+E108+I108+M108+Q108+U108+Y108+AC108+AG108+AK108+AO108</f>
        <v/>
      </c>
      <c r="AS108" s="155">
        <f>C108+G108+K108+O108+S108+W108+AA108+AE108+AI108+AM108</f>
        <v/>
      </c>
      <c r="AT108" s="155">
        <f>F108+J108+N108+R108+V108+Z108+AD108+AH108+AL108+AP108</f>
        <v/>
      </c>
      <c r="AU108" s="157">
        <f>MID(IF(AND(F108=0,F107&gt;0),"; "&amp;$H$10,"")&amp;IF(AND(J108=0,J107&gt;0),"; "&amp;$H$11,"")&amp;IF(AND(N108=0,N107&gt;0),"; "&amp;$H$12,"")&amp;IF(AND(R108=0,R107&gt;0),"; "&amp;$H$13,"")&amp;IF(AND(V108=0,V107&gt;0),"; "&amp;$H$14,"")&amp;IF(AND(Z108=0,Z107&gt;0),"; "&amp;$H$15,"")&amp;IF(AND(AD108=0,AD107&gt;0),"; "&amp;$H$16,"")&amp;IF(AND(AH108=0,AH107&gt;0),"; "&amp;$H$17,"")&amp;IF(AND(AL108=0,AL107&gt;0),"; "&amp;$H$18,"")&amp;IF(AND(AP108=0,AP107&gt;0),"; "&amp;$H$19,""),3,200)</f>
        <v/>
      </c>
    </row>
    <row r="109">
      <c r="A109" s="154" t="n">
        <v>19</v>
      </c>
      <c r="B109" s="156">
        <f>EDATE($B$5,A109-1)</f>
        <v/>
      </c>
      <c r="C109" s="155">
        <f>ROUND(F108*$J$10,2)</f>
        <v/>
      </c>
      <c r="D109" s="155">
        <f>MIN($K$10,F108+C109)</f>
        <v/>
      </c>
      <c r="E109" s="155">
        <f>MIN(F108+C109-D109,MAX(0,$AQ109-(0)))</f>
        <v/>
      </c>
      <c r="F109" s="155">
        <f>ROUND(F108+C109-D109-E109,2)</f>
        <v/>
      </c>
      <c r="G109" s="155">
        <f>ROUND(J108*$J$11,2)</f>
        <v/>
      </c>
      <c r="H109" s="155">
        <f>MIN($K$11,J108+G109)</f>
        <v/>
      </c>
      <c r="I109" s="155">
        <f>MIN(J108+G109-H109,MAX(0,$AQ109-(E109)))</f>
        <v/>
      </c>
      <c r="J109" s="155">
        <f>ROUND(J108+G109-H109-I109,2)</f>
        <v/>
      </c>
      <c r="K109" s="155">
        <f>ROUND(N108*$J$12,2)</f>
        <v/>
      </c>
      <c r="L109" s="155">
        <f>MIN($K$12,N108+K109)</f>
        <v/>
      </c>
      <c r="M109" s="155">
        <f>MIN(N108+K109-L109,MAX(0,$AQ109-(E109+I109)))</f>
        <v/>
      </c>
      <c r="N109" s="155">
        <f>ROUND(N108+K109-L109-M109,2)</f>
        <v/>
      </c>
      <c r="O109" s="155">
        <f>ROUND(R108*$J$13,2)</f>
        <v/>
      </c>
      <c r="P109" s="155">
        <f>MIN($K$13,R108+O109)</f>
        <v/>
      </c>
      <c r="Q109" s="155">
        <f>MIN(R108+O109-P109,MAX(0,$AQ109-(E109+I109+M109)))</f>
        <v/>
      </c>
      <c r="R109" s="155">
        <f>ROUND(R108+O109-P109-Q109,2)</f>
        <v/>
      </c>
      <c r="S109" s="155">
        <f>ROUND(V108*$J$14,2)</f>
        <v/>
      </c>
      <c r="T109" s="155">
        <f>MIN($K$14,V108+S109)</f>
        <v/>
      </c>
      <c r="U109" s="155">
        <f>MIN(V108+S109-T109,MAX(0,$AQ109-(E109+I109+M109+Q109)))</f>
        <v/>
      </c>
      <c r="V109" s="155">
        <f>ROUND(V108+S109-T109-U109,2)</f>
        <v/>
      </c>
      <c r="W109" s="155">
        <f>ROUND(Z108*$J$15,2)</f>
        <v/>
      </c>
      <c r="X109" s="155">
        <f>MIN($K$15,Z108+W109)</f>
        <v/>
      </c>
      <c r="Y109" s="155">
        <f>MIN(Z108+W109-X109,MAX(0,$AQ109-(E109+I109+M109+Q109+U109)))</f>
        <v/>
      </c>
      <c r="Z109" s="155">
        <f>ROUND(Z108+W109-X109-Y109,2)</f>
        <v/>
      </c>
      <c r="AA109" s="155">
        <f>ROUND(AD108*$J$16,2)</f>
        <v/>
      </c>
      <c r="AB109" s="155">
        <f>MIN($K$16,AD108+AA109)</f>
        <v/>
      </c>
      <c r="AC109" s="155">
        <f>MIN(AD108+AA109-AB109,MAX(0,$AQ109-(E109+I109+M109+Q109+U109+Y109)))</f>
        <v/>
      </c>
      <c r="AD109" s="155">
        <f>ROUND(AD108+AA109-AB109-AC109,2)</f>
        <v/>
      </c>
      <c r="AE109" s="155">
        <f>ROUND(AH108*$J$17,2)</f>
        <v/>
      </c>
      <c r="AF109" s="155">
        <f>MIN($K$17,AH108+AE109)</f>
        <v/>
      </c>
      <c r="AG109" s="155">
        <f>MIN(AH108+AE109-AF109,MAX(0,$AQ109-(E109+I109+M109+Q109+U109+Y109+AC109)))</f>
        <v/>
      </c>
      <c r="AH109" s="155">
        <f>ROUND(AH108+AE109-AF109-AG109,2)</f>
        <v/>
      </c>
      <c r="AI109" s="155">
        <f>ROUND(AL108*$J$18,2)</f>
        <v/>
      </c>
      <c r="AJ109" s="155">
        <f>MIN($K$18,AL108+AI109)</f>
        <v/>
      </c>
      <c r="AK109" s="155">
        <f>MIN(AL108+AI109-AJ109,MAX(0,$AQ109-(E109+I109+M109+Q109+U109+Y109+AC109+AG109)))</f>
        <v/>
      </c>
      <c r="AL109" s="155">
        <f>ROUND(AL108+AI109-AJ109-AK109,2)</f>
        <v/>
      </c>
      <c r="AM109" s="155">
        <f>ROUND(AP108*$J$19,2)</f>
        <v/>
      </c>
      <c r="AN109" s="155">
        <f>MIN($K$19,AP108+AM109)</f>
        <v/>
      </c>
      <c r="AO109" s="155">
        <f>MIN(AP108+AM109-AN109,MAX(0,$AQ109-(E109+I109+M109+Q109+U109+Y109+AC109+AG109+AK109)))</f>
        <v/>
      </c>
      <c r="AP109" s="155">
        <f>ROUND(AP108+AM109-AN109-AO109,2)</f>
        <v/>
      </c>
      <c r="AQ109" s="155">
        <f>MAX(0,$B$6-(D109+H109+L109+P109+T109+X109+AB109+AF109+AJ109+AN109))</f>
        <v/>
      </c>
      <c r="AR109" s="155">
        <f>D109+H109+L109+P109+T109+X109+AB109+AF109+AJ109+AN109+E109+I109+M109+Q109+U109+Y109+AC109+AG109+AK109+AO109</f>
        <v/>
      </c>
      <c r="AS109" s="155">
        <f>C109+G109+K109+O109+S109+W109+AA109+AE109+AI109+AM109</f>
        <v/>
      </c>
      <c r="AT109" s="155">
        <f>F109+J109+N109+R109+V109+Z109+AD109+AH109+AL109+AP109</f>
        <v/>
      </c>
      <c r="AU109" s="157">
        <f>MID(IF(AND(F109=0,F108&gt;0),"; "&amp;$H$10,"")&amp;IF(AND(J109=0,J108&gt;0),"; "&amp;$H$11,"")&amp;IF(AND(N109=0,N108&gt;0),"; "&amp;$H$12,"")&amp;IF(AND(R109=0,R108&gt;0),"; "&amp;$H$13,"")&amp;IF(AND(V109=0,V108&gt;0),"; "&amp;$H$14,"")&amp;IF(AND(Z109=0,Z108&gt;0),"; "&amp;$H$15,"")&amp;IF(AND(AD109=0,AD108&gt;0),"; "&amp;$H$16,"")&amp;IF(AND(AH109=0,AH108&gt;0),"; "&amp;$H$17,"")&amp;IF(AND(AL109=0,AL108&gt;0),"; "&amp;$H$18,"")&amp;IF(AND(AP109=0,AP108&gt;0),"; "&amp;$H$19,""),3,200)</f>
        <v/>
      </c>
    </row>
    <row r="110">
      <c r="A110" s="154" t="n">
        <v>20</v>
      </c>
      <c r="B110" s="156">
        <f>EDATE($B$5,A110-1)</f>
        <v/>
      </c>
      <c r="C110" s="155">
        <f>ROUND(F109*$J$10,2)</f>
        <v/>
      </c>
      <c r="D110" s="155">
        <f>MIN($K$10,F109+C110)</f>
        <v/>
      </c>
      <c r="E110" s="155">
        <f>MIN(F109+C110-D110,MAX(0,$AQ110-(0)))</f>
        <v/>
      </c>
      <c r="F110" s="155">
        <f>ROUND(F109+C110-D110-E110,2)</f>
        <v/>
      </c>
      <c r="G110" s="155">
        <f>ROUND(J109*$J$11,2)</f>
        <v/>
      </c>
      <c r="H110" s="155">
        <f>MIN($K$11,J109+G110)</f>
        <v/>
      </c>
      <c r="I110" s="155">
        <f>MIN(J109+G110-H110,MAX(0,$AQ110-(E110)))</f>
        <v/>
      </c>
      <c r="J110" s="155">
        <f>ROUND(J109+G110-H110-I110,2)</f>
        <v/>
      </c>
      <c r="K110" s="155">
        <f>ROUND(N109*$J$12,2)</f>
        <v/>
      </c>
      <c r="L110" s="155">
        <f>MIN($K$12,N109+K110)</f>
        <v/>
      </c>
      <c r="M110" s="155">
        <f>MIN(N109+K110-L110,MAX(0,$AQ110-(E110+I110)))</f>
        <v/>
      </c>
      <c r="N110" s="155">
        <f>ROUND(N109+K110-L110-M110,2)</f>
        <v/>
      </c>
      <c r="O110" s="155">
        <f>ROUND(R109*$J$13,2)</f>
        <v/>
      </c>
      <c r="P110" s="155">
        <f>MIN($K$13,R109+O110)</f>
        <v/>
      </c>
      <c r="Q110" s="155">
        <f>MIN(R109+O110-P110,MAX(0,$AQ110-(E110+I110+M110)))</f>
        <v/>
      </c>
      <c r="R110" s="155">
        <f>ROUND(R109+O110-P110-Q110,2)</f>
        <v/>
      </c>
      <c r="S110" s="155">
        <f>ROUND(V109*$J$14,2)</f>
        <v/>
      </c>
      <c r="T110" s="155">
        <f>MIN($K$14,V109+S110)</f>
        <v/>
      </c>
      <c r="U110" s="155">
        <f>MIN(V109+S110-T110,MAX(0,$AQ110-(E110+I110+M110+Q110)))</f>
        <v/>
      </c>
      <c r="V110" s="155">
        <f>ROUND(V109+S110-T110-U110,2)</f>
        <v/>
      </c>
      <c r="W110" s="155">
        <f>ROUND(Z109*$J$15,2)</f>
        <v/>
      </c>
      <c r="X110" s="155">
        <f>MIN($K$15,Z109+W110)</f>
        <v/>
      </c>
      <c r="Y110" s="155">
        <f>MIN(Z109+W110-X110,MAX(0,$AQ110-(E110+I110+M110+Q110+U110)))</f>
        <v/>
      </c>
      <c r="Z110" s="155">
        <f>ROUND(Z109+W110-X110-Y110,2)</f>
        <v/>
      </c>
      <c r="AA110" s="155">
        <f>ROUND(AD109*$J$16,2)</f>
        <v/>
      </c>
      <c r="AB110" s="155">
        <f>MIN($K$16,AD109+AA110)</f>
        <v/>
      </c>
      <c r="AC110" s="155">
        <f>MIN(AD109+AA110-AB110,MAX(0,$AQ110-(E110+I110+M110+Q110+U110+Y110)))</f>
        <v/>
      </c>
      <c r="AD110" s="155">
        <f>ROUND(AD109+AA110-AB110-AC110,2)</f>
        <v/>
      </c>
      <c r="AE110" s="155">
        <f>ROUND(AH109*$J$17,2)</f>
        <v/>
      </c>
      <c r="AF110" s="155">
        <f>MIN($K$17,AH109+AE110)</f>
        <v/>
      </c>
      <c r="AG110" s="155">
        <f>MIN(AH109+AE110-AF110,MAX(0,$AQ110-(E110+I110+M110+Q110+U110+Y110+AC110)))</f>
        <v/>
      </c>
      <c r="AH110" s="155">
        <f>ROUND(AH109+AE110-AF110-AG110,2)</f>
        <v/>
      </c>
      <c r="AI110" s="155">
        <f>ROUND(AL109*$J$18,2)</f>
        <v/>
      </c>
      <c r="AJ110" s="155">
        <f>MIN($K$18,AL109+AI110)</f>
        <v/>
      </c>
      <c r="AK110" s="155">
        <f>MIN(AL109+AI110-AJ110,MAX(0,$AQ110-(E110+I110+M110+Q110+U110+Y110+AC110+AG110)))</f>
        <v/>
      </c>
      <c r="AL110" s="155">
        <f>ROUND(AL109+AI110-AJ110-AK110,2)</f>
        <v/>
      </c>
      <c r="AM110" s="155">
        <f>ROUND(AP109*$J$19,2)</f>
        <v/>
      </c>
      <c r="AN110" s="155">
        <f>MIN($K$19,AP109+AM110)</f>
        <v/>
      </c>
      <c r="AO110" s="155">
        <f>MIN(AP109+AM110-AN110,MAX(0,$AQ110-(E110+I110+M110+Q110+U110+Y110+AC110+AG110+AK110)))</f>
        <v/>
      </c>
      <c r="AP110" s="155">
        <f>ROUND(AP109+AM110-AN110-AO110,2)</f>
        <v/>
      </c>
      <c r="AQ110" s="155">
        <f>MAX(0,$B$6-(D110+H110+L110+P110+T110+X110+AB110+AF110+AJ110+AN110))</f>
        <v/>
      </c>
      <c r="AR110" s="155">
        <f>D110+H110+L110+P110+T110+X110+AB110+AF110+AJ110+AN110+E110+I110+M110+Q110+U110+Y110+AC110+AG110+AK110+AO110</f>
        <v/>
      </c>
      <c r="AS110" s="155">
        <f>C110+G110+K110+O110+S110+W110+AA110+AE110+AI110+AM110</f>
        <v/>
      </c>
      <c r="AT110" s="155">
        <f>F110+J110+N110+R110+V110+Z110+AD110+AH110+AL110+AP110</f>
        <v/>
      </c>
      <c r="AU110" s="157">
        <f>MID(IF(AND(F110=0,F109&gt;0),"; "&amp;$H$10,"")&amp;IF(AND(J110=0,J109&gt;0),"; "&amp;$H$11,"")&amp;IF(AND(N110=0,N109&gt;0),"; "&amp;$H$12,"")&amp;IF(AND(R110=0,R109&gt;0),"; "&amp;$H$13,"")&amp;IF(AND(V110=0,V109&gt;0),"; "&amp;$H$14,"")&amp;IF(AND(Z110=0,Z109&gt;0),"; "&amp;$H$15,"")&amp;IF(AND(AD110=0,AD109&gt;0),"; "&amp;$H$16,"")&amp;IF(AND(AH110=0,AH109&gt;0),"; "&amp;$H$17,"")&amp;IF(AND(AL110=0,AL109&gt;0),"; "&amp;$H$18,"")&amp;IF(AND(AP110=0,AP109&gt;0),"; "&amp;$H$19,""),3,200)</f>
        <v/>
      </c>
    </row>
    <row r="111">
      <c r="A111" s="154" t="n">
        <v>21</v>
      </c>
      <c r="B111" s="156">
        <f>EDATE($B$5,A111-1)</f>
        <v/>
      </c>
      <c r="C111" s="155">
        <f>ROUND(F110*$J$10,2)</f>
        <v/>
      </c>
      <c r="D111" s="155">
        <f>MIN($K$10,F110+C111)</f>
        <v/>
      </c>
      <c r="E111" s="155">
        <f>MIN(F110+C111-D111,MAX(0,$AQ111-(0)))</f>
        <v/>
      </c>
      <c r="F111" s="155">
        <f>ROUND(F110+C111-D111-E111,2)</f>
        <v/>
      </c>
      <c r="G111" s="155">
        <f>ROUND(J110*$J$11,2)</f>
        <v/>
      </c>
      <c r="H111" s="155">
        <f>MIN($K$11,J110+G111)</f>
        <v/>
      </c>
      <c r="I111" s="155">
        <f>MIN(J110+G111-H111,MAX(0,$AQ111-(E111)))</f>
        <v/>
      </c>
      <c r="J111" s="155">
        <f>ROUND(J110+G111-H111-I111,2)</f>
        <v/>
      </c>
      <c r="K111" s="155">
        <f>ROUND(N110*$J$12,2)</f>
        <v/>
      </c>
      <c r="L111" s="155">
        <f>MIN($K$12,N110+K111)</f>
        <v/>
      </c>
      <c r="M111" s="155">
        <f>MIN(N110+K111-L111,MAX(0,$AQ111-(E111+I111)))</f>
        <v/>
      </c>
      <c r="N111" s="155">
        <f>ROUND(N110+K111-L111-M111,2)</f>
        <v/>
      </c>
      <c r="O111" s="155">
        <f>ROUND(R110*$J$13,2)</f>
        <v/>
      </c>
      <c r="P111" s="155">
        <f>MIN($K$13,R110+O111)</f>
        <v/>
      </c>
      <c r="Q111" s="155">
        <f>MIN(R110+O111-P111,MAX(0,$AQ111-(E111+I111+M111)))</f>
        <v/>
      </c>
      <c r="R111" s="155">
        <f>ROUND(R110+O111-P111-Q111,2)</f>
        <v/>
      </c>
      <c r="S111" s="155">
        <f>ROUND(V110*$J$14,2)</f>
        <v/>
      </c>
      <c r="T111" s="155">
        <f>MIN($K$14,V110+S111)</f>
        <v/>
      </c>
      <c r="U111" s="155">
        <f>MIN(V110+S111-T111,MAX(0,$AQ111-(E111+I111+M111+Q111)))</f>
        <v/>
      </c>
      <c r="V111" s="155">
        <f>ROUND(V110+S111-T111-U111,2)</f>
        <v/>
      </c>
      <c r="W111" s="155">
        <f>ROUND(Z110*$J$15,2)</f>
        <v/>
      </c>
      <c r="X111" s="155">
        <f>MIN($K$15,Z110+W111)</f>
        <v/>
      </c>
      <c r="Y111" s="155">
        <f>MIN(Z110+W111-X111,MAX(0,$AQ111-(E111+I111+M111+Q111+U111)))</f>
        <v/>
      </c>
      <c r="Z111" s="155">
        <f>ROUND(Z110+W111-X111-Y111,2)</f>
        <v/>
      </c>
      <c r="AA111" s="155">
        <f>ROUND(AD110*$J$16,2)</f>
        <v/>
      </c>
      <c r="AB111" s="155">
        <f>MIN($K$16,AD110+AA111)</f>
        <v/>
      </c>
      <c r="AC111" s="155">
        <f>MIN(AD110+AA111-AB111,MAX(0,$AQ111-(E111+I111+M111+Q111+U111+Y111)))</f>
        <v/>
      </c>
      <c r="AD111" s="155">
        <f>ROUND(AD110+AA111-AB111-AC111,2)</f>
        <v/>
      </c>
      <c r="AE111" s="155">
        <f>ROUND(AH110*$J$17,2)</f>
        <v/>
      </c>
      <c r="AF111" s="155">
        <f>MIN($K$17,AH110+AE111)</f>
        <v/>
      </c>
      <c r="AG111" s="155">
        <f>MIN(AH110+AE111-AF111,MAX(0,$AQ111-(E111+I111+M111+Q111+U111+Y111+AC111)))</f>
        <v/>
      </c>
      <c r="AH111" s="155">
        <f>ROUND(AH110+AE111-AF111-AG111,2)</f>
        <v/>
      </c>
      <c r="AI111" s="155">
        <f>ROUND(AL110*$J$18,2)</f>
        <v/>
      </c>
      <c r="AJ111" s="155">
        <f>MIN($K$18,AL110+AI111)</f>
        <v/>
      </c>
      <c r="AK111" s="155">
        <f>MIN(AL110+AI111-AJ111,MAX(0,$AQ111-(E111+I111+M111+Q111+U111+Y111+AC111+AG111)))</f>
        <v/>
      </c>
      <c r="AL111" s="155">
        <f>ROUND(AL110+AI111-AJ111-AK111,2)</f>
        <v/>
      </c>
      <c r="AM111" s="155">
        <f>ROUND(AP110*$J$19,2)</f>
        <v/>
      </c>
      <c r="AN111" s="155">
        <f>MIN($K$19,AP110+AM111)</f>
        <v/>
      </c>
      <c r="AO111" s="155">
        <f>MIN(AP110+AM111-AN111,MAX(0,$AQ111-(E111+I111+M111+Q111+U111+Y111+AC111+AG111+AK111)))</f>
        <v/>
      </c>
      <c r="AP111" s="155">
        <f>ROUND(AP110+AM111-AN111-AO111,2)</f>
        <v/>
      </c>
      <c r="AQ111" s="155">
        <f>MAX(0,$B$6-(D111+H111+L111+P111+T111+X111+AB111+AF111+AJ111+AN111))</f>
        <v/>
      </c>
      <c r="AR111" s="155">
        <f>D111+H111+L111+P111+T111+X111+AB111+AF111+AJ111+AN111+E111+I111+M111+Q111+U111+Y111+AC111+AG111+AK111+AO111</f>
        <v/>
      </c>
      <c r="AS111" s="155">
        <f>C111+G111+K111+O111+S111+W111+AA111+AE111+AI111+AM111</f>
        <v/>
      </c>
      <c r="AT111" s="155">
        <f>F111+J111+N111+R111+V111+Z111+AD111+AH111+AL111+AP111</f>
        <v/>
      </c>
      <c r="AU111" s="157">
        <f>MID(IF(AND(F111=0,F110&gt;0),"; "&amp;$H$10,"")&amp;IF(AND(J111=0,J110&gt;0),"; "&amp;$H$11,"")&amp;IF(AND(N111=0,N110&gt;0),"; "&amp;$H$12,"")&amp;IF(AND(R111=0,R110&gt;0),"; "&amp;$H$13,"")&amp;IF(AND(V111=0,V110&gt;0),"; "&amp;$H$14,"")&amp;IF(AND(Z111=0,Z110&gt;0),"; "&amp;$H$15,"")&amp;IF(AND(AD111=0,AD110&gt;0),"; "&amp;$H$16,"")&amp;IF(AND(AH111=0,AH110&gt;0),"; "&amp;$H$17,"")&amp;IF(AND(AL111=0,AL110&gt;0),"; "&amp;$H$18,"")&amp;IF(AND(AP111=0,AP110&gt;0),"; "&amp;$H$19,""),3,200)</f>
        <v/>
      </c>
    </row>
    <row r="112">
      <c r="A112" s="154" t="n">
        <v>22</v>
      </c>
      <c r="B112" s="156">
        <f>EDATE($B$5,A112-1)</f>
        <v/>
      </c>
      <c r="C112" s="155">
        <f>ROUND(F111*$J$10,2)</f>
        <v/>
      </c>
      <c r="D112" s="155">
        <f>MIN($K$10,F111+C112)</f>
        <v/>
      </c>
      <c r="E112" s="155">
        <f>MIN(F111+C112-D112,MAX(0,$AQ112-(0)))</f>
        <v/>
      </c>
      <c r="F112" s="155">
        <f>ROUND(F111+C112-D112-E112,2)</f>
        <v/>
      </c>
      <c r="G112" s="155">
        <f>ROUND(J111*$J$11,2)</f>
        <v/>
      </c>
      <c r="H112" s="155">
        <f>MIN($K$11,J111+G112)</f>
        <v/>
      </c>
      <c r="I112" s="155">
        <f>MIN(J111+G112-H112,MAX(0,$AQ112-(E112)))</f>
        <v/>
      </c>
      <c r="J112" s="155">
        <f>ROUND(J111+G112-H112-I112,2)</f>
        <v/>
      </c>
      <c r="K112" s="155">
        <f>ROUND(N111*$J$12,2)</f>
        <v/>
      </c>
      <c r="L112" s="155">
        <f>MIN($K$12,N111+K112)</f>
        <v/>
      </c>
      <c r="M112" s="155">
        <f>MIN(N111+K112-L112,MAX(0,$AQ112-(E112+I112)))</f>
        <v/>
      </c>
      <c r="N112" s="155">
        <f>ROUND(N111+K112-L112-M112,2)</f>
        <v/>
      </c>
      <c r="O112" s="155">
        <f>ROUND(R111*$J$13,2)</f>
        <v/>
      </c>
      <c r="P112" s="155">
        <f>MIN($K$13,R111+O112)</f>
        <v/>
      </c>
      <c r="Q112" s="155">
        <f>MIN(R111+O112-P112,MAX(0,$AQ112-(E112+I112+M112)))</f>
        <v/>
      </c>
      <c r="R112" s="155">
        <f>ROUND(R111+O112-P112-Q112,2)</f>
        <v/>
      </c>
      <c r="S112" s="155">
        <f>ROUND(V111*$J$14,2)</f>
        <v/>
      </c>
      <c r="T112" s="155">
        <f>MIN($K$14,V111+S112)</f>
        <v/>
      </c>
      <c r="U112" s="155">
        <f>MIN(V111+S112-T112,MAX(0,$AQ112-(E112+I112+M112+Q112)))</f>
        <v/>
      </c>
      <c r="V112" s="155">
        <f>ROUND(V111+S112-T112-U112,2)</f>
        <v/>
      </c>
      <c r="W112" s="155">
        <f>ROUND(Z111*$J$15,2)</f>
        <v/>
      </c>
      <c r="X112" s="155">
        <f>MIN($K$15,Z111+W112)</f>
        <v/>
      </c>
      <c r="Y112" s="155">
        <f>MIN(Z111+W112-X112,MAX(0,$AQ112-(E112+I112+M112+Q112+U112)))</f>
        <v/>
      </c>
      <c r="Z112" s="155">
        <f>ROUND(Z111+W112-X112-Y112,2)</f>
        <v/>
      </c>
      <c r="AA112" s="155">
        <f>ROUND(AD111*$J$16,2)</f>
        <v/>
      </c>
      <c r="AB112" s="155">
        <f>MIN($K$16,AD111+AA112)</f>
        <v/>
      </c>
      <c r="AC112" s="155">
        <f>MIN(AD111+AA112-AB112,MAX(0,$AQ112-(E112+I112+M112+Q112+U112+Y112)))</f>
        <v/>
      </c>
      <c r="AD112" s="155">
        <f>ROUND(AD111+AA112-AB112-AC112,2)</f>
        <v/>
      </c>
      <c r="AE112" s="155">
        <f>ROUND(AH111*$J$17,2)</f>
        <v/>
      </c>
      <c r="AF112" s="155">
        <f>MIN($K$17,AH111+AE112)</f>
        <v/>
      </c>
      <c r="AG112" s="155">
        <f>MIN(AH111+AE112-AF112,MAX(0,$AQ112-(E112+I112+M112+Q112+U112+Y112+AC112)))</f>
        <v/>
      </c>
      <c r="AH112" s="155">
        <f>ROUND(AH111+AE112-AF112-AG112,2)</f>
        <v/>
      </c>
      <c r="AI112" s="155">
        <f>ROUND(AL111*$J$18,2)</f>
        <v/>
      </c>
      <c r="AJ112" s="155">
        <f>MIN($K$18,AL111+AI112)</f>
        <v/>
      </c>
      <c r="AK112" s="155">
        <f>MIN(AL111+AI112-AJ112,MAX(0,$AQ112-(E112+I112+M112+Q112+U112+Y112+AC112+AG112)))</f>
        <v/>
      </c>
      <c r="AL112" s="155">
        <f>ROUND(AL111+AI112-AJ112-AK112,2)</f>
        <v/>
      </c>
      <c r="AM112" s="155">
        <f>ROUND(AP111*$J$19,2)</f>
        <v/>
      </c>
      <c r="AN112" s="155">
        <f>MIN($K$19,AP111+AM112)</f>
        <v/>
      </c>
      <c r="AO112" s="155">
        <f>MIN(AP111+AM112-AN112,MAX(0,$AQ112-(E112+I112+M112+Q112+U112+Y112+AC112+AG112+AK112)))</f>
        <v/>
      </c>
      <c r="AP112" s="155">
        <f>ROUND(AP111+AM112-AN112-AO112,2)</f>
        <v/>
      </c>
      <c r="AQ112" s="155">
        <f>MAX(0,$B$6-(D112+H112+L112+P112+T112+X112+AB112+AF112+AJ112+AN112))</f>
        <v/>
      </c>
      <c r="AR112" s="155">
        <f>D112+H112+L112+P112+T112+X112+AB112+AF112+AJ112+AN112+E112+I112+M112+Q112+U112+Y112+AC112+AG112+AK112+AO112</f>
        <v/>
      </c>
      <c r="AS112" s="155">
        <f>C112+G112+K112+O112+S112+W112+AA112+AE112+AI112+AM112</f>
        <v/>
      </c>
      <c r="AT112" s="155">
        <f>F112+J112+N112+R112+V112+Z112+AD112+AH112+AL112+AP112</f>
        <v/>
      </c>
      <c r="AU112" s="157">
        <f>MID(IF(AND(F112=0,F111&gt;0),"; "&amp;$H$10,"")&amp;IF(AND(J112=0,J111&gt;0),"; "&amp;$H$11,"")&amp;IF(AND(N112=0,N111&gt;0),"; "&amp;$H$12,"")&amp;IF(AND(R112=0,R111&gt;0),"; "&amp;$H$13,"")&amp;IF(AND(V112=0,V111&gt;0),"; "&amp;$H$14,"")&amp;IF(AND(Z112=0,Z111&gt;0),"; "&amp;$H$15,"")&amp;IF(AND(AD112=0,AD111&gt;0),"; "&amp;$H$16,"")&amp;IF(AND(AH112=0,AH111&gt;0),"; "&amp;$H$17,"")&amp;IF(AND(AL112=0,AL111&gt;0),"; "&amp;$H$18,"")&amp;IF(AND(AP112=0,AP111&gt;0),"; "&amp;$H$19,""),3,200)</f>
        <v/>
      </c>
    </row>
    <row r="113">
      <c r="A113" s="154" t="n">
        <v>23</v>
      </c>
      <c r="B113" s="156">
        <f>EDATE($B$5,A113-1)</f>
        <v/>
      </c>
      <c r="C113" s="155">
        <f>ROUND(F112*$J$10,2)</f>
        <v/>
      </c>
      <c r="D113" s="155">
        <f>MIN($K$10,F112+C113)</f>
        <v/>
      </c>
      <c r="E113" s="155">
        <f>MIN(F112+C113-D113,MAX(0,$AQ113-(0)))</f>
        <v/>
      </c>
      <c r="F113" s="155">
        <f>ROUND(F112+C113-D113-E113,2)</f>
        <v/>
      </c>
      <c r="G113" s="155">
        <f>ROUND(J112*$J$11,2)</f>
        <v/>
      </c>
      <c r="H113" s="155">
        <f>MIN($K$11,J112+G113)</f>
        <v/>
      </c>
      <c r="I113" s="155">
        <f>MIN(J112+G113-H113,MAX(0,$AQ113-(E113)))</f>
        <v/>
      </c>
      <c r="J113" s="155">
        <f>ROUND(J112+G113-H113-I113,2)</f>
        <v/>
      </c>
      <c r="K113" s="155">
        <f>ROUND(N112*$J$12,2)</f>
        <v/>
      </c>
      <c r="L113" s="155">
        <f>MIN($K$12,N112+K113)</f>
        <v/>
      </c>
      <c r="M113" s="155">
        <f>MIN(N112+K113-L113,MAX(0,$AQ113-(E113+I113)))</f>
        <v/>
      </c>
      <c r="N113" s="155">
        <f>ROUND(N112+K113-L113-M113,2)</f>
        <v/>
      </c>
      <c r="O113" s="155">
        <f>ROUND(R112*$J$13,2)</f>
        <v/>
      </c>
      <c r="P113" s="155">
        <f>MIN($K$13,R112+O113)</f>
        <v/>
      </c>
      <c r="Q113" s="155">
        <f>MIN(R112+O113-P113,MAX(0,$AQ113-(E113+I113+M113)))</f>
        <v/>
      </c>
      <c r="R113" s="155">
        <f>ROUND(R112+O113-P113-Q113,2)</f>
        <v/>
      </c>
      <c r="S113" s="155">
        <f>ROUND(V112*$J$14,2)</f>
        <v/>
      </c>
      <c r="T113" s="155">
        <f>MIN($K$14,V112+S113)</f>
        <v/>
      </c>
      <c r="U113" s="155">
        <f>MIN(V112+S113-T113,MAX(0,$AQ113-(E113+I113+M113+Q113)))</f>
        <v/>
      </c>
      <c r="V113" s="155">
        <f>ROUND(V112+S113-T113-U113,2)</f>
        <v/>
      </c>
      <c r="W113" s="155">
        <f>ROUND(Z112*$J$15,2)</f>
        <v/>
      </c>
      <c r="X113" s="155">
        <f>MIN($K$15,Z112+W113)</f>
        <v/>
      </c>
      <c r="Y113" s="155">
        <f>MIN(Z112+W113-X113,MAX(0,$AQ113-(E113+I113+M113+Q113+U113)))</f>
        <v/>
      </c>
      <c r="Z113" s="155">
        <f>ROUND(Z112+W113-X113-Y113,2)</f>
        <v/>
      </c>
      <c r="AA113" s="155">
        <f>ROUND(AD112*$J$16,2)</f>
        <v/>
      </c>
      <c r="AB113" s="155">
        <f>MIN($K$16,AD112+AA113)</f>
        <v/>
      </c>
      <c r="AC113" s="155">
        <f>MIN(AD112+AA113-AB113,MAX(0,$AQ113-(E113+I113+M113+Q113+U113+Y113)))</f>
        <v/>
      </c>
      <c r="AD113" s="155">
        <f>ROUND(AD112+AA113-AB113-AC113,2)</f>
        <v/>
      </c>
      <c r="AE113" s="155">
        <f>ROUND(AH112*$J$17,2)</f>
        <v/>
      </c>
      <c r="AF113" s="155">
        <f>MIN($K$17,AH112+AE113)</f>
        <v/>
      </c>
      <c r="AG113" s="155">
        <f>MIN(AH112+AE113-AF113,MAX(0,$AQ113-(E113+I113+M113+Q113+U113+Y113+AC113)))</f>
        <v/>
      </c>
      <c r="AH113" s="155">
        <f>ROUND(AH112+AE113-AF113-AG113,2)</f>
        <v/>
      </c>
      <c r="AI113" s="155">
        <f>ROUND(AL112*$J$18,2)</f>
        <v/>
      </c>
      <c r="AJ113" s="155">
        <f>MIN($K$18,AL112+AI113)</f>
        <v/>
      </c>
      <c r="AK113" s="155">
        <f>MIN(AL112+AI113-AJ113,MAX(0,$AQ113-(E113+I113+M113+Q113+U113+Y113+AC113+AG113)))</f>
        <v/>
      </c>
      <c r="AL113" s="155">
        <f>ROUND(AL112+AI113-AJ113-AK113,2)</f>
        <v/>
      </c>
      <c r="AM113" s="155">
        <f>ROUND(AP112*$J$19,2)</f>
        <v/>
      </c>
      <c r="AN113" s="155">
        <f>MIN($K$19,AP112+AM113)</f>
        <v/>
      </c>
      <c r="AO113" s="155">
        <f>MIN(AP112+AM113-AN113,MAX(0,$AQ113-(E113+I113+M113+Q113+U113+Y113+AC113+AG113+AK113)))</f>
        <v/>
      </c>
      <c r="AP113" s="155">
        <f>ROUND(AP112+AM113-AN113-AO113,2)</f>
        <v/>
      </c>
      <c r="AQ113" s="155">
        <f>MAX(0,$B$6-(D113+H113+L113+P113+T113+X113+AB113+AF113+AJ113+AN113))</f>
        <v/>
      </c>
      <c r="AR113" s="155">
        <f>D113+H113+L113+P113+T113+X113+AB113+AF113+AJ113+AN113+E113+I113+M113+Q113+U113+Y113+AC113+AG113+AK113+AO113</f>
        <v/>
      </c>
      <c r="AS113" s="155">
        <f>C113+G113+K113+O113+S113+W113+AA113+AE113+AI113+AM113</f>
        <v/>
      </c>
      <c r="AT113" s="155">
        <f>F113+J113+N113+R113+V113+Z113+AD113+AH113+AL113+AP113</f>
        <v/>
      </c>
      <c r="AU113" s="157">
        <f>MID(IF(AND(F113=0,F112&gt;0),"; "&amp;$H$10,"")&amp;IF(AND(J113=0,J112&gt;0),"; "&amp;$H$11,"")&amp;IF(AND(N113=0,N112&gt;0),"; "&amp;$H$12,"")&amp;IF(AND(R113=0,R112&gt;0),"; "&amp;$H$13,"")&amp;IF(AND(V113=0,V112&gt;0),"; "&amp;$H$14,"")&amp;IF(AND(Z113=0,Z112&gt;0),"; "&amp;$H$15,"")&amp;IF(AND(AD113=0,AD112&gt;0),"; "&amp;$H$16,"")&amp;IF(AND(AH113=0,AH112&gt;0),"; "&amp;$H$17,"")&amp;IF(AND(AL113=0,AL112&gt;0),"; "&amp;$H$18,"")&amp;IF(AND(AP113=0,AP112&gt;0),"; "&amp;$H$19,""),3,200)</f>
        <v/>
      </c>
    </row>
    <row r="114">
      <c r="A114" s="154" t="n">
        <v>24</v>
      </c>
      <c r="B114" s="156">
        <f>EDATE($B$5,A114-1)</f>
        <v/>
      </c>
      <c r="C114" s="155">
        <f>ROUND(F113*$J$10,2)</f>
        <v/>
      </c>
      <c r="D114" s="155">
        <f>MIN($K$10,F113+C114)</f>
        <v/>
      </c>
      <c r="E114" s="155">
        <f>MIN(F113+C114-D114,MAX(0,$AQ114-(0)))</f>
        <v/>
      </c>
      <c r="F114" s="155">
        <f>ROUND(F113+C114-D114-E114,2)</f>
        <v/>
      </c>
      <c r="G114" s="155">
        <f>ROUND(J113*$J$11,2)</f>
        <v/>
      </c>
      <c r="H114" s="155">
        <f>MIN($K$11,J113+G114)</f>
        <v/>
      </c>
      <c r="I114" s="155">
        <f>MIN(J113+G114-H114,MAX(0,$AQ114-(E114)))</f>
        <v/>
      </c>
      <c r="J114" s="155">
        <f>ROUND(J113+G114-H114-I114,2)</f>
        <v/>
      </c>
      <c r="K114" s="155">
        <f>ROUND(N113*$J$12,2)</f>
        <v/>
      </c>
      <c r="L114" s="155">
        <f>MIN($K$12,N113+K114)</f>
        <v/>
      </c>
      <c r="M114" s="155">
        <f>MIN(N113+K114-L114,MAX(0,$AQ114-(E114+I114)))</f>
        <v/>
      </c>
      <c r="N114" s="155">
        <f>ROUND(N113+K114-L114-M114,2)</f>
        <v/>
      </c>
      <c r="O114" s="155">
        <f>ROUND(R113*$J$13,2)</f>
        <v/>
      </c>
      <c r="P114" s="155">
        <f>MIN($K$13,R113+O114)</f>
        <v/>
      </c>
      <c r="Q114" s="155">
        <f>MIN(R113+O114-P114,MAX(0,$AQ114-(E114+I114+M114)))</f>
        <v/>
      </c>
      <c r="R114" s="155">
        <f>ROUND(R113+O114-P114-Q114,2)</f>
        <v/>
      </c>
      <c r="S114" s="155">
        <f>ROUND(V113*$J$14,2)</f>
        <v/>
      </c>
      <c r="T114" s="155">
        <f>MIN($K$14,V113+S114)</f>
        <v/>
      </c>
      <c r="U114" s="155">
        <f>MIN(V113+S114-T114,MAX(0,$AQ114-(E114+I114+M114+Q114)))</f>
        <v/>
      </c>
      <c r="V114" s="155">
        <f>ROUND(V113+S114-T114-U114,2)</f>
        <v/>
      </c>
      <c r="W114" s="155">
        <f>ROUND(Z113*$J$15,2)</f>
        <v/>
      </c>
      <c r="X114" s="155">
        <f>MIN($K$15,Z113+W114)</f>
        <v/>
      </c>
      <c r="Y114" s="155">
        <f>MIN(Z113+W114-X114,MAX(0,$AQ114-(E114+I114+M114+Q114+U114)))</f>
        <v/>
      </c>
      <c r="Z114" s="155">
        <f>ROUND(Z113+W114-X114-Y114,2)</f>
        <v/>
      </c>
      <c r="AA114" s="155">
        <f>ROUND(AD113*$J$16,2)</f>
        <v/>
      </c>
      <c r="AB114" s="155">
        <f>MIN($K$16,AD113+AA114)</f>
        <v/>
      </c>
      <c r="AC114" s="155">
        <f>MIN(AD113+AA114-AB114,MAX(0,$AQ114-(E114+I114+M114+Q114+U114+Y114)))</f>
        <v/>
      </c>
      <c r="AD114" s="155">
        <f>ROUND(AD113+AA114-AB114-AC114,2)</f>
        <v/>
      </c>
      <c r="AE114" s="155">
        <f>ROUND(AH113*$J$17,2)</f>
        <v/>
      </c>
      <c r="AF114" s="155">
        <f>MIN($K$17,AH113+AE114)</f>
        <v/>
      </c>
      <c r="AG114" s="155">
        <f>MIN(AH113+AE114-AF114,MAX(0,$AQ114-(E114+I114+M114+Q114+U114+Y114+AC114)))</f>
        <v/>
      </c>
      <c r="AH114" s="155">
        <f>ROUND(AH113+AE114-AF114-AG114,2)</f>
        <v/>
      </c>
      <c r="AI114" s="155">
        <f>ROUND(AL113*$J$18,2)</f>
        <v/>
      </c>
      <c r="AJ114" s="155">
        <f>MIN($K$18,AL113+AI114)</f>
        <v/>
      </c>
      <c r="AK114" s="155">
        <f>MIN(AL113+AI114-AJ114,MAX(0,$AQ114-(E114+I114+M114+Q114+U114+Y114+AC114+AG114)))</f>
        <v/>
      </c>
      <c r="AL114" s="155">
        <f>ROUND(AL113+AI114-AJ114-AK114,2)</f>
        <v/>
      </c>
      <c r="AM114" s="155">
        <f>ROUND(AP113*$J$19,2)</f>
        <v/>
      </c>
      <c r="AN114" s="155">
        <f>MIN($K$19,AP113+AM114)</f>
        <v/>
      </c>
      <c r="AO114" s="155">
        <f>MIN(AP113+AM114-AN114,MAX(0,$AQ114-(E114+I114+M114+Q114+U114+Y114+AC114+AG114+AK114)))</f>
        <v/>
      </c>
      <c r="AP114" s="155">
        <f>ROUND(AP113+AM114-AN114-AO114,2)</f>
        <v/>
      </c>
      <c r="AQ114" s="155">
        <f>MAX(0,$B$6-(D114+H114+L114+P114+T114+X114+AB114+AF114+AJ114+AN114))</f>
        <v/>
      </c>
      <c r="AR114" s="155">
        <f>D114+H114+L114+P114+T114+X114+AB114+AF114+AJ114+AN114+E114+I114+M114+Q114+U114+Y114+AC114+AG114+AK114+AO114</f>
        <v/>
      </c>
      <c r="AS114" s="155">
        <f>C114+G114+K114+O114+S114+W114+AA114+AE114+AI114+AM114</f>
        <v/>
      </c>
      <c r="AT114" s="155">
        <f>F114+J114+N114+R114+V114+Z114+AD114+AH114+AL114+AP114</f>
        <v/>
      </c>
      <c r="AU114" s="157">
        <f>MID(IF(AND(F114=0,F113&gt;0),"; "&amp;$H$10,"")&amp;IF(AND(J114=0,J113&gt;0),"; "&amp;$H$11,"")&amp;IF(AND(N114=0,N113&gt;0),"; "&amp;$H$12,"")&amp;IF(AND(R114=0,R113&gt;0),"; "&amp;$H$13,"")&amp;IF(AND(V114=0,V113&gt;0),"; "&amp;$H$14,"")&amp;IF(AND(Z114=0,Z113&gt;0),"; "&amp;$H$15,"")&amp;IF(AND(AD114=0,AD113&gt;0),"; "&amp;$H$16,"")&amp;IF(AND(AH114=0,AH113&gt;0),"; "&amp;$H$17,"")&amp;IF(AND(AL114=0,AL113&gt;0),"; "&amp;$H$18,"")&amp;IF(AND(AP114=0,AP113&gt;0),"; "&amp;$H$19,""),3,200)</f>
        <v/>
      </c>
    </row>
    <row r="115">
      <c r="A115" s="154" t="n">
        <v>25</v>
      </c>
      <c r="B115" s="156">
        <f>EDATE($B$5,A115-1)</f>
        <v/>
      </c>
      <c r="C115" s="155">
        <f>ROUND(F114*$J$10,2)</f>
        <v/>
      </c>
      <c r="D115" s="155">
        <f>MIN($K$10,F114+C115)</f>
        <v/>
      </c>
      <c r="E115" s="155">
        <f>MIN(F114+C115-D115,MAX(0,$AQ115-(0)))</f>
        <v/>
      </c>
      <c r="F115" s="155">
        <f>ROUND(F114+C115-D115-E115,2)</f>
        <v/>
      </c>
      <c r="G115" s="155">
        <f>ROUND(J114*$J$11,2)</f>
        <v/>
      </c>
      <c r="H115" s="155">
        <f>MIN($K$11,J114+G115)</f>
        <v/>
      </c>
      <c r="I115" s="155">
        <f>MIN(J114+G115-H115,MAX(0,$AQ115-(E115)))</f>
        <v/>
      </c>
      <c r="J115" s="155">
        <f>ROUND(J114+G115-H115-I115,2)</f>
        <v/>
      </c>
      <c r="K115" s="155">
        <f>ROUND(N114*$J$12,2)</f>
        <v/>
      </c>
      <c r="L115" s="155">
        <f>MIN($K$12,N114+K115)</f>
        <v/>
      </c>
      <c r="M115" s="155">
        <f>MIN(N114+K115-L115,MAX(0,$AQ115-(E115+I115)))</f>
        <v/>
      </c>
      <c r="N115" s="155">
        <f>ROUND(N114+K115-L115-M115,2)</f>
        <v/>
      </c>
      <c r="O115" s="155">
        <f>ROUND(R114*$J$13,2)</f>
        <v/>
      </c>
      <c r="P115" s="155">
        <f>MIN($K$13,R114+O115)</f>
        <v/>
      </c>
      <c r="Q115" s="155">
        <f>MIN(R114+O115-P115,MAX(0,$AQ115-(E115+I115+M115)))</f>
        <v/>
      </c>
      <c r="R115" s="155">
        <f>ROUND(R114+O115-P115-Q115,2)</f>
        <v/>
      </c>
      <c r="S115" s="155">
        <f>ROUND(V114*$J$14,2)</f>
        <v/>
      </c>
      <c r="T115" s="155">
        <f>MIN($K$14,V114+S115)</f>
        <v/>
      </c>
      <c r="U115" s="155">
        <f>MIN(V114+S115-T115,MAX(0,$AQ115-(E115+I115+M115+Q115)))</f>
        <v/>
      </c>
      <c r="V115" s="155">
        <f>ROUND(V114+S115-T115-U115,2)</f>
        <v/>
      </c>
      <c r="W115" s="155">
        <f>ROUND(Z114*$J$15,2)</f>
        <v/>
      </c>
      <c r="X115" s="155">
        <f>MIN($K$15,Z114+W115)</f>
        <v/>
      </c>
      <c r="Y115" s="155">
        <f>MIN(Z114+W115-X115,MAX(0,$AQ115-(E115+I115+M115+Q115+U115)))</f>
        <v/>
      </c>
      <c r="Z115" s="155">
        <f>ROUND(Z114+W115-X115-Y115,2)</f>
        <v/>
      </c>
      <c r="AA115" s="155">
        <f>ROUND(AD114*$J$16,2)</f>
        <v/>
      </c>
      <c r="AB115" s="155">
        <f>MIN($K$16,AD114+AA115)</f>
        <v/>
      </c>
      <c r="AC115" s="155">
        <f>MIN(AD114+AA115-AB115,MAX(0,$AQ115-(E115+I115+M115+Q115+U115+Y115)))</f>
        <v/>
      </c>
      <c r="AD115" s="155">
        <f>ROUND(AD114+AA115-AB115-AC115,2)</f>
        <v/>
      </c>
      <c r="AE115" s="155">
        <f>ROUND(AH114*$J$17,2)</f>
        <v/>
      </c>
      <c r="AF115" s="155">
        <f>MIN($K$17,AH114+AE115)</f>
        <v/>
      </c>
      <c r="AG115" s="155">
        <f>MIN(AH114+AE115-AF115,MAX(0,$AQ115-(E115+I115+M115+Q115+U115+Y115+AC115)))</f>
        <v/>
      </c>
      <c r="AH115" s="155">
        <f>ROUND(AH114+AE115-AF115-AG115,2)</f>
        <v/>
      </c>
      <c r="AI115" s="155">
        <f>ROUND(AL114*$J$18,2)</f>
        <v/>
      </c>
      <c r="AJ115" s="155">
        <f>MIN($K$18,AL114+AI115)</f>
        <v/>
      </c>
      <c r="AK115" s="155">
        <f>MIN(AL114+AI115-AJ115,MAX(0,$AQ115-(E115+I115+M115+Q115+U115+Y115+AC115+AG115)))</f>
        <v/>
      </c>
      <c r="AL115" s="155">
        <f>ROUND(AL114+AI115-AJ115-AK115,2)</f>
        <v/>
      </c>
      <c r="AM115" s="155">
        <f>ROUND(AP114*$J$19,2)</f>
        <v/>
      </c>
      <c r="AN115" s="155">
        <f>MIN($K$19,AP114+AM115)</f>
        <v/>
      </c>
      <c r="AO115" s="155">
        <f>MIN(AP114+AM115-AN115,MAX(0,$AQ115-(E115+I115+M115+Q115+U115+Y115+AC115+AG115+AK115)))</f>
        <v/>
      </c>
      <c r="AP115" s="155">
        <f>ROUND(AP114+AM115-AN115-AO115,2)</f>
        <v/>
      </c>
      <c r="AQ115" s="155">
        <f>MAX(0,$B$6-(D115+H115+L115+P115+T115+X115+AB115+AF115+AJ115+AN115))</f>
        <v/>
      </c>
      <c r="AR115" s="155">
        <f>D115+H115+L115+P115+T115+X115+AB115+AF115+AJ115+AN115+E115+I115+M115+Q115+U115+Y115+AC115+AG115+AK115+AO115</f>
        <v/>
      </c>
      <c r="AS115" s="155">
        <f>C115+G115+K115+O115+S115+W115+AA115+AE115+AI115+AM115</f>
        <v/>
      </c>
      <c r="AT115" s="155">
        <f>F115+J115+N115+R115+V115+Z115+AD115+AH115+AL115+AP115</f>
        <v/>
      </c>
      <c r="AU115" s="157">
        <f>MID(IF(AND(F115=0,F114&gt;0),"; "&amp;$H$10,"")&amp;IF(AND(J115=0,J114&gt;0),"; "&amp;$H$11,"")&amp;IF(AND(N115=0,N114&gt;0),"; "&amp;$H$12,"")&amp;IF(AND(R115=0,R114&gt;0),"; "&amp;$H$13,"")&amp;IF(AND(V115=0,V114&gt;0),"; "&amp;$H$14,"")&amp;IF(AND(Z115=0,Z114&gt;0),"; "&amp;$H$15,"")&amp;IF(AND(AD115=0,AD114&gt;0),"; "&amp;$H$16,"")&amp;IF(AND(AH115=0,AH114&gt;0),"; "&amp;$H$17,"")&amp;IF(AND(AL115=0,AL114&gt;0),"; "&amp;$H$18,"")&amp;IF(AND(AP115=0,AP114&gt;0),"; "&amp;$H$19,""),3,200)</f>
        <v/>
      </c>
    </row>
    <row r="116">
      <c r="A116" s="154" t="n">
        <v>26</v>
      </c>
      <c r="B116" s="156">
        <f>EDATE($B$5,A116-1)</f>
        <v/>
      </c>
      <c r="C116" s="155">
        <f>ROUND(F115*$J$10,2)</f>
        <v/>
      </c>
      <c r="D116" s="155">
        <f>MIN($K$10,F115+C116)</f>
        <v/>
      </c>
      <c r="E116" s="155">
        <f>MIN(F115+C116-D116,MAX(0,$AQ116-(0)))</f>
        <v/>
      </c>
      <c r="F116" s="155">
        <f>ROUND(F115+C116-D116-E116,2)</f>
        <v/>
      </c>
      <c r="G116" s="155">
        <f>ROUND(J115*$J$11,2)</f>
        <v/>
      </c>
      <c r="H116" s="155">
        <f>MIN($K$11,J115+G116)</f>
        <v/>
      </c>
      <c r="I116" s="155">
        <f>MIN(J115+G116-H116,MAX(0,$AQ116-(E116)))</f>
        <v/>
      </c>
      <c r="J116" s="155">
        <f>ROUND(J115+G116-H116-I116,2)</f>
        <v/>
      </c>
      <c r="K116" s="155">
        <f>ROUND(N115*$J$12,2)</f>
        <v/>
      </c>
      <c r="L116" s="155">
        <f>MIN($K$12,N115+K116)</f>
        <v/>
      </c>
      <c r="M116" s="155">
        <f>MIN(N115+K116-L116,MAX(0,$AQ116-(E116+I116)))</f>
        <v/>
      </c>
      <c r="N116" s="155">
        <f>ROUND(N115+K116-L116-M116,2)</f>
        <v/>
      </c>
      <c r="O116" s="155">
        <f>ROUND(R115*$J$13,2)</f>
        <v/>
      </c>
      <c r="P116" s="155">
        <f>MIN($K$13,R115+O116)</f>
        <v/>
      </c>
      <c r="Q116" s="155">
        <f>MIN(R115+O116-P116,MAX(0,$AQ116-(E116+I116+M116)))</f>
        <v/>
      </c>
      <c r="R116" s="155">
        <f>ROUND(R115+O116-P116-Q116,2)</f>
        <v/>
      </c>
      <c r="S116" s="155">
        <f>ROUND(V115*$J$14,2)</f>
        <v/>
      </c>
      <c r="T116" s="155">
        <f>MIN($K$14,V115+S116)</f>
        <v/>
      </c>
      <c r="U116" s="155">
        <f>MIN(V115+S116-T116,MAX(0,$AQ116-(E116+I116+M116+Q116)))</f>
        <v/>
      </c>
      <c r="V116" s="155">
        <f>ROUND(V115+S116-T116-U116,2)</f>
        <v/>
      </c>
      <c r="W116" s="155">
        <f>ROUND(Z115*$J$15,2)</f>
        <v/>
      </c>
      <c r="X116" s="155">
        <f>MIN($K$15,Z115+W116)</f>
        <v/>
      </c>
      <c r="Y116" s="155">
        <f>MIN(Z115+W116-X116,MAX(0,$AQ116-(E116+I116+M116+Q116+U116)))</f>
        <v/>
      </c>
      <c r="Z116" s="155">
        <f>ROUND(Z115+W116-X116-Y116,2)</f>
        <v/>
      </c>
      <c r="AA116" s="155">
        <f>ROUND(AD115*$J$16,2)</f>
        <v/>
      </c>
      <c r="AB116" s="155">
        <f>MIN($K$16,AD115+AA116)</f>
        <v/>
      </c>
      <c r="AC116" s="155">
        <f>MIN(AD115+AA116-AB116,MAX(0,$AQ116-(E116+I116+M116+Q116+U116+Y116)))</f>
        <v/>
      </c>
      <c r="AD116" s="155">
        <f>ROUND(AD115+AA116-AB116-AC116,2)</f>
        <v/>
      </c>
      <c r="AE116" s="155">
        <f>ROUND(AH115*$J$17,2)</f>
        <v/>
      </c>
      <c r="AF116" s="155">
        <f>MIN($K$17,AH115+AE116)</f>
        <v/>
      </c>
      <c r="AG116" s="155">
        <f>MIN(AH115+AE116-AF116,MAX(0,$AQ116-(E116+I116+M116+Q116+U116+Y116+AC116)))</f>
        <v/>
      </c>
      <c r="AH116" s="155">
        <f>ROUND(AH115+AE116-AF116-AG116,2)</f>
        <v/>
      </c>
      <c r="AI116" s="155">
        <f>ROUND(AL115*$J$18,2)</f>
        <v/>
      </c>
      <c r="AJ116" s="155">
        <f>MIN($K$18,AL115+AI116)</f>
        <v/>
      </c>
      <c r="AK116" s="155">
        <f>MIN(AL115+AI116-AJ116,MAX(0,$AQ116-(E116+I116+M116+Q116+U116+Y116+AC116+AG116)))</f>
        <v/>
      </c>
      <c r="AL116" s="155">
        <f>ROUND(AL115+AI116-AJ116-AK116,2)</f>
        <v/>
      </c>
      <c r="AM116" s="155">
        <f>ROUND(AP115*$J$19,2)</f>
        <v/>
      </c>
      <c r="AN116" s="155">
        <f>MIN($K$19,AP115+AM116)</f>
        <v/>
      </c>
      <c r="AO116" s="155">
        <f>MIN(AP115+AM116-AN116,MAX(0,$AQ116-(E116+I116+M116+Q116+U116+Y116+AC116+AG116+AK116)))</f>
        <v/>
      </c>
      <c r="AP116" s="155">
        <f>ROUND(AP115+AM116-AN116-AO116,2)</f>
        <v/>
      </c>
      <c r="AQ116" s="155">
        <f>MAX(0,$B$6-(D116+H116+L116+P116+T116+X116+AB116+AF116+AJ116+AN116))</f>
        <v/>
      </c>
      <c r="AR116" s="155">
        <f>D116+H116+L116+P116+T116+X116+AB116+AF116+AJ116+AN116+E116+I116+M116+Q116+U116+Y116+AC116+AG116+AK116+AO116</f>
        <v/>
      </c>
      <c r="AS116" s="155">
        <f>C116+G116+K116+O116+S116+W116+AA116+AE116+AI116+AM116</f>
        <v/>
      </c>
      <c r="AT116" s="155">
        <f>F116+J116+N116+R116+V116+Z116+AD116+AH116+AL116+AP116</f>
        <v/>
      </c>
      <c r="AU116" s="157">
        <f>MID(IF(AND(F116=0,F115&gt;0),"; "&amp;$H$10,"")&amp;IF(AND(J116=0,J115&gt;0),"; "&amp;$H$11,"")&amp;IF(AND(N116=0,N115&gt;0),"; "&amp;$H$12,"")&amp;IF(AND(R116=0,R115&gt;0),"; "&amp;$H$13,"")&amp;IF(AND(V116=0,V115&gt;0),"; "&amp;$H$14,"")&amp;IF(AND(Z116=0,Z115&gt;0),"; "&amp;$H$15,"")&amp;IF(AND(AD116=0,AD115&gt;0),"; "&amp;$H$16,"")&amp;IF(AND(AH116=0,AH115&gt;0),"; "&amp;$H$17,"")&amp;IF(AND(AL116=0,AL115&gt;0),"; "&amp;$H$18,"")&amp;IF(AND(AP116=0,AP115&gt;0),"; "&amp;$H$19,""),3,200)</f>
        <v/>
      </c>
    </row>
    <row r="117">
      <c r="A117" s="154" t="n">
        <v>27</v>
      </c>
      <c r="B117" s="156">
        <f>EDATE($B$5,A117-1)</f>
        <v/>
      </c>
      <c r="C117" s="155">
        <f>ROUND(F116*$J$10,2)</f>
        <v/>
      </c>
      <c r="D117" s="155">
        <f>MIN($K$10,F116+C117)</f>
        <v/>
      </c>
      <c r="E117" s="155">
        <f>MIN(F116+C117-D117,MAX(0,$AQ117-(0)))</f>
        <v/>
      </c>
      <c r="F117" s="155">
        <f>ROUND(F116+C117-D117-E117,2)</f>
        <v/>
      </c>
      <c r="G117" s="155">
        <f>ROUND(J116*$J$11,2)</f>
        <v/>
      </c>
      <c r="H117" s="155">
        <f>MIN($K$11,J116+G117)</f>
        <v/>
      </c>
      <c r="I117" s="155">
        <f>MIN(J116+G117-H117,MAX(0,$AQ117-(E117)))</f>
        <v/>
      </c>
      <c r="J117" s="155">
        <f>ROUND(J116+G117-H117-I117,2)</f>
        <v/>
      </c>
      <c r="K117" s="155">
        <f>ROUND(N116*$J$12,2)</f>
        <v/>
      </c>
      <c r="L117" s="155">
        <f>MIN($K$12,N116+K117)</f>
        <v/>
      </c>
      <c r="M117" s="155">
        <f>MIN(N116+K117-L117,MAX(0,$AQ117-(E117+I117)))</f>
        <v/>
      </c>
      <c r="N117" s="155">
        <f>ROUND(N116+K117-L117-M117,2)</f>
        <v/>
      </c>
      <c r="O117" s="155">
        <f>ROUND(R116*$J$13,2)</f>
        <v/>
      </c>
      <c r="P117" s="155">
        <f>MIN($K$13,R116+O117)</f>
        <v/>
      </c>
      <c r="Q117" s="155">
        <f>MIN(R116+O117-P117,MAX(0,$AQ117-(E117+I117+M117)))</f>
        <v/>
      </c>
      <c r="R117" s="155">
        <f>ROUND(R116+O117-P117-Q117,2)</f>
        <v/>
      </c>
      <c r="S117" s="155">
        <f>ROUND(V116*$J$14,2)</f>
        <v/>
      </c>
      <c r="T117" s="155">
        <f>MIN($K$14,V116+S117)</f>
        <v/>
      </c>
      <c r="U117" s="155">
        <f>MIN(V116+S117-T117,MAX(0,$AQ117-(E117+I117+M117+Q117)))</f>
        <v/>
      </c>
      <c r="V117" s="155">
        <f>ROUND(V116+S117-T117-U117,2)</f>
        <v/>
      </c>
      <c r="W117" s="155">
        <f>ROUND(Z116*$J$15,2)</f>
        <v/>
      </c>
      <c r="X117" s="155">
        <f>MIN($K$15,Z116+W117)</f>
        <v/>
      </c>
      <c r="Y117" s="155">
        <f>MIN(Z116+W117-X117,MAX(0,$AQ117-(E117+I117+M117+Q117+U117)))</f>
        <v/>
      </c>
      <c r="Z117" s="155">
        <f>ROUND(Z116+W117-X117-Y117,2)</f>
        <v/>
      </c>
      <c r="AA117" s="155">
        <f>ROUND(AD116*$J$16,2)</f>
        <v/>
      </c>
      <c r="AB117" s="155">
        <f>MIN($K$16,AD116+AA117)</f>
        <v/>
      </c>
      <c r="AC117" s="155">
        <f>MIN(AD116+AA117-AB117,MAX(0,$AQ117-(E117+I117+M117+Q117+U117+Y117)))</f>
        <v/>
      </c>
      <c r="AD117" s="155">
        <f>ROUND(AD116+AA117-AB117-AC117,2)</f>
        <v/>
      </c>
      <c r="AE117" s="155">
        <f>ROUND(AH116*$J$17,2)</f>
        <v/>
      </c>
      <c r="AF117" s="155">
        <f>MIN($K$17,AH116+AE117)</f>
        <v/>
      </c>
      <c r="AG117" s="155">
        <f>MIN(AH116+AE117-AF117,MAX(0,$AQ117-(E117+I117+M117+Q117+U117+Y117+AC117)))</f>
        <v/>
      </c>
      <c r="AH117" s="155">
        <f>ROUND(AH116+AE117-AF117-AG117,2)</f>
        <v/>
      </c>
      <c r="AI117" s="155">
        <f>ROUND(AL116*$J$18,2)</f>
        <v/>
      </c>
      <c r="AJ117" s="155">
        <f>MIN($K$18,AL116+AI117)</f>
        <v/>
      </c>
      <c r="AK117" s="155">
        <f>MIN(AL116+AI117-AJ117,MAX(0,$AQ117-(E117+I117+M117+Q117+U117+Y117+AC117+AG117)))</f>
        <v/>
      </c>
      <c r="AL117" s="155">
        <f>ROUND(AL116+AI117-AJ117-AK117,2)</f>
        <v/>
      </c>
      <c r="AM117" s="155">
        <f>ROUND(AP116*$J$19,2)</f>
        <v/>
      </c>
      <c r="AN117" s="155">
        <f>MIN($K$19,AP116+AM117)</f>
        <v/>
      </c>
      <c r="AO117" s="155">
        <f>MIN(AP116+AM117-AN117,MAX(0,$AQ117-(E117+I117+M117+Q117+U117+Y117+AC117+AG117+AK117)))</f>
        <v/>
      </c>
      <c r="AP117" s="155">
        <f>ROUND(AP116+AM117-AN117-AO117,2)</f>
        <v/>
      </c>
      <c r="AQ117" s="155">
        <f>MAX(0,$B$6-(D117+H117+L117+P117+T117+X117+AB117+AF117+AJ117+AN117))</f>
        <v/>
      </c>
      <c r="AR117" s="155">
        <f>D117+H117+L117+P117+T117+X117+AB117+AF117+AJ117+AN117+E117+I117+M117+Q117+U117+Y117+AC117+AG117+AK117+AO117</f>
        <v/>
      </c>
      <c r="AS117" s="155">
        <f>C117+G117+K117+O117+S117+W117+AA117+AE117+AI117+AM117</f>
        <v/>
      </c>
      <c r="AT117" s="155">
        <f>F117+J117+N117+R117+V117+Z117+AD117+AH117+AL117+AP117</f>
        <v/>
      </c>
      <c r="AU117" s="157">
        <f>MID(IF(AND(F117=0,F116&gt;0),"; "&amp;$H$10,"")&amp;IF(AND(J117=0,J116&gt;0),"; "&amp;$H$11,"")&amp;IF(AND(N117=0,N116&gt;0),"; "&amp;$H$12,"")&amp;IF(AND(R117=0,R116&gt;0),"; "&amp;$H$13,"")&amp;IF(AND(V117=0,V116&gt;0),"; "&amp;$H$14,"")&amp;IF(AND(Z117=0,Z116&gt;0),"; "&amp;$H$15,"")&amp;IF(AND(AD117=0,AD116&gt;0),"; "&amp;$H$16,"")&amp;IF(AND(AH117=0,AH116&gt;0),"; "&amp;$H$17,"")&amp;IF(AND(AL117=0,AL116&gt;0),"; "&amp;$H$18,"")&amp;IF(AND(AP117=0,AP116&gt;0),"; "&amp;$H$19,""),3,200)</f>
        <v/>
      </c>
    </row>
    <row r="118">
      <c r="A118" s="154" t="n">
        <v>28</v>
      </c>
      <c r="B118" s="156">
        <f>EDATE($B$5,A118-1)</f>
        <v/>
      </c>
      <c r="C118" s="155">
        <f>ROUND(F117*$J$10,2)</f>
        <v/>
      </c>
      <c r="D118" s="155">
        <f>MIN($K$10,F117+C118)</f>
        <v/>
      </c>
      <c r="E118" s="155">
        <f>MIN(F117+C118-D118,MAX(0,$AQ118-(0)))</f>
        <v/>
      </c>
      <c r="F118" s="155">
        <f>ROUND(F117+C118-D118-E118,2)</f>
        <v/>
      </c>
      <c r="G118" s="155">
        <f>ROUND(J117*$J$11,2)</f>
        <v/>
      </c>
      <c r="H118" s="155">
        <f>MIN($K$11,J117+G118)</f>
        <v/>
      </c>
      <c r="I118" s="155">
        <f>MIN(J117+G118-H118,MAX(0,$AQ118-(E118)))</f>
        <v/>
      </c>
      <c r="J118" s="155">
        <f>ROUND(J117+G118-H118-I118,2)</f>
        <v/>
      </c>
      <c r="K118" s="155">
        <f>ROUND(N117*$J$12,2)</f>
        <v/>
      </c>
      <c r="L118" s="155">
        <f>MIN($K$12,N117+K118)</f>
        <v/>
      </c>
      <c r="M118" s="155">
        <f>MIN(N117+K118-L118,MAX(0,$AQ118-(E118+I118)))</f>
        <v/>
      </c>
      <c r="N118" s="155">
        <f>ROUND(N117+K118-L118-M118,2)</f>
        <v/>
      </c>
      <c r="O118" s="155">
        <f>ROUND(R117*$J$13,2)</f>
        <v/>
      </c>
      <c r="P118" s="155">
        <f>MIN($K$13,R117+O118)</f>
        <v/>
      </c>
      <c r="Q118" s="155">
        <f>MIN(R117+O118-P118,MAX(0,$AQ118-(E118+I118+M118)))</f>
        <v/>
      </c>
      <c r="R118" s="155">
        <f>ROUND(R117+O118-P118-Q118,2)</f>
        <v/>
      </c>
      <c r="S118" s="155">
        <f>ROUND(V117*$J$14,2)</f>
        <v/>
      </c>
      <c r="T118" s="155">
        <f>MIN($K$14,V117+S118)</f>
        <v/>
      </c>
      <c r="U118" s="155">
        <f>MIN(V117+S118-T118,MAX(0,$AQ118-(E118+I118+M118+Q118)))</f>
        <v/>
      </c>
      <c r="V118" s="155">
        <f>ROUND(V117+S118-T118-U118,2)</f>
        <v/>
      </c>
      <c r="W118" s="155">
        <f>ROUND(Z117*$J$15,2)</f>
        <v/>
      </c>
      <c r="X118" s="155">
        <f>MIN($K$15,Z117+W118)</f>
        <v/>
      </c>
      <c r="Y118" s="155">
        <f>MIN(Z117+W118-X118,MAX(0,$AQ118-(E118+I118+M118+Q118+U118)))</f>
        <v/>
      </c>
      <c r="Z118" s="155">
        <f>ROUND(Z117+W118-X118-Y118,2)</f>
        <v/>
      </c>
      <c r="AA118" s="155">
        <f>ROUND(AD117*$J$16,2)</f>
        <v/>
      </c>
      <c r="AB118" s="155">
        <f>MIN($K$16,AD117+AA118)</f>
        <v/>
      </c>
      <c r="AC118" s="155">
        <f>MIN(AD117+AA118-AB118,MAX(0,$AQ118-(E118+I118+M118+Q118+U118+Y118)))</f>
        <v/>
      </c>
      <c r="AD118" s="155">
        <f>ROUND(AD117+AA118-AB118-AC118,2)</f>
        <v/>
      </c>
      <c r="AE118" s="155">
        <f>ROUND(AH117*$J$17,2)</f>
        <v/>
      </c>
      <c r="AF118" s="155">
        <f>MIN($K$17,AH117+AE118)</f>
        <v/>
      </c>
      <c r="AG118" s="155">
        <f>MIN(AH117+AE118-AF118,MAX(0,$AQ118-(E118+I118+M118+Q118+U118+Y118+AC118)))</f>
        <v/>
      </c>
      <c r="AH118" s="155">
        <f>ROUND(AH117+AE118-AF118-AG118,2)</f>
        <v/>
      </c>
      <c r="AI118" s="155">
        <f>ROUND(AL117*$J$18,2)</f>
        <v/>
      </c>
      <c r="AJ118" s="155">
        <f>MIN($K$18,AL117+AI118)</f>
        <v/>
      </c>
      <c r="AK118" s="155">
        <f>MIN(AL117+AI118-AJ118,MAX(0,$AQ118-(E118+I118+M118+Q118+U118+Y118+AC118+AG118)))</f>
        <v/>
      </c>
      <c r="AL118" s="155">
        <f>ROUND(AL117+AI118-AJ118-AK118,2)</f>
        <v/>
      </c>
      <c r="AM118" s="155">
        <f>ROUND(AP117*$J$19,2)</f>
        <v/>
      </c>
      <c r="AN118" s="155">
        <f>MIN($K$19,AP117+AM118)</f>
        <v/>
      </c>
      <c r="AO118" s="155">
        <f>MIN(AP117+AM118-AN118,MAX(0,$AQ118-(E118+I118+M118+Q118+U118+Y118+AC118+AG118+AK118)))</f>
        <v/>
      </c>
      <c r="AP118" s="155">
        <f>ROUND(AP117+AM118-AN118-AO118,2)</f>
        <v/>
      </c>
      <c r="AQ118" s="155">
        <f>MAX(0,$B$6-(D118+H118+L118+P118+T118+X118+AB118+AF118+AJ118+AN118))</f>
        <v/>
      </c>
      <c r="AR118" s="155">
        <f>D118+H118+L118+P118+T118+X118+AB118+AF118+AJ118+AN118+E118+I118+M118+Q118+U118+Y118+AC118+AG118+AK118+AO118</f>
        <v/>
      </c>
      <c r="AS118" s="155">
        <f>C118+G118+K118+O118+S118+W118+AA118+AE118+AI118+AM118</f>
        <v/>
      </c>
      <c r="AT118" s="155">
        <f>F118+J118+N118+R118+V118+Z118+AD118+AH118+AL118+AP118</f>
        <v/>
      </c>
      <c r="AU118" s="157">
        <f>MID(IF(AND(F118=0,F117&gt;0),"; "&amp;$H$10,"")&amp;IF(AND(J118=0,J117&gt;0),"; "&amp;$H$11,"")&amp;IF(AND(N118=0,N117&gt;0),"; "&amp;$H$12,"")&amp;IF(AND(R118=0,R117&gt;0),"; "&amp;$H$13,"")&amp;IF(AND(V118=0,V117&gt;0),"; "&amp;$H$14,"")&amp;IF(AND(Z118=0,Z117&gt;0),"; "&amp;$H$15,"")&amp;IF(AND(AD118=0,AD117&gt;0),"; "&amp;$H$16,"")&amp;IF(AND(AH118=0,AH117&gt;0),"; "&amp;$H$17,"")&amp;IF(AND(AL118=0,AL117&gt;0),"; "&amp;$H$18,"")&amp;IF(AND(AP118=0,AP117&gt;0),"; "&amp;$H$19,""),3,200)</f>
        <v/>
      </c>
    </row>
    <row r="119">
      <c r="A119" s="154" t="n">
        <v>29</v>
      </c>
      <c r="B119" s="156">
        <f>EDATE($B$5,A119-1)</f>
        <v/>
      </c>
      <c r="C119" s="155">
        <f>ROUND(F118*$J$10,2)</f>
        <v/>
      </c>
      <c r="D119" s="155">
        <f>MIN($K$10,F118+C119)</f>
        <v/>
      </c>
      <c r="E119" s="155">
        <f>MIN(F118+C119-D119,MAX(0,$AQ119-(0)))</f>
        <v/>
      </c>
      <c r="F119" s="155">
        <f>ROUND(F118+C119-D119-E119,2)</f>
        <v/>
      </c>
      <c r="G119" s="155">
        <f>ROUND(J118*$J$11,2)</f>
        <v/>
      </c>
      <c r="H119" s="155">
        <f>MIN($K$11,J118+G119)</f>
        <v/>
      </c>
      <c r="I119" s="155">
        <f>MIN(J118+G119-H119,MAX(0,$AQ119-(E119)))</f>
        <v/>
      </c>
      <c r="J119" s="155">
        <f>ROUND(J118+G119-H119-I119,2)</f>
        <v/>
      </c>
      <c r="K119" s="155">
        <f>ROUND(N118*$J$12,2)</f>
        <v/>
      </c>
      <c r="L119" s="155">
        <f>MIN($K$12,N118+K119)</f>
        <v/>
      </c>
      <c r="M119" s="155">
        <f>MIN(N118+K119-L119,MAX(0,$AQ119-(E119+I119)))</f>
        <v/>
      </c>
      <c r="N119" s="155">
        <f>ROUND(N118+K119-L119-M119,2)</f>
        <v/>
      </c>
      <c r="O119" s="155">
        <f>ROUND(R118*$J$13,2)</f>
        <v/>
      </c>
      <c r="P119" s="155">
        <f>MIN($K$13,R118+O119)</f>
        <v/>
      </c>
      <c r="Q119" s="155">
        <f>MIN(R118+O119-P119,MAX(0,$AQ119-(E119+I119+M119)))</f>
        <v/>
      </c>
      <c r="R119" s="155">
        <f>ROUND(R118+O119-P119-Q119,2)</f>
        <v/>
      </c>
      <c r="S119" s="155">
        <f>ROUND(V118*$J$14,2)</f>
        <v/>
      </c>
      <c r="T119" s="155">
        <f>MIN($K$14,V118+S119)</f>
        <v/>
      </c>
      <c r="U119" s="155">
        <f>MIN(V118+S119-T119,MAX(0,$AQ119-(E119+I119+M119+Q119)))</f>
        <v/>
      </c>
      <c r="V119" s="155">
        <f>ROUND(V118+S119-T119-U119,2)</f>
        <v/>
      </c>
      <c r="W119" s="155">
        <f>ROUND(Z118*$J$15,2)</f>
        <v/>
      </c>
      <c r="X119" s="155">
        <f>MIN($K$15,Z118+W119)</f>
        <v/>
      </c>
      <c r="Y119" s="155">
        <f>MIN(Z118+W119-X119,MAX(0,$AQ119-(E119+I119+M119+Q119+U119)))</f>
        <v/>
      </c>
      <c r="Z119" s="155">
        <f>ROUND(Z118+W119-X119-Y119,2)</f>
        <v/>
      </c>
      <c r="AA119" s="155">
        <f>ROUND(AD118*$J$16,2)</f>
        <v/>
      </c>
      <c r="AB119" s="155">
        <f>MIN($K$16,AD118+AA119)</f>
        <v/>
      </c>
      <c r="AC119" s="155">
        <f>MIN(AD118+AA119-AB119,MAX(0,$AQ119-(E119+I119+M119+Q119+U119+Y119)))</f>
        <v/>
      </c>
      <c r="AD119" s="155">
        <f>ROUND(AD118+AA119-AB119-AC119,2)</f>
        <v/>
      </c>
      <c r="AE119" s="155">
        <f>ROUND(AH118*$J$17,2)</f>
        <v/>
      </c>
      <c r="AF119" s="155">
        <f>MIN($K$17,AH118+AE119)</f>
        <v/>
      </c>
      <c r="AG119" s="155">
        <f>MIN(AH118+AE119-AF119,MAX(0,$AQ119-(E119+I119+M119+Q119+U119+Y119+AC119)))</f>
        <v/>
      </c>
      <c r="AH119" s="155">
        <f>ROUND(AH118+AE119-AF119-AG119,2)</f>
        <v/>
      </c>
      <c r="AI119" s="155">
        <f>ROUND(AL118*$J$18,2)</f>
        <v/>
      </c>
      <c r="AJ119" s="155">
        <f>MIN($K$18,AL118+AI119)</f>
        <v/>
      </c>
      <c r="AK119" s="155">
        <f>MIN(AL118+AI119-AJ119,MAX(0,$AQ119-(E119+I119+M119+Q119+U119+Y119+AC119+AG119)))</f>
        <v/>
      </c>
      <c r="AL119" s="155">
        <f>ROUND(AL118+AI119-AJ119-AK119,2)</f>
        <v/>
      </c>
      <c r="AM119" s="155">
        <f>ROUND(AP118*$J$19,2)</f>
        <v/>
      </c>
      <c r="AN119" s="155">
        <f>MIN($K$19,AP118+AM119)</f>
        <v/>
      </c>
      <c r="AO119" s="155">
        <f>MIN(AP118+AM119-AN119,MAX(0,$AQ119-(E119+I119+M119+Q119+U119+Y119+AC119+AG119+AK119)))</f>
        <v/>
      </c>
      <c r="AP119" s="155">
        <f>ROUND(AP118+AM119-AN119-AO119,2)</f>
        <v/>
      </c>
      <c r="AQ119" s="155">
        <f>MAX(0,$B$6-(D119+H119+L119+P119+T119+X119+AB119+AF119+AJ119+AN119))</f>
        <v/>
      </c>
      <c r="AR119" s="155">
        <f>D119+H119+L119+P119+T119+X119+AB119+AF119+AJ119+AN119+E119+I119+M119+Q119+U119+Y119+AC119+AG119+AK119+AO119</f>
        <v/>
      </c>
      <c r="AS119" s="155">
        <f>C119+G119+K119+O119+S119+W119+AA119+AE119+AI119+AM119</f>
        <v/>
      </c>
      <c r="AT119" s="155">
        <f>F119+J119+N119+R119+V119+Z119+AD119+AH119+AL119+AP119</f>
        <v/>
      </c>
      <c r="AU119" s="157">
        <f>MID(IF(AND(F119=0,F118&gt;0),"; "&amp;$H$10,"")&amp;IF(AND(J119=0,J118&gt;0),"; "&amp;$H$11,"")&amp;IF(AND(N119=0,N118&gt;0),"; "&amp;$H$12,"")&amp;IF(AND(R119=0,R118&gt;0),"; "&amp;$H$13,"")&amp;IF(AND(V119=0,V118&gt;0),"; "&amp;$H$14,"")&amp;IF(AND(Z119=0,Z118&gt;0),"; "&amp;$H$15,"")&amp;IF(AND(AD119=0,AD118&gt;0),"; "&amp;$H$16,"")&amp;IF(AND(AH119=0,AH118&gt;0),"; "&amp;$H$17,"")&amp;IF(AND(AL119=0,AL118&gt;0),"; "&amp;$H$18,"")&amp;IF(AND(AP119=0,AP118&gt;0),"; "&amp;$H$19,""),3,200)</f>
        <v/>
      </c>
    </row>
    <row r="120">
      <c r="A120" s="154" t="n">
        <v>30</v>
      </c>
      <c r="B120" s="156">
        <f>EDATE($B$5,A120-1)</f>
        <v/>
      </c>
      <c r="C120" s="155">
        <f>ROUND(F119*$J$10,2)</f>
        <v/>
      </c>
      <c r="D120" s="155">
        <f>MIN($K$10,F119+C120)</f>
        <v/>
      </c>
      <c r="E120" s="155">
        <f>MIN(F119+C120-D120,MAX(0,$AQ120-(0)))</f>
        <v/>
      </c>
      <c r="F120" s="155">
        <f>ROUND(F119+C120-D120-E120,2)</f>
        <v/>
      </c>
      <c r="G120" s="155">
        <f>ROUND(J119*$J$11,2)</f>
        <v/>
      </c>
      <c r="H120" s="155">
        <f>MIN($K$11,J119+G120)</f>
        <v/>
      </c>
      <c r="I120" s="155">
        <f>MIN(J119+G120-H120,MAX(0,$AQ120-(E120)))</f>
        <v/>
      </c>
      <c r="J120" s="155">
        <f>ROUND(J119+G120-H120-I120,2)</f>
        <v/>
      </c>
      <c r="K120" s="155">
        <f>ROUND(N119*$J$12,2)</f>
        <v/>
      </c>
      <c r="L120" s="155">
        <f>MIN($K$12,N119+K120)</f>
        <v/>
      </c>
      <c r="M120" s="155">
        <f>MIN(N119+K120-L120,MAX(0,$AQ120-(E120+I120)))</f>
        <v/>
      </c>
      <c r="N120" s="155">
        <f>ROUND(N119+K120-L120-M120,2)</f>
        <v/>
      </c>
      <c r="O120" s="155">
        <f>ROUND(R119*$J$13,2)</f>
        <v/>
      </c>
      <c r="P120" s="155">
        <f>MIN($K$13,R119+O120)</f>
        <v/>
      </c>
      <c r="Q120" s="155">
        <f>MIN(R119+O120-P120,MAX(0,$AQ120-(E120+I120+M120)))</f>
        <v/>
      </c>
      <c r="R120" s="155">
        <f>ROUND(R119+O120-P120-Q120,2)</f>
        <v/>
      </c>
      <c r="S120" s="155">
        <f>ROUND(V119*$J$14,2)</f>
        <v/>
      </c>
      <c r="T120" s="155">
        <f>MIN($K$14,V119+S120)</f>
        <v/>
      </c>
      <c r="U120" s="155">
        <f>MIN(V119+S120-T120,MAX(0,$AQ120-(E120+I120+M120+Q120)))</f>
        <v/>
      </c>
      <c r="V120" s="155">
        <f>ROUND(V119+S120-T120-U120,2)</f>
        <v/>
      </c>
      <c r="W120" s="155">
        <f>ROUND(Z119*$J$15,2)</f>
        <v/>
      </c>
      <c r="X120" s="155">
        <f>MIN($K$15,Z119+W120)</f>
        <v/>
      </c>
      <c r="Y120" s="155">
        <f>MIN(Z119+W120-X120,MAX(0,$AQ120-(E120+I120+M120+Q120+U120)))</f>
        <v/>
      </c>
      <c r="Z120" s="155">
        <f>ROUND(Z119+W120-X120-Y120,2)</f>
        <v/>
      </c>
      <c r="AA120" s="155">
        <f>ROUND(AD119*$J$16,2)</f>
        <v/>
      </c>
      <c r="AB120" s="155">
        <f>MIN($K$16,AD119+AA120)</f>
        <v/>
      </c>
      <c r="AC120" s="155">
        <f>MIN(AD119+AA120-AB120,MAX(0,$AQ120-(E120+I120+M120+Q120+U120+Y120)))</f>
        <v/>
      </c>
      <c r="AD120" s="155">
        <f>ROUND(AD119+AA120-AB120-AC120,2)</f>
        <v/>
      </c>
      <c r="AE120" s="155">
        <f>ROUND(AH119*$J$17,2)</f>
        <v/>
      </c>
      <c r="AF120" s="155">
        <f>MIN($K$17,AH119+AE120)</f>
        <v/>
      </c>
      <c r="AG120" s="155">
        <f>MIN(AH119+AE120-AF120,MAX(0,$AQ120-(E120+I120+M120+Q120+U120+Y120+AC120)))</f>
        <v/>
      </c>
      <c r="AH120" s="155">
        <f>ROUND(AH119+AE120-AF120-AG120,2)</f>
        <v/>
      </c>
      <c r="AI120" s="155">
        <f>ROUND(AL119*$J$18,2)</f>
        <v/>
      </c>
      <c r="AJ120" s="155">
        <f>MIN($K$18,AL119+AI120)</f>
        <v/>
      </c>
      <c r="AK120" s="155">
        <f>MIN(AL119+AI120-AJ120,MAX(0,$AQ120-(E120+I120+M120+Q120+U120+Y120+AC120+AG120)))</f>
        <v/>
      </c>
      <c r="AL120" s="155">
        <f>ROUND(AL119+AI120-AJ120-AK120,2)</f>
        <v/>
      </c>
      <c r="AM120" s="155">
        <f>ROUND(AP119*$J$19,2)</f>
        <v/>
      </c>
      <c r="AN120" s="155">
        <f>MIN($K$19,AP119+AM120)</f>
        <v/>
      </c>
      <c r="AO120" s="155">
        <f>MIN(AP119+AM120-AN120,MAX(0,$AQ120-(E120+I120+M120+Q120+U120+Y120+AC120+AG120+AK120)))</f>
        <v/>
      </c>
      <c r="AP120" s="155">
        <f>ROUND(AP119+AM120-AN120-AO120,2)</f>
        <v/>
      </c>
      <c r="AQ120" s="155">
        <f>MAX(0,$B$6-(D120+H120+L120+P120+T120+X120+AB120+AF120+AJ120+AN120))</f>
        <v/>
      </c>
      <c r="AR120" s="155">
        <f>D120+H120+L120+P120+T120+X120+AB120+AF120+AJ120+AN120+E120+I120+M120+Q120+U120+Y120+AC120+AG120+AK120+AO120</f>
        <v/>
      </c>
      <c r="AS120" s="155">
        <f>C120+G120+K120+O120+S120+W120+AA120+AE120+AI120+AM120</f>
        <v/>
      </c>
      <c r="AT120" s="155">
        <f>F120+J120+N120+R120+V120+Z120+AD120+AH120+AL120+AP120</f>
        <v/>
      </c>
      <c r="AU120" s="157">
        <f>MID(IF(AND(F120=0,F119&gt;0),"; "&amp;$H$10,"")&amp;IF(AND(J120=0,J119&gt;0),"; "&amp;$H$11,"")&amp;IF(AND(N120=0,N119&gt;0),"; "&amp;$H$12,"")&amp;IF(AND(R120=0,R119&gt;0),"; "&amp;$H$13,"")&amp;IF(AND(V120=0,V119&gt;0),"; "&amp;$H$14,"")&amp;IF(AND(Z120=0,Z119&gt;0),"; "&amp;$H$15,"")&amp;IF(AND(AD120=0,AD119&gt;0),"; "&amp;$H$16,"")&amp;IF(AND(AH120=0,AH119&gt;0),"; "&amp;$H$17,"")&amp;IF(AND(AL120=0,AL119&gt;0),"; "&amp;$H$18,"")&amp;IF(AND(AP120=0,AP119&gt;0),"; "&amp;$H$19,""),3,200)</f>
        <v/>
      </c>
    </row>
    <row r="121">
      <c r="A121" s="154" t="n">
        <v>31</v>
      </c>
      <c r="B121" s="156">
        <f>EDATE($B$5,A121-1)</f>
        <v/>
      </c>
      <c r="C121" s="155">
        <f>ROUND(F120*$J$10,2)</f>
        <v/>
      </c>
      <c r="D121" s="155">
        <f>MIN($K$10,F120+C121)</f>
        <v/>
      </c>
      <c r="E121" s="155">
        <f>MIN(F120+C121-D121,MAX(0,$AQ121-(0)))</f>
        <v/>
      </c>
      <c r="F121" s="155">
        <f>ROUND(F120+C121-D121-E121,2)</f>
        <v/>
      </c>
      <c r="G121" s="155">
        <f>ROUND(J120*$J$11,2)</f>
        <v/>
      </c>
      <c r="H121" s="155">
        <f>MIN($K$11,J120+G121)</f>
        <v/>
      </c>
      <c r="I121" s="155">
        <f>MIN(J120+G121-H121,MAX(0,$AQ121-(E121)))</f>
        <v/>
      </c>
      <c r="J121" s="155">
        <f>ROUND(J120+G121-H121-I121,2)</f>
        <v/>
      </c>
      <c r="K121" s="155">
        <f>ROUND(N120*$J$12,2)</f>
        <v/>
      </c>
      <c r="L121" s="155">
        <f>MIN($K$12,N120+K121)</f>
        <v/>
      </c>
      <c r="M121" s="155">
        <f>MIN(N120+K121-L121,MAX(0,$AQ121-(E121+I121)))</f>
        <v/>
      </c>
      <c r="N121" s="155">
        <f>ROUND(N120+K121-L121-M121,2)</f>
        <v/>
      </c>
      <c r="O121" s="155">
        <f>ROUND(R120*$J$13,2)</f>
        <v/>
      </c>
      <c r="P121" s="155">
        <f>MIN($K$13,R120+O121)</f>
        <v/>
      </c>
      <c r="Q121" s="155">
        <f>MIN(R120+O121-P121,MAX(0,$AQ121-(E121+I121+M121)))</f>
        <v/>
      </c>
      <c r="R121" s="155">
        <f>ROUND(R120+O121-P121-Q121,2)</f>
        <v/>
      </c>
      <c r="S121" s="155">
        <f>ROUND(V120*$J$14,2)</f>
        <v/>
      </c>
      <c r="T121" s="155">
        <f>MIN($K$14,V120+S121)</f>
        <v/>
      </c>
      <c r="U121" s="155">
        <f>MIN(V120+S121-T121,MAX(0,$AQ121-(E121+I121+M121+Q121)))</f>
        <v/>
      </c>
      <c r="V121" s="155">
        <f>ROUND(V120+S121-T121-U121,2)</f>
        <v/>
      </c>
      <c r="W121" s="155">
        <f>ROUND(Z120*$J$15,2)</f>
        <v/>
      </c>
      <c r="X121" s="155">
        <f>MIN($K$15,Z120+W121)</f>
        <v/>
      </c>
      <c r="Y121" s="155">
        <f>MIN(Z120+W121-X121,MAX(0,$AQ121-(E121+I121+M121+Q121+U121)))</f>
        <v/>
      </c>
      <c r="Z121" s="155">
        <f>ROUND(Z120+W121-X121-Y121,2)</f>
        <v/>
      </c>
      <c r="AA121" s="155">
        <f>ROUND(AD120*$J$16,2)</f>
        <v/>
      </c>
      <c r="AB121" s="155">
        <f>MIN($K$16,AD120+AA121)</f>
        <v/>
      </c>
      <c r="AC121" s="155">
        <f>MIN(AD120+AA121-AB121,MAX(0,$AQ121-(E121+I121+M121+Q121+U121+Y121)))</f>
        <v/>
      </c>
      <c r="AD121" s="155">
        <f>ROUND(AD120+AA121-AB121-AC121,2)</f>
        <v/>
      </c>
      <c r="AE121" s="155">
        <f>ROUND(AH120*$J$17,2)</f>
        <v/>
      </c>
      <c r="AF121" s="155">
        <f>MIN($K$17,AH120+AE121)</f>
        <v/>
      </c>
      <c r="AG121" s="155">
        <f>MIN(AH120+AE121-AF121,MAX(0,$AQ121-(E121+I121+M121+Q121+U121+Y121+AC121)))</f>
        <v/>
      </c>
      <c r="AH121" s="155">
        <f>ROUND(AH120+AE121-AF121-AG121,2)</f>
        <v/>
      </c>
      <c r="AI121" s="155">
        <f>ROUND(AL120*$J$18,2)</f>
        <v/>
      </c>
      <c r="AJ121" s="155">
        <f>MIN($K$18,AL120+AI121)</f>
        <v/>
      </c>
      <c r="AK121" s="155">
        <f>MIN(AL120+AI121-AJ121,MAX(0,$AQ121-(E121+I121+M121+Q121+U121+Y121+AC121+AG121)))</f>
        <v/>
      </c>
      <c r="AL121" s="155">
        <f>ROUND(AL120+AI121-AJ121-AK121,2)</f>
        <v/>
      </c>
      <c r="AM121" s="155">
        <f>ROUND(AP120*$J$19,2)</f>
        <v/>
      </c>
      <c r="AN121" s="155">
        <f>MIN($K$19,AP120+AM121)</f>
        <v/>
      </c>
      <c r="AO121" s="155">
        <f>MIN(AP120+AM121-AN121,MAX(0,$AQ121-(E121+I121+M121+Q121+U121+Y121+AC121+AG121+AK121)))</f>
        <v/>
      </c>
      <c r="AP121" s="155">
        <f>ROUND(AP120+AM121-AN121-AO121,2)</f>
        <v/>
      </c>
      <c r="AQ121" s="155">
        <f>MAX(0,$B$6-(D121+H121+L121+P121+T121+X121+AB121+AF121+AJ121+AN121))</f>
        <v/>
      </c>
      <c r="AR121" s="155">
        <f>D121+H121+L121+P121+T121+X121+AB121+AF121+AJ121+AN121+E121+I121+M121+Q121+U121+Y121+AC121+AG121+AK121+AO121</f>
        <v/>
      </c>
      <c r="AS121" s="155">
        <f>C121+G121+K121+O121+S121+W121+AA121+AE121+AI121+AM121</f>
        <v/>
      </c>
      <c r="AT121" s="155">
        <f>F121+J121+N121+R121+V121+Z121+AD121+AH121+AL121+AP121</f>
        <v/>
      </c>
      <c r="AU121" s="157">
        <f>MID(IF(AND(F121=0,F120&gt;0),"; "&amp;$H$10,"")&amp;IF(AND(J121=0,J120&gt;0),"; "&amp;$H$11,"")&amp;IF(AND(N121=0,N120&gt;0),"; "&amp;$H$12,"")&amp;IF(AND(R121=0,R120&gt;0),"; "&amp;$H$13,"")&amp;IF(AND(V121=0,V120&gt;0),"; "&amp;$H$14,"")&amp;IF(AND(Z121=0,Z120&gt;0),"; "&amp;$H$15,"")&amp;IF(AND(AD121=0,AD120&gt;0),"; "&amp;$H$16,"")&amp;IF(AND(AH121=0,AH120&gt;0),"; "&amp;$H$17,"")&amp;IF(AND(AL121=0,AL120&gt;0),"; "&amp;$H$18,"")&amp;IF(AND(AP121=0,AP120&gt;0),"; "&amp;$H$19,""),3,200)</f>
        <v/>
      </c>
    </row>
    <row r="122">
      <c r="A122" s="154" t="n">
        <v>32</v>
      </c>
      <c r="B122" s="156">
        <f>EDATE($B$5,A122-1)</f>
        <v/>
      </c>
      <c r="C122" s="155">
        <f>ROUND(F121*$J$10,2)</f>
        <v/>
      </c>
      <c r="D122" s="155">
        <f>MIN($K$10,F121+C122)</f>
        <v/>
      </c>
      <c r="E122" s="155">
        <f>MIN(F121+C122-D122,MAX(0,$AQ122-(0)))</f>
        <v/>
      </c>
      <c r="F122" s="155">
        <f>ROUND(F121+C122-D122-E122,2)</f>
        <v/>
      </c>
      <c r="G122" s="155">
        <f>ROUND(J121*$J$11,2)</f>
        <v/>
      </c>
      <c r="H122" s="155">
        <f>MIN($K$11,J121+G122)</f>
        <v/>
      </c>
      <c r="I122" s="155">
        <f>MIN(J121+G122-H122,MAX(0,$AQ122-(E122)))</f>
        <v/>
      </c>
      <c r="J122" s="155">
        <f>ROUND(J121+G122-H122-I122,2)</f>
        <v/>
      </c>
      <c r="K122" s="155">
        <f>ROUND(N121*$J$12,2)</f>
        <v/>
      </c>
      <c r="L122" s="155">
        <f>MIN($K$12,N121+K122)</f>
        <v/>
      </c>
      <c r="M122" s="155">
        <f>MIN(N121+K122-L122,MAX(0,$AQ122-(E122+I122)))</f>
        <v/>
      </c>
      <c r="N122" s="155">
        <f>ROUND(N121+K122-L122-M122,2)</f>
        <v/>
      </c>
      <c r="O122" s="155">
        <f>ROUND(R121*$J$13,2)</f>
        <v/>
      </c>
      <c r="P122" s="155">
        <f>MIN($K$13,R121+O122)</f>
        <v/>
      </c>
      <c r="Q122" s="155">
        <f>MIN(R121+O122-P122,MAX(0,$AQ122-(E122+I122+M122)))</f>
        <v/>
      </c>
      <c r="R122" s="155">
        <f>ROUND(R121+O122-P122-Q122,2)</f>
        <v/>
      </c>
      <c r="S122" s="155">
        <f>ROUND(V121*$J$14,2)</f>
        <v/>
      </c>
      <c r="T122" s="155">
        <f>MIN($K$14,V121+S122)</f>
        <v/>
      </c>
      <c r="U122" s="155">
        <f>MIN(V121+S122-T122,MAX(0,$AQ122-(E122+I122+M122+Q122)))</f>
        <v/>
      </c>
      <c r="V122" s="155">
        <f>ROUND(V121+S122-T122-U122,2)</f>
        <v/>
      </c>
      <c r="W122" s="155">
        <f>ROUND(Z121*$J$15,2)</f>
        <v/>
      </c>
      <c r="X122" s="155">
        <f>MIN($K$15,Z121+W122)</f>
        <v/>
      </c>
      <c r="Y122" s="155">
        <f>MIN(Z121+W122-X122,MAX(0,$AQ122-(E122+I122+M122+Q122+U122)))</f>
        <v/>
      </c>
      <c r="Z122" s="155">
        <f>ROUND(Z121+W122-X122-Y122,2)</f>
        <v/>
      </c>
      <c r="AA122" s="155">
        <f>ROUND(AD121*$J$16,2)</f>
        <v/>
      </c>
      <c r="AB122" s="155">
        <f>MIN($K$16,AD121+AA122)</f>
        <v/>
      </c>
      <c r="AC122" s="155">
        <f>MIN(AD121+AA122-AB122,MAX(0,$AQ122-(E122+I122+M122+Q122+U122+Y122)))</f>
        <v/>
      </c>
      <c r="AD122" s="155">
        <f>ROUND(AD121+AA122-AB122-AC122,2)</f>
        <v/>
      </c>
      <c r="AE122" s="155">
        <f>ROUND(AH121*$J$17,2)</f>
        <v/>
      </c>
      <c r="AF122" s="155">
        <f>MIN($K$17,AH121+AE122)</f>
        <v/>
      </c>
      <c r="AG122" s="155">
        <f>MIN(AH121+AE122-AF122,MAX(0,$AQ122-(E122+I122+M122+Q122+U122+Y122+AC122)))</f>
        <v/>
      </c>
      <c r="AH122" s="155">
        <f>ROUND(AH121+AE122-AF122-AG122,2)</f>
        <v/>
      </c>
      <c r="AI122" s="155">
        <f>ROUND(AL121*$J$18,2)</f>
        <v/>
      </c>
      <c r="AJ122" s="155">
        <f>MIN($K$18,AL121+AI122)</f>
        <v/>
      </c>
      <c r="AK122" s="155">
        <f>MIN(AL121+AI122-AJ122,MAX(0,$AQ122-(E122+I122+M122+Q122+U122+Y122+AC122+AG122)))</f>
        <v/>
      </c>
      <c r="AL122" s="155">
        <f>ROUND(AL121+AI122-AJ122-AK122,2)</f>
        <v/>
      </c>
      <c r="AM122" s="155">
        <f>ROUND(AP121*$J$19,2)</f>
        <v/>
      </c>
      <c r="AN122" s="155">
        <f>MIN($K$19,AP121+AM122)</f>
        <v/>
      </c>
      <c r="AO122" s="155">
        <f>MIN(AP121+AM122-AN122,MAX(0,$AQ122-(E122+I122+M122+Q122+U122+Y122+AC122+AG122+AK122)))</f>
        <v/>
      </c>
      <c r="AP122" s="155">
        <f>ROUND(AP121+AM122-AN122-AO122,2)</f>
        <v/>
      </c>
      <c r="AQ122" s="155">
        <f>MAX(0,$B$6-(D122+H122+L122+P122+T122+X122+AB122+AF122+AJ122+AN122))</f>
        <v/>
      </c>
      <c r="AR122" s="155">
        <f>D122+H122+L122+P122+T122+X122+AB122+AF122+AJ122+AN122+E122+I122+M122+Q122+U122+Y122+AC122+AG122+AK122+AO122</f>
        <v/>
      </c>
      <c r="AS122" s="155">
        <f>C122+G122+K122+O122+S122+W122+AA122+AE122+AI122+AM122</f>
        <v/>
      </c>
      <c r="AT122" s="155">
        <f>F122+J122+N122+R122+V122+Z122+AD122+AH122+AL122+AP122</f>
        <v/>
      </c>
      <c r="AU122" s="157">
        <f>MID(IF(AND(F122=0,F121&gt;0),"; "&amp;$H$10,"")&amp;IF(AND(J122=0,J121&gt;0),"; "&amp;$H$11,"")&amp;IF(AND(N122=0,N121&gt;0),"; "&amp;$H$12,"")&amp;IF(AND(R122=0,R121&gt;0),"; "&amp;$H$13,"")&amp;IF(AND(V122=0,V121&gt;0),"; "&amp;$H$14,"")&amp;IF(AND(Z122=0,Z121&gt;0),"; "&amp;$H$15,"")&amp;IF(AND(AD122=0,AD121&gt;0),"; "&amp;$H$16,"")&amp;IF(AND(AH122=0,AH121&gt;0),"; "&amp;$H$17,"")&amp;IF(AND(AL122=0,AL121&gt;0),"; "&amp;$H$18,"")&amp;IF(AND(AP122=0,AP121&gt;0),"; "&amp;$H$19,""),3,200)</f>
        <v/>
      </c>
    </row>
    <row r="123">
      <c r="A123" s="154" t="n">
        <v>33</v>
      </c>
      <c r="B123" s="156">
        <f>EDATE($B$5,A123-1)</f>
        <v/>
      </c>
      <c r="C123" s="155">
        <f>ROUND(F122*$J$10,2)</f>
        <v/>
      </c>
      <c r="D123" s="155">
        <f>MIN($K$10,F122+C123)</f>
        <v/>
      </c>
      <c r="E123" s="155">
        <f>MIN(F122+C123-D123,MAX(0,$AQ123-(0)))</f>
        <v/>
      </c>
      <c r="F123" s="155">
        <f>ROUND(F122+C123-D123-E123,2)</f>
        <v/>
      </c>
      <c r="G123" s="155">
        <f>ROUND(J122*$J$11,2)</f>
        <v/>
      </c>
      <c r="H123" s="155">
        <f>MIN($K$11,J122+G123)</f>
        <v/>
      </c>
      <c r="I123" s="155">
        <f>MIN(J122+G123-H123,MAX(0,$AQ123-(E123)))</f>
        <v/>
      </c>
      <c r="J123" s="155">
        <f>ROUND(J122+G123-H123-I123,2)</f>
        <v/>
      </c>
      <c r="K123" s="155">
        <f>ROUND(N122*$J$12,2)</f>
        <v/>
      </c>
      <c r="L123" s="155">
        <f>MIN($K$12,N122+K123)</f>
        <v/>
      </c>
      <c r="M123" s="155">
        <f>MIN(N122+K123-L123,MAX(0,$AQ123-(E123+I123)))</f>
        <v/>
      </c>
      <c r="N123" s="155">
        <f>ROUND(N122+K123-L123-M123,2)</f>
        <v/>
      </c>
      <c r="O123" s="155">
        <f>ROUND(R122*$J$13,2)</f>
        <v/>
      </c>
      <c r="P123" s="155">
        <f>MIN($K$13,R122+O123)</f>
        <v/>
      </c>
      <c r="Q123" s="155">
        <f>MIN(R122+O123-P123,MAX(0,$AQ123-(E123+I123+M123)))</f>
        <v/>
      </c>
      <c r="R123" s="155">
        <f>ROUND(R122+O123-P123-Q123,2)</f>
        <v/>
      </c>
      <c r="S123" s="155">
        <f>ROUND(V122*$J$14,2)</f>
        <v/>
      </c>
      <c r="T123" s="155">
        <f>MIN($K$14,V122+S123)</f>
        <v/>
      </c>
      <c r="U123" s="155">
        <f>MIN(V122+S123-T123,MAX(0,$AQ123-(E123+I123+M123+Q123)))</f>
        <v/>
      </c>
      <c r="V123" s="155">
        <f>ROUND(V122+S123-T123-U123,2)</f>
        <v/>
      </c>
      <c r="W123" s="155">
        <f>ROUND(Z122*$J$15,2)</f>
        <v/>
      </c>
      <c r="X123" s="155">
        <f>MIN($K$15,Z122+W123)</f>
        <v/>
      </c>
      <c r="Y123" s="155">
        <f>MIN(Z122+W123-X123,MAX(0,$AQ123-(E123+I123+M123+Q123+U123)))</f>
        <v/>
      </c>
      <c r="Z123" s="155">
        <f>ROUND(Z122+W123-X123-Y123,2)</f>
        <v/>
      </c>
      <c r="AA123" s="155">
        <f>ROUND(AD122*$J$16,2)</f>
        <v/>
      </c>
      <c r="AB123" s="155">
        <f>MIN($K$16,AD122+AA123)</f>
        <v/>
      </c>
      <c r="AC123" s="155">
        <f>MIN(AD122+AA123-AB123,MAX(0,$AQ123-(E123+I123+M123+Q123+U123+Y123)))</f>
        <v/>
      </c>
      <c r="AD123" s="155">
        <f>ROUND(AD122+AA123-AB123-AC123,2)</f>
        <v/>
      </c>
      <c r="AE123" s="155">
        <f>ROUND(AH122*$J$17,2)</f>
        <v/>
      </c>
      <c r="AF123" s="155">
        <f>MIN($K$17,AH122+AE123)</f>
        <v/>
      </c>
      <c r="AG123" s="155">
        <f>MIN(AH122+AE123-AF123,MAX(0,$AQ123-(E123+I123+M123+Q123+U123+Y123+AC123)))</f>
        <v/>
      </c>
      <c r="AH123" s="155">
        <f>ROUND(AH122+AE123-AF123-AG123,2)</f>
        <v/>
      </c>
      <c r="AI123" s="155">
        <f>ROUND(AL122*$J$18,2)</f>
        <v/>
      </c>
      <c r="AJ123" s="155">
        <f>MIN($K$18,AL122+AI123)</f>
        <v/>
      </c>
      <c r="AK123" s="155">
        <f>MIN(AL122+AI123-AJ123,MAX(0,$AQ123-(E123+I123+M123+Q123+U123+Y123+AC123+AG123)))</f>
        <v/>
      </c>
      <c r="AL123" s="155">
        <f>ROUND(AL122+AI123-AJ123-AK123,2)</f>
        <v/>
      </c>
      <c r="AM123" s="155">
        <f>ROUND(AP122*$J$19,2)</f>
        <v/>
      </c>
      <c r="AN123" s="155">
        <f>MIN($K$19,AP122+AM123)</f>
        <v/>
      </c>
      <c r="AO123" s="155">
        <f>MIN(AP122+AM123-AN123,MAX(0,$AQ123-(E123+I123+M123+Q123+U123+Y123+AC123+AG123+AK123)))</f>
        <v/>
      </c>
      <c r="AP123" s="155">
        <f>ROUND(AP122+AM123-AN123-AO123,2)</f>
        <v/>
      </c>
      <c r="AQ123" s="155">
        <f>MAX(0,$B$6-(D123+H123+L123+P123+T123+X123+AB123+AF123+AJ123+AN123))</f>
        <v/>
      </c>
      <c r="AR123" s="155">
        <f>D123+H123+L123+P123+T123+X123+AB123+AF123+AJ123+AN123+E123+I123+M123+Q123+U123+Y123+AC123+AG123+AK123+AO123</f>
        <v/>
      </c>
      <c r="AS123" s="155">
        <f>C123+G123+K123+O123+S123+W123+AA123+AE123+AI123+AM123</f>
        <v/>
      </c>
      <c r="AT123" s="155">
        <f>F123+J123+N123+R123+V123+Z123+AD123+AH123+AL123+AP123</f>
        <v/>
      </c>
      <c r="AU123" s="157">
        <f>MID(IF(AND(F123=0,F122&gt;0),"; "&amp;$H$10,"")&amp;IF(AND(J123=0,J122&gt;0),"; "&amp;$H$11,"")&amp;IF(AND(N123=0,N122&gt;0),"; "&amp;$H$12,"")&amp;IF(AND(R123=0,R122&gt;0),"; "&amp;$H$13,"")&amp;IF(AND(V123=0,V122&gt;0),"; "&amp;$H$14,"")&amp;IF(AND(Z123=0,Z122&gt;0),"; "&amp;$H$15,"")&amp;IF(AND(AD123=0,AD122&gt;0),"; "&amp;$H$16,"")&amp;IF(AND(AH123=0,AH122&gt;0),"; "&amp;$H$17,"")&amp;IF(AND(AL123=0,AL122&gt;0),"; "&amp;$H$18,"")&amp;IF(AND(AP123=0,AP122&gt;0),"; "&amp;$H$19,""),3,200)</f>
        <v/>
      </c>
    </row>
    <row r="124">
      <c r="A124" s="154" t="n">
        <v>34</v>
      </c>
      <c r="B124" s="156">
        <f>EDATE($B$5,A124-1)</f>
        <v/>
      </c>
      <c r="C124" s="155">
        <f>ROUND(F123*$J$10,2)</f>
        <v/>
      </c>
      <c r="D124" s="155">
        <f>MIN($K$10,F123+C124)</f>
        <v/>
      </c>
      <c r="E124" s="155">
        <f>MIN(F123+C124-D124,MAX(0,$AQ124-(0)))</f>
        <v/>
      </c>
      <c r="F124" s="155">
        <f>ROUND(F123+C124-D124-E124,2)</f>
        <v/>
      </c>
      <c r="G124" s="155">
        <f>ROUND(J123*$J$11,2)</f>
        <v/>
      </c>
      <c r="H124" s="155">
        <f>MIN($K$11,J123+G124)</f>
        <v/>
      </c>
      <c r="I124" s="155">
        <f>MIN(J123+G124-H124,MAX(0,$AQ124-(E124)))</f>
        <v/>
      </c>
      <c r="J124" s="155">
        <f>ROUND(J123+G124-H124-I124,2)</f>
        <v/>
      </c>
      <c r="K124" s="155">
        <f>ROUND(N123*$J$12,2)</f>
        <v/>
      </c>
      <c r="L124" s="155">
        <f>MIN($K$12,N123+K124)</f>
        <v/>
      </c>
      <c r="M124" s="155">
        <f>MIN(N123+K124-L124,MAX(0,$AQ124-(E124+I124)))</f>
        <v/>
      </c>
      <c r="N124" s="155">
        <f>ROUND(N123+K124-L124-M124,2)</f>
        <v/>
      </c>
      <c r="O124" s="155">
        <f>ROUND(R123*$J$13,2)</f>
        <v/>
      </c>
      <c r="P124" s="155">
        <f>MIN($K$13,R123+O124)</f>
        <v/>
      </c>
      <c r="Q124" s="155">
        <f>MIN(R123+O124-P124,MAX(0,$AQ124-(E124+I124+M124)))</f>
        <v/>
      </c>
      <c r="R124" s="155">
        <f>ROUND(R123+O124-P124-Q124,2)</f>
        <v/>
      </c>
      <c r="S124" s="155">
        <f>ROUND(V123*$J$14,2)</f>
        <v/>
      </c>
      <c r="T124" s="155">
        <f>MIN($K$14,V123+S124)</f>
        <v/>
      </c>
      <c r="U124" s="155">
        <f>MIN(V123+S124-T124,MAX(0,$AQ124-(E124+I124+M124+Q124)))</f>
        <v/>
      </c>
      <c r="V124" s="155">
        <f>ROUND(V123+S124-T124-U124,2)</f>
        <v/>
      </c>
      <c r="W124" s="155">
        <f>ROUND(Z123*$J$15,2)</f>
        <v/>
      </c>
      <c r="X124" s="155">
        <f>MIN($K$15,Z123+W124)</f>
        <v/>
      </c>
      <c r="Y124" s="155">
        <f>MIN(Z123+W124-X124,MAX(0,$AQ124-(E124+I124+M124+Q124+U124)))</f>
        <v/>
      </c>
      <c r="Z124" s="155">
        <f>ROUND(Z123+W124-X124-Y124,2)</f>
        <v/>
      </c>
      <c r="AA124" s="155">
        <f>ROUND(AD123*$J$16,2)</f>
        <v/>
      </c>
      <c r="AB124" s="155">
        <f>MIN($K$16,AD123+AA124)</f>
        <v/>
      </c>
      <c r="AC124" s="155">
        <f>MIN(AD123+AA124-AB124,MAX(0,$AQ124-(E124+I124+M124+Q124+U124+Y124)))</f>
        <v/>
      </c>
      <c r="AD124" s="155">
        <f>ROUND(AD123+AA124-AB124-AC124,2)</f>
        <v/>
      </c>
      <c r="AE124" s="155">
        <f>ROUND(AH123*$J$17,2)</f>
        <v/>
      </c>
      <c r="AF124" s="155">
        <f>MIN($K$17,AH123+AE124)</f>
        <v/>
      </c>
      <c r="AG124" s="155">
        <f>MIN(AH123+AE124-AF124,MAX(0,$AQ124-(E124+I124+M124+Q124+U124+Y124+AC124)))</f>
        <v/>
      </c>
      <c r="AH124" s="155">
        <f>ROUND(AH123+AE124-AF124-AG124,2)</f>
        <v/>
      </c>
      <c r="AI124" s="155">
        <f>ROUND(AL123*$J$18,2)</f>
        <v/>
      </c>
      <c r="AJ124" s="155">
        <f>MIN($K$18,AL123+AI124)</f>
        <v/>
      </c>
      <c r="AK124" s="155">
        <f>MIN(AL123+AI124-AJ124,MAX(0,$AQ124-(E124+I124+M124+Q124+U124+Y124+AC124+AG124)))</f>
        <v/>
      </c>
      <c r="AL124" s="155">
        <f>ROUND(AL123+AI124-AJ124-AK124,2)</f>
        <v/>
      </c>
      <c r="AM124" s="155">
        <f>ROUND(AP123*$J$19,2)</f>
        <v/>
      </c>
      <c r="AN124" s="155">
        <f>MIN($K$19,AP123+AM124)</f>
        <v/>
      </c>
      <c r="AO124" s="155">
        <f>MIN(AP123+AM124-AN124,MAX(0,$AQ124-(E124+I124+M124+Q124+U124+Y124+AC124+AG124+AK124)))</f>
        <v/>
      </c>
      <c r="AP124" s="155">
        <f>ROUND(AP123+AM124-AN124-AO124,2)</f>
        <v/>
      </c>
      <c r="AQ124" s="155">
        <f>MAX(0,$B$6-(D124+H124+L124+P124+T124+X124+AB124+AF124+AJ124+AN124))</f>
        <v/>
      </c>
      <c r="AR124" s="155">
        <f>D124+H124+L124+P124+T124+X124+AB124+AF124+AJ124+AN124+E124+I124+M124+Q124+U124+Y124+AC124+AG124+AK124+AO124</f>
        <v/>
      </c>
      <c r="AS124" s="155">
        <f>C124+G124+K124+O124+S124+W124+AA124+AE124+AI124+AM124</f>
        <v/>
      </c>
      <c r="AT124" s="155">
        <f>F124+J124+N124+R124+V124+Z124+AD124+AH124+AL124+AP124</f>
        <v/>
      </c>
      <c r="AU124" s="157">
        <f>MID(IF(AND(F124=0,F123&gt;0),"; "&amp;$H$10,"")&amp;IF(AND(J124=0,J123&gt;0),"; "&amp;$H$11,"")&amp;IF(AND(N124=0,N123&gt;0),"; "&amp;$H$12,"")&amp;IF(AND(R124=0,R123&gt;0),"; "&amp;$H$13,"")&amp;IF(AND(V124=0,V123&gt;0),"; "&amp;$H$14,"")&amp;IF(AND(Z124=0,Z123&gt;0),"; "&amp;$H$15,"")&amp;IF(AND(AD124=0,AD123&gt;0),"; "&amp;$H$16,"")&amp;IF(AND(AH124=0,AH123&gt;0),"; "&amp;$H$17,"")&amp;IF(AND(AL124=0,AL123&gt;0),"; "&amp;$H$18,"")&amp;IF(AND(AP124=0,AP123&gt;0),"; "&amp;$H$19,""),3,200)</f>
        <v/>
      </c>
    </row>
    <row r="125">
      <c r="A125" s="154" t="n">
        <v>35</v>
      </c>
      <c r="B125" s="156">
        <f>EDATE($B$5,A125-1)</f>
        <v/>
      </c>
      <c r="C125" s="155">
        <f>ROUND(F124*$J$10,2)</f>
        <v/>
      </c>
      <c r="D125" s="155">
        <f>MIN($K$10,F124+C125)</f>
        <v/>
      </c>
      <c r="E125" s="155">
        <f>MIN(F124+C125-D125,MAX(0,$AQ125-(0)))</f>
        <v/>
      </c>
      <c r="F125" s="155">
        <f>ROUND(F124+C125-D125-E125,2)</f>
        <v/>
      </c>
      <c r="G125" s="155">
        <f>ROUND(J124*$J$11,2)</f>
        <v/>
      </c>
      <c r="H125" s="155">
        <f>MIN($K$11,J124+G125)</f>
        <v/>
      </c>
      <c r="I125" s="155">
        <f>MIN(J124+G125-H125,MAX(0,$AQ125-(E125)))</f>
        <v/>
      </c>
      <c r="J125" s="155">
        <f>ROUND(J124+G125-H125-I125,2)</f>
        <v/>
      </c>
      <c r="K125" s="155">
        <f>ROUND(N124*$J$12,2)</f>
        <v/>
      </c>
      <c r="L125" s="155">
        <f>MIN($K$12,N124+K125)</f>
        <v/>
      </c>
      <c r="M125" s="155">
        <f>MIN(N124+K125-L125,MAX(0,$AQ125-(E125+I125)))</f>
        <v/>
      </c>
      <c r="N125" s="155">
        <f>ROUND(N124+K125-L125-M125,2)</f>
        <v/>
      </c>
      <c r="O125" s="155">
        <f>ROUND(R124*$J$13,2)</f>
        <v/>
      </c>
      <c r="P125" s="155">
        <f>MIN($K$13,R124+O125)</f>
        <v/>
      </c>
      <c r="Q125" s="155">
        <f>MIN(R124+O125-P125,MAX(0,$AQ125-(E125+I125+M125)))</f>
        <v/>
      </c>
      <c r="R125" s="155">
        <f>ROUND(R124+O125-P125-Q125,2)</f>
        <v/>
      </c>
      <c r="S125" s="155">
        <f>ROUND(V124*$J$14,2)</f>
        <v/>
      </c>
      <c r="T125" s="155">
        <f>MIN($K$14,V124+S125)</f>
        <v/>
      </c>
      <c r="U125" s="155">
        <f>MIN(V124+S125-T125,MAX(0,$AQ125-(E125+I125+M125+Q125)))</f>
        <v/>
      </c>
      <c r="V125" s="155">
        <f>ROUND(V124+S125-T125-U125,2)</f>
        <v/>
      </c>
      <c r="W125" s="155">
        <f>ROUND(Z124*$J$15,2)</f>
        <v/>
      </c>
      <c r="X125" s="155">
        <f>MIN($K$15,Z124+W125)</f>
        <v/>
      </c>
      <c r="Y125" s="155">
        <f>MIN(Z124+W125-X125,MAX(0,$AQ125-(E125+I125+M125+Q125+U125)))</f>
        <v/>
      </c>
      <c r="Z125" s="155">
        <f>ROUND(Z124+W125-X125-Y125,2)</f>
        <v/>
      </c>
      <c r="AA125" s="155">
        <f>ROUND(AD124*$J$16,2)</f>
        <v/>
      </c>
      <c r="AB125" s="155">
        <f>MIN($K$16,AD124+AA125)</f>
        <v/>
      </c>
      <c r="AC125" s="155">
        <f>MIN(AD124+AA125-AB125,MAX(0,$AQ125-(E125+I125+M125+Q125+U125+Y125)))</f>
        <v/>
      </c>
      <c r="AD125" s="155">
        <f>ROUND(AD124+AA125-AB125-AC125,2)</f>
        <v/>
      </c>
      <c r="AE125" s="155">
        <f>ROUND(AH124*$J$17,2)</f>
        <v/>
      </c>
      <c r="AF125" s="155">
        <f>MIN($K$17,AH124+AE125)</f>
        <v/>
      </c>
      <c r="AG125" s="155">
        <f>MIN(AH124+AE125-AF125,MAX(0,$AQ125-(E125+I125+M125+Q125+U125+Y125+AC125)))</f>
        <v/>
      </c>
      <c r="AH125" s="155">
        <f>ROUND(AH124+AE125-AF125-AG125,2)</f>
        <v/>
      </c>
      <c r="AI125" s="155">
        <f>ROUND(AL124*$J$18,2)</f>
        <v/>
      </c>
      <c r="AJ125" s="155">
        <f>MIN($K$18,AL124+AI125)</f>
        <v/>
      </c>
      <c r="AK125" s="155">
        <f>MIN(AL124+AI125-AJ125,MAX(0,$AQ125-(E125+I125+M125+Q125+U125+Y125+AC125+AG125)))</f>
        <v/>
      </c>
      <c r="AL125" s="155">
        <f>ROUND(AL124+AI125-AJ125-AK125,2)</f>
        <v/>
      </c>
      <c r="AM125" s="155">
        <f>ROUND(AP124*$J$19,2)</f>
        <v/>
      </c>
      <c r="AN125" s="155">
        <f>MIN($K$19,AP124+AM125)</f>
        <v/>
      </c>
      <c r="AO125" s="155">
        <f>MIN(AP124+AM125-AN125,MAX(0,$AQ125-(E125+I125+M125+Q125+U125+Y125+AC125+AG125+AK125)))</f>
        <v/>
      </c>
      <c r="AP125" s="155">
        <f>ROUND(AP124+AM125-AN125-AO125,2)</f>
        <v/>
      </c>
      <c r="AQ125" s="155">
        <f>MAX(0,$B$6-(D125+H125+L125+P125+T125+X125+AB125+AF125+AJ125+AN125))</f>
        <v/>
      </c>
      <c r="AR125" s="155">
        <f>D125+H125+L125+P125+T125+X125+AB125+AF125+AJ125+AN125+E125+I125+M125+Q125+U125+Y125+AC125+AG125+AK125+AO125</f>
        <v/>
      </c>
      <c r="AS125" s="155">
        <f>C125+G125+K125+O125+S125+W125+AA125+AE125+AI125+AM125</f>
        <v/>
      </c>
      <c r="AT125" s="155">
        <f>F125+J125+N125+R125+V125+Z125+AD125+AH125+AL125+AP125</f>
        <v/>
      </c>
      <c r="AU125" s="157">
        <f>MID(IF(AND(F125=0,F124&gt;0),"; "&amp;$H$10,"")&amp;IF(AND(J125=0,J124&gt;0),"; "&amp;$H$11,"")&amp;IF(AND(N125=0,N124&gt;0),"; "&amp;$H$12,"")&amp;IF(AND(R125=0,R124&gt;0),"; "&amp;$H$13,"")&amp;IF(AND(V125=0,V124&gt;0),"; "&amp;$H$14,"")&amp;IF(AND(Z125=0,Z124&gt;0),"; "&amp;$H$15,"")&amp;IF(AND(AD125=0,AD124&gt;0),"; "&amp;$H$16,"")&amp;IF(AND(AH125=0,AH124&gt;0),"; "&amp;$H$17,"")&amp;IF(AND(AL125=0,AL124&gt;0),"; "&amp;$H$18,"")&amp;IF(AND(AP125=0,AP124&gt;0),"; "&amp;$H$19,""),3,200)</f>
        <v/>
      </c>
    </row>
    <row r="126">
      <c r="A126" s="154" t="n">
        <v>36</v>
      </c>
      <c r="B126" s="156">
        <f>EDATE($B$5,A126-1)</f>
        <v/>
      </c>
      <c r="C126" s="155">
        <f>ROUND(F125*$J$10,2)</f>
        <v/>
      </c>
      <c r="D126" s="155">
        <f>MIN($K$10,F125+C126)</f>
        <v/>
      </c>
      <c r="E126" s="155">
        <f>MIN(F125+C126-D126,MAX(0,$AQ126-(0)))</f>
        <v/>
      </c>
      <c r="F126" s="155">
        <f>ROUND(F125+C126-D126-E126,2)</f>
        <v/>
      </c>
      <c r="G126" s="155">
        <f>ROUND(J125*$J$11,2)</f>
        <v/>
      </c>
      <c r="H126" s="155">
        <f>MIN($K$11,J125+G126)</f>
        <v/>
      </c>
      <c r="I126" s="155">
        <f>MIN(J125+G126-H126,MAX(0,$AQ126-(E126)))</f>
        <v/>
      </c>
      <c r="J126" s="155">
        <f>ROUND(J125+G126-H126-I126,2)</f>
        <v/>
      </c>
      <c r="K126" s="155">
        <f>ROUND(N125*$J$12,2)</f>
        <v/>
      </c>
      <c r="L126" s="155">
        <f>MIN($K$12,N125+K126)</f>
        <v/>
      </c>
      <c r="M126" s="155">
        <f>MIN(N125+K126-L126,MAX(0,$AQ126-(E126+I126)))</f>
        <v/>
      </c>
      <c r="N126" s="155">
        <f>ROUND(N125+K126-L126-M126,2)</f>
        <v/>
      </c>
      <c r="O126" s="155">
        <f>ROUND(R125*$J$13,2)</f>
        <v/>
      </c>
      <c r="P126" s="155">
        <f>MIN($K$13,R125+O126)</f>
        <v/>
      </c>
      <c r="Q126" s="155">
        <f>MIN(R125+O126-P126,MAX(0,$AQ126-(E126+I126+M126)))</f>
        <v/>
      </c>
      <c r="R126" s="155">
        <f>ROUND(R125+O126-P126-Q126,2)</f>
        <v/>
      </c>
      <c r="S126" s="155">
        <f>ROUND(V125*$J$14,2)</f>
        <v/>
      </c>
      <c r="T126" s="155">
        <f>MIN($K$14,V125+S126)</f>
        <v/>
      </c>
      <c r="U126" s="155">
        <f>MIN(V125+S126-T126,MAX(0,$AQ126-(E126+I126+M126+Q126)))</f>
        <v/>
      </c>
      <c r="V126" s="155">
        <f>ROUND(V125+S126-T126-U126,2)</f>
        <v/>
      </c>
      <c r="W126" s="155">
        <f>ROUND(Z125*$J$15,2)</f>
        <v/>
      </c>
      <c r="X126" s="155">
        <f>MIN($K$15,Z125+W126)</f>
        <v/>
      </c>
      <c r="Y126" s="155">
        <f>MIN(Z125+W126-X126,MAX(0,$AQ126-(E126+I126+M126+Q126+U126)))</f>
        <v/>
      </c>
      <c r="Z126" s="155">
        <f>ROUND(Z125+W126-X126-Y126,2)</f>
        <v/>
      </c>
      <c r="AA126" s="155">
        <f>ROUND(AD125*$J$16,2)</f>
        <v/>
      </c>
      <c r="AB126" s="155">
        <f>MIN($K$16,AD125+AA126)</f>
        <v/>
      </c>
      <c r="AC126" s="155">
        <f>MIN(AD125+AA126-AB126,MAX(0,$AQ126-(E126+I126+M126+Q126+U126+Y126)))</f>
        <v/>
      </c>
      <c r="AD126" s="155">
        <f>ROUND(AD125+AA126-AB126-AC126,2)</f>
        <v/>
      </c>
      <c r="AE126" s="155">
        <f>ROUND(AH125*$J$17,2)</f>
        <v/>
      </c>
      <c r="AF126" s="155">
        <f>MIN($K$17,AH125+AE126)</f>
        <v/>
      </c>
      <c r="AG126" s="155">
        <f>MIN(AH125+AE126-AF126,MAX(0,$AQ126-(E126+I126+M126+Q126+U126+Y126+AC126)))</f>
        <v/>
      </c>
      <c r="AH126" s="155">
        <f>ROUND(AH125+AE126-AF126-AG126,2)</f>
        <v/>
      </c>
      <c r="AI126" s="155">
        <f>ROUND(AL125*$J$18,2)</f>
        <v/>
      </c>
      <c r="AJ126" s="155">
        <f>MIN($K$18,AL125+AI126)</f>
        <v/>
      </c>
      <c r="AK126" s="155">
        <f>MIN(AL125+AI126-AJ126,MAX(0,$AQ126-(E126+I126+M126+Q126+U126+Y126+AC126+AG126)))</f>
        <v/>
      </c>
      <c r="AL126" s="155">
        <f>ROUND(AL125+AI126-AJ126-AK126,2)</f>
        <v/>
      </c>
      <c r="AM126" s="155">
        <f>ROUND(AP125*$J$19,2)</f>
        <v/>
      </c>
      <c r="AN126" s="155">
        <f>MIN($K$19,AP125+AM126)</f>
        <v/>
      </c>
      <c r="AO126" s="155">
        <f>MIN(AP125+AM126-AN126,MAX(0,$AQ126-(E126+I126+M126+Q126+U126+Y126+AC126+AG126+AK126)))</f>
        <v/>
      </c>
      <c r="AP126" s="155">
        <f>ROUND(AP125+AM126-AN126-AO126,2)</f>
        <v/>
      </c>
      <c r="AQ126" s="155">
        <f>MAX(0,$B$6-(D126+H126+L126+P126+T126+X126+AB126+AF126+AJ126+AN126))</f>
        <v/>
      </c>
      <c r="AR126" s="155">
        <f>D126+H126+L126+P126+T126+X126+AB126+AF126+AJ126+AN126+E126+I126+M126+Q126+U126+Y126+AC126+AG126+AK126+AO126</f>
        <v/>
      </c>
      <c r="AS126" s="155">
        <f>C126+G126+K126+O126+S126+W126+AA126+AE126+AI126+AM126</f>
        <v/>
      </c>
      <c r="AT126" s="155">
        <f>F126+J126+N126+R126+V126+Z126+AD126+AH126+AL126+AP126</f>
        <v/>
      </c>
      <c r="AU126" s="157">
        <f>MID(IF(AND(F126=0,F125&gt;0),"; "&amp;$H$10,"")&amp;IF(AND(J126=0,J125&gt;0),"; "&amp;$H$11,"")&amp;IF(AND(N126=0,N125&gt;0),"; "&amp;$H$12,"")&amp;IF(AND(R126=0,R125&gt;0),"; "&amp;$H$13,"")&amp;IF(AND(V126=0,V125&gt;0),"; "&amp;$H$14,"")&amp;IF(AND(Z126=0,Z125&gt;0),"; "&amp;$H$15,"")&amp;IF(AND(AD126=0,AD125&gt;0),"; "&amp;$H$16,"")&amp;IF(AND(AH126=0,AH125&gt;0),"; "&amp;$H$17,"")&amp;IF(AND(AL126=0,AL125&gt;0),"; "&amp;$H$18,"")&amp;IF(AND(AP126=0,AP125&gt;0),"; "&amp;$H$19,""),3,200)</f>
        <v/>
      </c>
    </row>
    <row r="127">
      <c r="A127" s="154" t="n">
        <v>37</v>
      </c>
      <c r="B127" s="156">
        <f>EDATE($B$5,A127-1)</f>
        <v/>
      </c>
      <c r="C127" s="155">
        <f>ROUND(F126*$J$10,2)</f>
        <v/>
      </c>
      <c r="D127" s="155">
        <f>MIN($K$10,F126+C127)</f>
        <v/>
      </c>
      <c r="E127" s="155">
        <f>MIN(F126+C127-D127,MAX(0,$AQ127-(0)))</f>
        <v/>
      </c>
      <c r="F127" s="155">
        <f>ROUND(F126+C127-D127-E127,2)</f>
        <v/>
      </c>
      <c r="G127" s="155">
        <f>ROUND(J126*$J$11,2)</f>
        <v/>
      </c>
      <c r="H127" s="155">
        <f>MIN($K$11,J126+G127)</f>
        <v/>
      </c>
      <c r="I127" s="155">
        <f>MIN(J126+G127-H127,MAX(0,$AQ127-(E127)))</f>
        <v/>
      </c>
      <c r="J127" s="155">
        <f>ROUND(J126+G127-H127-I127,2)</f>
        <v/>
      </c>
      <c r="K127" s="155">
        <f>ROUND(N126*$J$12,2)</f>
        <v/>
      </c>
      <c r="L127" s="155">
        <f>MIN($K$12,N126+K127)</f>
        <v/>
      </c>
      <c r="M127" s="155">
        <f>MIN(N126+K127-L127,MAX(0,$AQ127-(E127+I127)))</f>
        <v/>
      </c>
      <c r="N127" s="155">
        <f>ROUND(N126+K127-L127-M127,2)</f>
        <v/>
      </c>
      <c r="O127" s="155">
        <f>ROUND(R126*$J$13,2)</f>
        <v/>
      </c>
      <c r="P127" s="155">
        <f>MIN($K$13,R126+O127)</f>
        <v/>
      </c>
      <c r="Q127" s="155">
        <f>MIN(R126+O127-P127,MAX(0,$AQ127-(E127+I127+M127)))</f>
        <v/>
      </c>
      <c r="R127" s="155">
        <f>ROUND(R126+O127-P127-Q127,2)</f>
        <v/>
      </c>
      <c r="S127" s="155">
        <f>ROUND(V126*$J$14,2)</f>
        <v/>
      </c>
      <c r="T127" s="155">
        <f>MIN($K$14,V126+S127)</f>
        <v/>
      </c>
      <c r="U127" s="155">
        <f>MIN(V126+S127-T127,MAX(0,$AQ127-(E127+I127+M127+Q127)))</f>
        <v/>
      </c>
      <c r="V127" s="155">
        <f>ROUND(V126+S127-T127-U127,2)</f>
        <v/>
      </c>
      <c r="W127" s="155">
        <f>ROUND(Z126*$J$15,2)</f>
        <v/>
      </c>
      <c r="X127" s="155">
        <f>MIN($K$15,Z126+W127)</f>
        <v/>
      </c>
      <c r="Y127" s="155">
        <f>MIN(Z126+W127-X127,MAX(0,$AQ127-(E127+I127+M127+Q127+U127)))</f>
        <v/>
      </c>
      <c r="Z127" s="155">
        <f>ROUND(Z126+W127-X127-Y127,2)</f>
        <v/>
      </c>
      <c r="AA127" s="155">
        <f>ROUND(AD126*$J$16,2)</f>
        <v/>
      </c>
      <c r="AB127" s="155">
        <f>MIN($K$16,AD126+AA127)</f>
        <v/>
      </c>
      <c r="AC127" s="155">
        <f>MIN(AD126+AA127-AB127,MAX(0,$AQ127-(E127+I127+M127+Q127+U127+Y127)))</f>
        <v/>
      </c>
      <c r="AD127" s="155">
        <f>ROUND(AD126+AA127-AB127-AC127,2)</f>
        <v/>
      </c>
      <c r="AE127" s="155">
        <f>ROUND(AH126*$J$17,2)</f>
        <v/>
      </c>
      <c r="AF127" s="155">
        <f>MIN($K$17,AH126+AE127)</f>
        <v/>
      </c>
      <c r="AG127" s="155">
        <f>MIN(AH126+AE127-AF127,MAX(0,$AQ127-(E127+I127+M127+Q127+U127+Y127+AC127)))</f>
        <v/>
      </c>
      <c r="AH127" s="155">
        <f>ROUND(AH126+AE127-AF127-AG127,2)</f>
        <v/>
      </c>
      <c r="AI127" s="155">
        <f>ROUND(AL126*$J$18,2)</f>
        <v/>
      </c>
      <c r="AJ127" s="155">
        <f>MIN($K$18,AL126+AI127)</f>
        <v/>
      </c>
      <c r="AK127" s="155">
        <f>MIN(AL126+AI127-AJ127,MAX(0,$AQ127-(E127+I127+M127+Q127+U127+Y127+AC127+AG127)))</f>
        <v/>
      </c>
      <c r="AL127" s="155">
        <f>ROUND(AL126+AI127-AJ127-AK127,2)</f>
        <v/>
      </c>
      <c r="AM127" s="155">
        <f>ROUND(AP126*$J$19,2)</f>
        <v/>
      </c>
      <c r="AN127" s="155">
        <f>MIN($K$19,AP126+AM127)</f>
        <v/>
      </c>
      <c r="AO127" s="155">
        <f>MIN(AP126+AM127-AN127,MAX(0,$AQ127-(E127+I127+M127+Q127+U127+Y127+AC127+AG127+AK127)))</f>
        <v/>
      </c>
      <c r="AP127" s="155">
        <f>ROUND(AP126+AM127-AN127-AO127,2)</f>
        <v/>
      </c>
      <c r="AQ127" s="155">
        <f>MAX(0,$B$6-(D127+H127+L127+P127+T127+X127+AB127+AF127+AJ127+AN127))</f>
        <v/>
      </c>
      <c r="AR127" s="155">
        <f>D127+H127+L127+P127+T127+X127+AB127+AF127+AJ127+AN127+E127+I127+M127+Q127+U127+Y127+AC127+AG127+AK127+AO127</f>
        <v/>
      </c>
      <c r="AS127" s="155">
        <f>C127+G127+K127+O127+S127+W127+AA127+AE127+AI127+AM127</f>
        <v/>
      </c>
      <c r="AT127" s="155">
        <f>F127+J127+N127+R127+V127+Z127+AD127+AH127+AL127+AP127</f>
        <v/>
      </c>
      <c r="AU127" s="157">
        <f>MID(IF(AND(F127=0,F126&gt;0),"; "&amp;$H$10,"")&amp;IF(AND(J127=0,J126&gt;0),"; "&amp;$H$11,"")&amp;IF(AND(N127=0,N126&gt;0),"; "&amp;$H$12,"")&amp;IF(AND(R127=0,R126&gt;0),"; "&amp;$H$13,"")&amp;IF(AND(V127=0,V126&gt;0),"; "&amp;$H$14,"")&amp;IF(AND(Z127=0,Z126&gt;0),"; "&amp;$H$15,"")&amp;IF(AND(AD127=0,AD126&gt;0),"; "&amp;$H$16,"")&amp;IF(AND(AH127=0,AH126&gt;0),"; "&amp;$H$17,"")&amp;IF(AND(AL127=0,AL126&gt;0),"; "&amp;$H$18,"")&amp;IF(AND(AP127=0,AP126&gt;0),"; "&amp;$H$19,""),3,200)</f>
        <v/>
      </c>
    </row>
    <row r="128">
      <c r="A128" s="154" t="n">
        <v>38</v>
      </c>
      <c r="B128" s="156">
        <f>EDATE($B$5,A128-1)</f>
        <v/>
      </c>
      <c r="C128" s="155">
        <f>ROUND(F127*$J$10,2)</f>
        <v/>
      </c>
      <c r="D128" s="155">
        <f>MIN($K$10,F127+C128)</f>
        <v/>
      </c>
      <c r="E128" s="155">
        <f>MIN(F127+C128-D128,MAX(0,$AQ128-(0)))</f>
        <v/>
      </c>
      <c r="F128" s="155">
        <f>ROUND(F127+C128-D128-E128,2)</f>
        <v/>
      </c>
      <c r="G128" s="155">
        <f>ROUND(J127*$J$11,2)</f>
        <v/>
      </c>
      <c r="H128" s="155">
        <f>MIN($K$11,J127+G128)</f>
        <v/>
      </c>
      <c r="I128" s="155">
        <f>MIN(J127+G128-H128,MAX(0,$AQ128-(E128)))</f>
        <v/>
      </c>
      <c r="J128" s="155">
        <f>ROUND(J127+G128-H128-I128,2)</f>
        <v/>
      </c>
      <c r="K128" s="155">
        <f>ROUND(N127*$J$12,2)</f>
        <v/>
      </c>
      <c r="L128" s="155">
        <f>MIN($K$12,N127+K128)</f>
        <v/>
      </c>
      <c r="M128" s="155">
        <f>MIN(N127+K128-L128,MAX(0,$AQ128-(E128+I128)))</f>
        <v/>
      </c>
      <c r="N128" s="155">
        <f>ROUND(N127+K128-L128-M128,2)</f>
        <v/>
      </c>
      <c r="O128" s="155">
        <f>ROUND(R127*$J$13,2)</f>
        <v/>
      </c>
      <c r="P128" s="155">
        <f>MIN($K$13,R127+O128)</f>
        <v/>
      </c>
      <c r="Q128" s="155">
        <f>MIN(R127+O128-P128,MAX(0,$AQ128-(E128+I128+M128)))</f>
        <v/>
      </c>
      <c r="R128" s="155">
        <f>ROUND(R127+O128-P128-Q128,2)</f>
        <v/>
      </c>
      <c r="S128" s="155">
        <f>ROUND(V127*$J$14,2)</f>
        <v/>
      </c>
      <c r="T128" s="155">
        <f>MIN($K$14,V127+S128)</f>
        <v/>
      </c>
      <c r="U128" s="155">
        <f>MIN(V127+S128-T128,MAX(0,$AQ128-(E128+I128+M128+Q128)))</f>
        <v/>
      </c>
      <c r="V128" s="155">
        <f>ROUND(V127+S128-T128-U128,2)</f>
        <v/>
      </c>
      <c r="W128" s="155">
        <f>ROUND(Z127*$J$15,2)</f>
        <v/>
      </c>
      <c r="X128" s="155">
        <f>MIN($K$15,Z127+W128)</f>
        <v/>
      </c>
      <c r="Y128" s="155">
        <f>MIN(Z127+W128-X128,MAX(0,$AQ128-(E128+I128+M128+Q128+U128)))</f>
        <v/>
      </c>
      <c r="Z128" s="155">
        <f>ROUND(Z127+W128-X128-Y128,2)</f>
        <v/>
      </c>
      <c r="AA128" s="155">
        <f>ROUND(AD127*$J$16,2)</f>
        <v/>
      </c>
      <c r="AB128" s="155">
        <f>MIN($K$16,AD127+AA128)</f>
        <v/>
      </c>
      <c r="AC128" s="155">
        <f>MIN(AD127+AA128-AB128,MAX(0,$AQ128-(E128+I128+M128+Q128+U128+Y128)))</f>
        <v/>
      </c>
      <c r="AD128" s="155">
        <f>ROUND(AD127+AA128-AB128-AC128,2)</f>
        <v/>
      </c>
      <c r="AE128" s="155">
        <f>ROUND(AH127*$J$17,2)</f>
        <v/>
      </c>
      <c r="AF128" s="155">
        <f>MIN($K$17,AH127+AE128)</f>
        <v/>
      </c>
      <c r="AG128" s="155">
        <f>MIN(AH127+AE128-AF128,MAX(0,$AQ128-(E128+I128+M128+Q128+U128+Y128+AC128)))</f>
        <v/>
      </c>
      <c r="AH128" s="155">
        <f>ROUND(AH127+AE128-AF128-AG128,2)</f>
        <v/>
      </c>
      <c r="AI128" s="155">
        <f>ROUND(AL127*$J$18,2)</f>
        <v/>
      </c>
      <c r="AJ128" s="155">
        <f>MIN($K$18,AL127+AI128)</f>
        <v/>
      </c>
      <c r="AK128" s="155">
        <f>MIN(AL127+AI128-AJ128,MAX(0,$AQ128-(E128+I128+M128+Q128+U128+Y128+AC128+AG128)))</f>
        <v/>
      </c>
      <c r="AL128" s="155">
        <f>ROUND(AL127+AI128-AJ128-AK128,2)</f>
        <v/>
      </c>
      <c r="AM128" s="155">
        <f>ROUND(AP127*$J$19,2)</f>
        <v/>
      </c>
      <c r="AN128" s="155">
        <f>MIN($K$19,AP127+AM128)</f>
        <v/>
      </c>
      <c r="AO128" s="155">
        <f>MIN(AP127+AM128-AN128,MAX(0,$AQ128-(E128+I128+M128+Q128+U128+Y128+AC128+AG128+AK128)))</f>
        <v/>
      </c>
      <c r="AP128" s="155">
        <f>ROUND(AP127+AM128-AN128-AO128,2)</f>
        <v/>
      </c>
      <c r="AQ128" s="155">
        <f>MAX(0,$B$6-(D128+H128+L128+P128+T128+X128+AB128+AF128+AJ128+AN128))</f>
        <v/>
      </c>
      <c r="AR128" s="155">
        <f>D128+H128+L128+P128+T128+X128+AB128+AF128+AJ128+AN128+E128+I128+M128+Q128+U128+Y128+AC128+AG128+AK128+AO128</f>
        <v/>
      </c>
      <c r="AS128" s="155">
        <f>C128+G128+K128+O128+S128+W128+AA128+AE128+AI128+AM128</f>
        <v/>
      </c>
      <c r="AT128" s="155">
        <f>F128+J128+N128+R128+V128+Z128+AD128+AH128+AL128+AP128</f>
        <v/>
      </c>
      <c r="AU128" s="157">
        <f>MID(IF(AND(F128=0,F127&gt;0),"; "&amp;$H$10,"")&amp;IF(AND(J128=0,J127&gt;0),"; "&amp;$H$11,"")&amp;IF(AND(N128=0,N127&gt;0),"; "&amp;$H$12,"")&amp;IF(AND(R128=0,R127&gt;0),"; "&amp;$H$13,"")&amp;IF(AND(V128=0,V127&gt;0),"; "&amp;$H$14,"")&amp;IF(AND(Z128=0,Z127&gt;0),"; "&amp;$H$15,"")&amp;IF(AND(AD128=0,AD127&gt;0),"; "&amp;$H$16,"")&amp;IF(AND(AH128=0,AH127&gt;0),"; "&amp;$H$17,"")&amp;IF(AND(AL128=0,AL127&gt;0),"; "&amp;$H$18,"")&amp;IF(AND(AP128=0,AP127&gt;0),"; "&amp;$H$19,""),3,200)</f>
        <v/>
      </c>
    </row>
    <row r="129">
      <c r="A129" s="154" t="n">
        <v>39</v>
      </c>
      <c r="B129" s="156">
        <f>EDATE($B$5,A129-1)</f>
        <v/>
      </c>
      <c r="C129" s="155">
        <f>ROUND(F128*$J$10,2)</f>
        <v/>
      </c>
      <c r="D129" s="155">
        <f>MIN($K$10,F128+C129)</f>
        <v/>
      </c>
      <c r="E129" s="155">
        <f>MIN(F128+C129-D129,MAX(0,$AQ129-(0)))</f>
        <v/>
      </c>
      <c r="F129" s="155">
        <f>ROUND(F128+C129-D129-E129,2)</f>
        <v/>
      </c>
      <c r="G129" s="155">
        <f>ROUND(J128*$J$11,2)</f>
        <v/>
      </c>
      <c r="H129" s="155">
        <f>MIN($K$11,J128+G129)</f>
        <v/>
      </c>
      <c r="I129" s="155">
        <f>MIN(J128+G129-H129,MAX(0,$AQ129-(E129)))</f>
        <v/>
      </c>
      <c r="J129" s="155">
        <f>ROUND(J128+G129-H129-I129,2)</f>
        <v/>
      </c>
      <c r="K129" s="155">
        <f>ROUND(N128*$J$12,2)</f>
        <v/>
      </c>
      <c r="L129" s="155">
        <f>MIN($K$12,N128+K129)</f>
        <v/>
      </c>
      <c r="M129" s="155">
        <f>MIN(N128+K129-L129,MAX(0,$AQ129-(E129+I129)))</f>
        <v/>
      </c>
      <c r="N129" s="155">
        <f>ROUND(N128+K129-L129-M129,2)</f>
        <v/>
      </c>
      <c r="O129" s="155">
        <f>ROUND(R128*$J$13,2)</f>
        <v/>
      </c>
      <c r="P129" s="155">
        <f>MIN($K$13,R128+O129)</f>
        <v/>
      </c>
      <c r="Q129" s="155">
        <f>MIN(R128+O129-P129,MAX(0,$AQ129-(E129+I129+M129)))</f>
        <v/>
      </c>
      <c r="R129" s="155">
        <f>ROUND(R128+O129-P129-Q129,2)</f>
        <v/>
      </c>
      <c r="S129" s="155">
        <f>ROUND(V128*$J$14,2)</f>
        <v/>
      </c>
      <c r="T129" s="155">
        <f>MIN($K$14,V128+S129)</f>
        <v/>
      </c>
      <c r="U129" s="155">
        <f>MIN(V128+S129-T129,MAX(0,$AQ129-(E129+I129+M129+Q129)))</f>
        <v/>
      </c>
      <c r="V129" s="155">
        <f>ROUND(V128+S129-T129-U129,2)</f>
        <v/>
      </c>
      <c r="W129" s="155">
        <f>ROUND(Z128*$J$15,2)</f>
        <v/>
      </c>
      <c r="X129" s="155">
        <f>MIN($K$15,Z128+W129)</f>
        <v/>
      </c>
      <c r="Y129" s="155">
        <f>MIN(Z128+W129-X129,MAX(0,$AQ129-(E129+I129+M129+Q129+U129)))</f>
        <v/>
      </c>
      <c r="Z129" s="155">
        <f>ROUND(Z128+W129-X129-Y129,2)</f>
        <v/>
      </c>
      <c r="AA129" s="155">
        <f>ROUND(AD128*$J$16,2)</f>
        <v/>
      </c>
      <c r="AB129" s="155">
        <f>MIN($K$16,AD128+AA129)</f>
        <v/>
      </c>
      <c r="AC129" s="155">
        <f>MIN(AD128+AA129-AB129,MAX(0,$AQ129-(E129+I129+M129+Q129+U129+Y129)))</f>
        <v/>
      </c>
      <c r="AD129" s="155">
        <f>ROUND(AD128+AA129-AB129-AC129,2)</f>
        <v/>
      </c>
      <c r="AE129" s="155">
        <f>ROUND(AH128*$J$17,2)</f>
        <v/>
      </c>
      <c r="AF129" s="155">
        <f>MIN($K$17,AH128+AE129)</f>
        <v/>
      </c>
      <c r="AG129" s="155">
        <f>MIN(AH128+AE129-AF129,MAX(0,$AQ129-(E129+I129+M129+Q129+U129+Y129+AC129)))</f>
        <v/>
      </c>
      <c r="AH129" s="155">
        <f>ROUND(AH128+AE129-AF129-AG129,2)</f>
        <v/>
      </c>
      <c r="AI129" s="155">
        <f>ROUND(AL128*$J$18,2)</f>
        <v/>
      </c>
      <c r="AJ129" s="155">
        <f>MIN($K$18,AL128+AI129)</f>
        <v/>
      </c>
      <c r="AK129" s="155">
        <f>MIN(AL128+AI129-AJ129,MAX(0,$AQ129-(E129+I129+M129+Q129+U129+Y129+AC129+AG129)))</f>
        <v/>
      </c>
      <c r="AL129" s="155">
        <f>ROUND(AL128+AI129-AJ129-AK129,2)</f>
        <v/>
      </c>
      <c r="AM129" s="155">
        <f>ROUND(AP128*$J$19,2)</f>
        <v/>
      </c>
      <c r="AN129" s="155">
        <f>MIN($K$19,AP128+AM129)</f>
        <v/>
      </c>
      <c r="AO129" s="155">
        <f>MIN(AP128+AM129-AN129,MAX(0,$AQ129-(E129+I129+M129+Q129+U129+Y129+AC129+AG129+AK129)))</f>
        <v/>
      </c>
      <c r="AP129" s="155">
        <f>ROUND(AP128+AM129-AN129-AO129,2)</f>
        <v/>
      </c>
      <c r="AQ129" s="155">
        <f>MAX(0,$B$6-(D129+H129+L129+P129+T129+X129+AB129+AF129+AJ129+AN129))</f>
        <v/>
      </c>
      <c r="AR129" s="155">
        <f>D129+H129+L129+P129+T129+X129+AB129+AF129+AJ129+AN129+E129+I129+M129+Q129+U129+Y129+AC129+AG129+AK129+AO129</f>
        <v/>
      </c>
      <c r="AS129" s="155">
        <f>C129+G129+K129+O129+S129+W129+AA129+AE129+AI129+AM129</f>
        <v/>
      </c>
      <c r="AT129" s="155">
        <f>F129+J129+N129+R129+V129+Z129+AD129+AH129+AL129+AP129</f>
        <v/>
      </c>
      <c r="AU129" s="157">
        <f>MID(IF(AND(F129=0,F128&gt;0),"; "&amp;$H$10,"")&amp;IF(AND(J129=0,J128&gt;0),"; "&amp;$H$11,"")&amp;IF(AND(N129=0,N128&gt;0),"; "&amp;$H$12,"")&amp;IF(AND(R129=0,R128&gt;0),"; "&amp;$H$13,"")&amp;IF(AND(V129=0,V128&gt;0),"; "&amp;$H$14,"")&amp;IF(AND(Z129=0,Z128&gt;0),"; "&amp;$H$15,"")&amp;IF(AND(AD129=0,AD128&gt;0),"; "&amp;$H$16,"")&amp;IF(AND(AH129=0,AH128&gt;0),"; "&amp;$H$17,"")&amp;IF(AND(AL129=0,AL128&gt;0),"; "&amp;$H$18,"")&amp;IF(AND(AP129=0,AP128&gt;0),"; "&amp;$H$19,""),3,200)</f>
        <v/>
      </c>
    </row>
    <row r="130">
      <c r="A130" s="154" t="n">
        <v>40</v>
      </c>
      <c r="B130" s="156">
        <f>EDATE($B$5,A130-1)</f>
        <v/>
      </c>
      <c r="C130" s="155">
        <f>ROUND(F129*$J$10,2)</f>
        <v/>
      </c>
      <c r="D130" s="155">
        <f>MIN($K$10,F129+C130)</f>
        <v/>
      </c>
      <c r="E130" s="155">
        <f>MIN(F129+C130-D130,MAX(0,$AQ130-(0)))</f>
        <v/>
      </c>
      <c r="F130" s="155">
        <f>ROUND(F129+C130-D130-E130,2)</f>
        <v/>
      </c>
      <c r="G130" s="155">
        <f>ROUND(J129*$J$11,2)</f>
        <v/>
      </c>
      <c r="H130" s="155">
        <f>MIN($K$11,J129+G130)</f>
        <v/>
      </c>
      <c r="I130" s="155">
        <f>MIN(J129+G130-H130,MAX(0,$AQ130-(E130)))</f>
        <v/>
      </c>
      <c r="J130" s="155">
        <f>ROUND(J129+G130-H130-I130,2)</f>
        <v/>
      </c>
      <c r="K130" s="155">
        <f>ROUND(N129*$J$12,2)</f>
        <v/>
      </c>
      <c r="L130" s="155">
        <f>MIN($K$12,N129+K130)</f>
        <v/>
      </c>
      <c r="M130" s="155">
        <f>MIN(N129+K130-L130,MAX(0,$AQ130-(E130+I130)))</f>
        <v/>
      </c>
      <c r="N130" s="155">
        <f>ROUND(N129+K130-L130-M130,2)</f>
        <v/>
      </c>
      <c r="O130" s="155">
        <f>ROUND(R129*$J$13,2)</f>
        <v/>
      </c>
      <c r="P130" s="155">
        <f>MIN($K$13,R129+O130)</f>
        <v/>
      </c>
      <c r="Q130" s="155">
        <f>MIN(R129+O130-P130,MAX(0,$AQ130-(E130+I130+M130)))</f>
        <v/>
      </c>
      <c r="R130" s="155">
        <f>ROUND(R129+O130-P130-Q130,2)</f>
        <v/>
      </c>
      <c r="S130" s="155">
        <f>ROUND(V129*$J$14,2)</f>
        <v/>
      </c>
      <c r="T130" s="155">
        <f>MIN($K$14,V129+S130)</f>
        <v/>
      </c>
      <c r="U130" s="155">
        <f>MIN(V129+S130-T130,MAX(0,$AQ130-(E130+I130+M130+Q130)))</f>
        <v/>
      </c>
      <c r="V130" s="155">
        <f>ROUND(V129+S130-T130-U130,2)</f>
        <v/>
      </c>
      <c r="W130" s="155">
        <f>ROUND(Z129*$J$15,2)</f>
        <v/>
      </c>
      <c r="X130" s="155">
        <f>MIN($K$15,Z129+W130)</f>
        <v/>
      </c>
      <c r="Y130" s="155">
        <f>MIN(Z129+W130-X130,MAX(0,$AQ130-(E130+I130+M130+Q130+U130)))</f>
        <v/>
      </c>
      <c r="Z130" s="155">
        <f>ROUND(Z129+W130-X130-Y130,2)</f>
        <v/>
      </c>
      <c r="AA130" s="155">
        <f>ROUND(AD129*$J$16,2)</f>
        <v/>
      </c>
      <c r="AB130" s="155">
        <f>MIN($K$16,AD129+AA130)</f>
        <v/>
      </c>
      <c r="AC130" s="155">
        <f>MIN(AD129+AA130-AB130,MAX(0,$AQ130-(E130+I130+M130+Q130+U130+Y130)))</f>
        <v/>
      </c>
      <c r="AD130" s="155">
        <f>ROUND(AD129+AA130-AB130-AC130,2)</f>
        <v/>
      </c>
      <c r="AE130" s="155">
        <f>ROUND(AH129*$J$17,2)</f>
        <v/>
      </c>
      <c r="AF130" s="155">
        <f>MIN($K$17,AH129+AE130)</f>
        <v/>
      </c>
      <c r="AG130" s="155">
        <f>MIN(AH129+AE130-AF130,MAX(0,$AQ130-(E130+I130+M130+Q130+U130+Y130+AC130)))</f>
        <v/>
      </c>
      <c r="AH130" s="155">
        <f>ROUND(AH129+AE130-AF130-AG130,2)</f>
        <v/>
      </c>
      <c r="AI130" s="155">
        <f>ROUND(AL129*$J$18,2)</f>
        <v/>
      </c>
      <c r="AJ130" s="155">
        <f>MIN($K$18,AL129+AI130)</f>
        <v/>
      </c>
      <c r="AK130" s="155">
        <f>MIN(AL129+AI130-AJ130,MAX(0,$AQ130-(E130+I130+M130+Q130+U130+Y130+AC130+AG130)))</f>
        <v/>
      </c>
      <c r="AL130" s="155">
        <f>ROUND(AL129+AI130-AJ130-AK130,2)</f>
        <v/>
      </c>
      <c r="AM130" s="155">
        <f>ROUND(AP129*$J$19,2)</f>
        <v/>
      </c>
      <c r="AN130" s="155">
        <f>MIN($K$19,AP129+AM130)</f>
        <v/>
      </c>
      <c r="AO130" s="155">
        <f>MIN(AP129+AM130-AN130,MAX(0,$AQ130-(E130+I130+M130+Q130+U130+Y130+AC130+AG130+AK130)))</f>
        <v/>
      </c>
      <c r="AP130" s="155">
        <f>ROUND(AP129+AM130-AN130-AO130,2)</f>
        <v/>
      </c>
      <c r="AQ130" s="155">
        <f>MAX(0,$B$6-(D130+H130+L130+P130+T130+X130+AB130+AF130+AJ130+AN130))</f>
        <v/>
      </c>
      <c r="AR130" s="155">
        <f>D130+H130+L130+P130+T130+X130+AB130+AF130+AJ130+AN130+E130+I130+M130+Q130+U130+Y130+AC130+AG130+AK130+AO130</f>
        <v/>
      </c>
      <c r="AS130" s="155">
        <f>C130+G130+K130+O130+S130+W130+AA130+AE130+AI130+AM130</f>
        <v/>
      </c>
      <c r="AT130" s="155">
        <f>F130+J130+N130+R130+V130+Z130+AD130+AH130+AL130+AP130</f>
        <v/>
      </c>
      <c r="AU130" s="157">
        <f>MID(IF(AND(F130=0,F129&gt;0),"; "&amp;$H$10,"")&amp;IF(AND(J130=0,J129&gt;0),"; "&amp;$H$11,"")&amp;IF(AND(N130=0,N129&gt;0),"; "&amp;$H$12,"")&amp;IF(AND(R130=0,R129&gt;0),"; "&amp;$H$13,"")&amp;IF(AND(V130=0,V129&gt;0),"; "&amp;$H$14,"")&amp;IF(AND(Z130=0,Z129&gt;0),"; "&amp;$H$15,"")&amp;IF(AND(AD130=0,AD129&gt;0),"; "&amp;$H$16,"")&amp;IF(AND(AH130=0,AH129&gt;0),"; "&amp;$H$17,"")&amp;IF(AND(AL130=0,AL129&gt;0),"; "&amp;$H$18,"")&amp;IF(AND(AP130=0,AP129&gt;0),"; "&amp;$H$19,""),3,200)</f>
        <v/>
      </c>
    </row>
    <row r="131">
      <c r="A131" s="154" t="n">
        <v>41</v>
      </c>
      <c r="B131" s="156">
        <f>EDATE($B$5,A131-1)</f>
        <v/>
      </c>
      <c r="C131" s="155">
        <f>ROUND(F130*$J$10,2)</f>
        <v/>
      </c>
      <c r="D131" s="155">
        <f>MIN($K$10,F130+C131)</f>
        <v/>
      </c>
      <c r="E131" s="155">
        <f>MIN(F130+C131-D131,MAX(0,$AQ131-(0)))</f>
        <v/>
      </c>
      <c r="F131" s="155">
        <f>ROUND(F130+C131-D131-E131,2)</f>
        <v/>
      </c>
      <c r="G131" s="155">
        <f>ROUND(J130*$J$11,2)</f>
        <v/>
      </c>
      <c r="H131" s="155">
        <f>MIN($K$11,J130+G131)</f>
        <v/>
      </c>
      <c r="I131" s="155">
        <f>MIN(J130+G131-H131,MAX(0,$AQ131-(E131)))</f>
        <v/>
      </c>
      <c r="J131" s="155">
        <f>ROUND(J130+G131-H131-I131,2)</f>
        <v/>
      </c>
      <c r="K131" s="155">
        <f>ROUND(N130*$J$12,2)</f>
        <v/>
      </c>
      <c r="L131" s="155">
        <f>MIN($K$12,N130+K131)</f>
        <v/>
      </c>
      <c r="M131" s="155">
        <f>MIN(N130+K131-L131,MAX(0,$AQ131-(E131+I131)))</f>
        <v/>
      </c>
      <c r="N131" s="155">
        <f>ROUND(N130+K131-L131-M131,2)</f>
        <v/>
      </c>
      <c r="O131" s="155">
        <f>ROUND(R130*$J$13,2)</f>
        <v/>
      </c>
      <c r="P131" s="155">
        <f>MIN($K$13,R130+O131)</f>
        <v/>
      </c>
      <c r="Q131" s="155">
        <f>MIN(R130+O131-P131,MAX(0,$AQ131-(E131+I131+M131)))</f>
        <v/>
      </c>
      <c r="R131" s="155">
        <f>ROUND(R130+O131-P131-Q131,2)</f>
        <v/>
      </c>
      <c r="S131" s="155">
        <f>ROUND(V130*$J$14,2)</f>
        <v/>
      </c>
      <c r="T131" s="155">
        <f>MIN($K$14,V130+S131)</f>
        <v/>
      </c>
      <c r="U131" s="155">
        <f>MIN(V130+S131-T131,MAX(0,$AQ131-(E131+I131+M131+Q131)))</f>
        <v/>
      </c>
      <c r="V131" s="155">
        <f>ROUND(V130+S131-T131-U131,2)</f>
        <v/>
      </c>
      <c r="W131" s="155">
        <f>ROUND(Z130*$J$15,2)</f>
        <v/>
      </c>
      <c r="X131" s="155">
        <f>MIN($K$15,Z130+W131)</f>
        <v/>
      </c>
      <c r="Y131" s="155">
        <f>MIN(Z130+W131-X131,MAX(0,$AQ131-(E131+I131+M131+Q131+U131)))</f>
        <v/>
      </c>
      <c r="Z131" s="155">
        <f>ROUND(Z130+W131-X131-Y131,2)</f>
        <v/>
      </c>
      <c r="AA131" s="155">
        <f>ROUND(AD130*$J$16,2)</f>
        <v/>
      </c>
      <c r="AB131" s="155">
        <f>MIN($K$16,AD130+AA131)</f>
        <v/>
      </c>
      <c r="AC131" s="155">
        <f>MIN(AD130+AA131-AB131,MAX(0,$AQ131-(E131+I131+M131+Q131+U131+Y131)))</f>
        <v/>
      </c>
      <c r="AD131" s="155">
        <f>ROUND(AD130+AA131-AB131-AC131,2)</f>
        <v/>
      </c>
      <c r="AE131" s="155">
        <f>ROUND(AH130*$J$17,2)</f>
        <v/>
      </c>
      <c r="AF131" s="155">
        <f>MIN($K$17,AH130+AE131)</f>
        <v/>
      </c>
      <c r="AG131" s="155">
        <f>MIN(AH130+AE131-AF131,MAX(0,$AQ131-(E131+I131+M131+Q131+U131+Y131+AC131)))</f>
        <v/>
      </c>
      <c r="AH131" s="155">
        <f>ROUND(AH130+AE131-AF131-AG131,2)</f>
        <v/>
      </c>
      <c r="AI131" s="155">
        <f>ROUND(AL130*$J$18,2)</f>
        <v/>
      </c>
      <c r="AJ131" s="155">
        <f>MIN($K$18,AL130+AI131)</f>
        <v/>
      </c>
      <c r="AK131" s="155">
        <f>MIN(AL130+AI131-AJ131,MAX(0,$AQ131-(E131+I131+M131+Q131+U131+Y131+AC131+AG131)))</f>
        <v/>
      </c>
      <c r="AL131" s="155">
        <f>ROUND(AL130+AI131-AJ131-AK131,2)</f>
        <v/>
      </c>
      <c r="AM131" s="155">
        <f>ROUND(AP130*$J$19,2)</f>
        <v/>
      </c>
      <c r="AN131" s="155">
        <f>MIN($K$19,AP130+AM131)</f>
        <v/>
      </c>
      <c r="AO131" s="155">
        <f>MIN(AP130+AM131-AN131,MAX(0,$AQ131-(E131+I131+M131+Q131+U131+Y131+AC131+AG131+AK131)))</f>
        <v/>
      </c>
      <c r="AP131" s="155">
        <f>ROUND(AP130+AM131-AN131-AO131,2)</f>
        <v/>
      </c>
      <c r="AQ131" s="155">
        <f>MAX(0,$B$6-(D131+H131+L131+P131+T131+X131+AB131+AF131+AJ131+AN131))</f>
        <v/>
      </c>
      <c r="AR131" s="155">
        <f>D131+H131+L131+P131+T131+X131+AB131+AF131+AJ131+AN131+E131+I131+M131+Q131+U131+Y131+AC131+AG131+AK131+AO131</f>
        <v/>
      </c>
      <c r="AS131" s="155">
        <f>C131+G131+K131+O131+S131+W131+AA131+AE131+AI131+AM131</f>
        <v/>
      </c>
      <c r="AT131" s="155">
        <f>F131+J131+N131+R131+V131+Z131+AD131+AH131+AL131+AP131</f>
        <v/>
      </c>
      <c r="AU131" s="157">
        <f>MID(IF(AND(F131=0,F130&gt;0),"; "&amp;$H$10,"")&amp;IF(AND(J131=0,J130&gt;0),"; "&amp;$H$11,"")&amp;IF(AND(N131=0,N130&gt;0),"; "&amp;$H$12,"")&amp;IF(AND(R131=0,R130&gt;0),"; "&amp;$H$13,"")&amp;IF(AND(V131=0,V130&gt;0),"; "&amp;$H$14,"")&amp;IF(AND(Z131=0,Z130&gt;0),"; "&amp;$H$15,"")&amp;IF(AND(AD131=0,AD130&gt;0),"; "&amp;$H$16,"")&amp;IF(AND(AH131=0,AH130&gt;0),"; "&amp;$H$17,"")&amp;IF(AND(AL131=0,AL130&gt;0),"; "&amp;$H$18,"")&amp;IF(AND(AP131=0,AP130&gt;0),"; "&amp;$H$19,""),3,200)</f>
        <v/>
      </c>
    </row>
    <row r="132">
      <c r="A132" s="154" t="n">
        <v>42</v>
      </c>
      <c r="B132" s="156">
        <f>EDATE($B$5,A132-1)</f>
        <v/>
      </c>
      <c r="C132" s="155">
        <f>ROUND(F131*$J$10,2)</f>
        <v/>
      </c>
      <c r="D132" s="155">
        <f>MIN($K$10,F131+C132)</f>
        <v/>
      </c>
      <c r="E132" s="155">
        <f>MIN(F131+C132-D132,MAX(0,$AQ132-(0)))</f>
        <v/>
      </c>
      <c r="F132" s="155">
        <f>ROUND(F131+C132-D132-E132,2)</f>
        <v/>
      </c>
      <c r="G132" s="155">
        <f>ROUND(J131*$J$11,2)</f>
        <v/>
      </c>
      <c r="H132" s="155">
        <f>MIN($K$11,J131+G132)</f>
        <v/>
      </c>
      <c r="I132" s="155">
        <f>MIN(J131+G132-H132,MAX(0,$AQ132-(E132)))</f>
        <v/>
      </c>
      <c r="J132" s="155">
        <f>ROUND(J131+G132-H132-I132,2)</f>
        <v/>
      </c>
      <c r="K132" s="155">
        <f>ROUND(N131*$J$12,2)</f>
        <v/>
      </c>
      <c r="L132" s="155">
        <f>MIN($K$12,N131+K132)</f>
        <v/>
      </c>
      <c r="M132" s="155">
        <f>MIN(N131+K132-L132,MAX(0,$AQ132-(E132+I132)))</f>
        <v/>
      </c>
      <c r="N132" s="155">
        <f>ROUND(N131+K132-L132-M132,2)</f>
        <v/>
      </c>
      <c r="O132" s="155">
        <f>ROUND(R131*$J$13,2)</f>
        <v/>
      </c>
      <c r="P132" s="155">
        <f>MIN($K$13,R131+O132)</f>
        <v/>
      </c>
      <c r="Q132" s="155">
        <f>MIN(R131+O132-P132,MAX(0,$AQ132-(E132+I132+M132)))</f>
        <v/>
      </c>
      <c r="R132" s="155">
        <f>ROUND(R131+O132-P132-Q132,2)</f>
        <v/>
      </c>
      <c r="S132" s="155">
        <f>ROUND(V131*$J$14,2)</f>
        <v/>
      </c>
      <c r="T132" s="155">
        <f>MIN($K$14,V131+S132)</f>
        <v/>
      </c>
      <c r="U132" s="155">
        <f>MIN(V131+S132-T132,MAX(0,$AQ132-(E132+I132+M132+Q132)))</f>
        <v/>
      </c>
      <c r="V132" s="155">
        <f>ROUND(V131+S132-T132-U132,2)</f>
        <v/>
      </c>
      <c r="W132" s="155">
        <f>ROUND(Z131*$J$15,2)</f>
        <v/>
      </c>
      <c r="X132" s="155">
        <f>MIN($K$15,Z131+W132)</f>
        <v/>
      </c>
      <c r="Y132" s="155">
        <f>MIN(Z131+W132-X132,MAX(0,$AQ132-(E132+I132+M132+Q132+U132)))</f>
        <v/>
      </c>
      <c r="Z132" s="155">
        <f>ROUND(Z131+W132-X132-Y132,2)</f>
        <v/>
      </c>
      <c r="AA132" s="155">
        <f>ROUND(AD131*$J$16,2)</f>
        <v/>
      </c>
      <c r="AB132" s="155">
        <f>MIN($K$16,AD131+AA132)</f>
        <v/>
      </c>
      <c r="AC132" s="155">
        <f>MIN(AD131+AA132-AB132,MAX(0,$AQ132-(E132+I132+M132+Q132+U132+Y132)))</f>
        <v/>
      </c>
      <c r="AD132" s="155">
        <f>ROUND(AD131+AA132-AB132-AC132,2)</f>
        <v/>
      </c>
      <c r="AE132" s="155">
        <f>ROUND(AH131*$J$17,2)</f>
        <v/>
      </c>
      <c r="AF132" s="155">
        <f>MIN($K$17,AH131+AE132)</f>
        <v/>
      </c>
      <c r="AG132" s="155">
        <f>MIN(AH131+AE132-AF132,MAX(0,$AQ132-(E132+I132+M132+Q132+U132+Y132+AC132)))</f>
        <v/>
      </c>
      <c r="AH132" s="155">
        <f>ROUND(AH131+AE132-AF132-AG132,2)</f>
        <v/>
      </c>
      <c r="AI132" s="155">
        <f>ROUND(AL131*$J$18,2)</f>
        <v/>
      </c>
      <c r="AJ132" s="155">
        <f>MIN($K$18,AL131+AI132)</f>
        <v/>
      </c>
      <c r="AK132" s="155">
        <f>MIN(AL131+AI132-AJ132,MAX(0,$AQ132-(E132+I132+M132+Q132+U132+Y132+AC132+AG132)))</f>
        <v/>
      </c>
      <c r="AL132" s="155">
        <f>ROUND(AL131+AI132-AJ132-AK132,2)</f>
        <v/>
      </c>
      <c r="AM132" s="155">
        <f>ROUND(AP131*$J$19,2)</f>
        <v/>
      </c>
      <c r="AN132" s="155">
        <f>MIN($K$19,AP131+AM132)</f>
        <v/>
      </c>
      <c r="AO132" s="155">
        <f>MIN(AP131+AM132-AN132,MAX(0,$AQ132-(E132+I132+M132+Q132+U132+Y132+AC132+AG132+AK132)))</f>
        <v/>
      </c>
      <c r="AP132" s="155">
        <f>ROUND(AP131+AM132-AN132-AO132,2)</f>
        <v/>
      </c>
      <c r="AQ132" s="155">
        <f>MAX(0,$B$6-(D132+H132+L132+P132+T132+X132+AB132+AF132+AJ132+AN132))</f>
        <v/>
      </c>
      <c r="AR132" s="155">
        <f>D132+H132+L132+P132+T132+X132+AB132+AF132+AJ132+AN132+E132+I132+M132+Q132+U132+Y132+AC132+AG132+AK132+AO132</f>
        <v/>
      </c>
      <c r="AS132" s="155">
        <f>C132+G132+K132+O132+S132+W132+AA132+AE132+AI132+AM132</f>
        <v/>
      </c>
      <c r="AT132" s="155">
        <f>F132+J132+N132+R132+V132+Z132+AD132+AH132+AL132+AP132</f>
        <v/>
      </c>
      <c r="AU132" s="157">
        <f>MID(IF(AND(F132=0,F131&gt;0),"; "&amp;$H$10,"")&amp;IF(AND(J132=0,J131&gt;0),"; "&amp;$H$11,"")&amp;IF(AND(N132=0,N131&gt;0),"; "&amp;$H$12,"")&amp;IF(AND(R132=0,R131&gt;0),"; "&amp;$H$13,"")&amp;IF(AND(V132=0,V131&gt;0),"; "&amp;$H$14,"")&amp;IF(AND(Z132=0,Z131&gt;0),"; "&amp;$H$15,"")&amp;IF(AND(AD132=0,AD131&gt;0),"; "&amp;$H$16,"")&amp;IF(AND(AH132=0,AH131&gt;0),"; "&amp;$H$17,"")&amp;IF(AND(AL132=0,AL131&gt;0),"; "&amp;$H$18,"")&amp;IF(AND(AP132=0,AP131&gt;0),"; "&amp;$H$19,""),3,200)</f>
        <v/>
      </c>
    </row>
    <row r="133">
      <c r="A133" s="154" t="n">
        <v>43</v>
      </c>
      <c r="B133" s="156">
        <f>EDATE($B$5,A133-1)</f>
        <v/>
      </c>
      <c r="C133" s="155">
        <f>ROUND(F132*$J$10,2)</f>
        <v/>
      </c>
      <c r="D133" s="155">
        <f>MIN($K$10,F132+C133)</f>
        <v/>
      </c>
      <c r="E133" s="155">
        <f>MIN(F132+C133-D133,MAX(0,$AQ133-(0)))</f>
        <v/>
      </c>
      <c r="F133" s="155">
        <f>ROUND(F132+C133-D133-E133,2)</f>
        <v/>
      </c>
      <c r="G133" s="155">
        <f>ROUND(J132*$J$11,2)</f>
        <v/>
      </c>
      <c r="H133" s="155">
        <f>MIN($K$11,J132+G133)</f>
        <v/>
      </c>
      <c r="I133" s="155">
        <f>MIN(J132+G133-H133,MAX(0,$AQ133-(E133)))</f>
        <v/>
      </c>
      <c r="J133" s="155">
        <f>ROUND(J132+G133-H133-I133,2)</f>
        <v/>
      </c>
      <c r="K133" s="155">
        <f>ROUND(N132*$J$12,2)</f>
        <v/>
      </c>
      <c r="L133" s="155">
        <f>MIN($K$12,N132+K133)</f>
        <v/>
      </c>
      <c r="M133" s="155">
        <f>MIN(N132+K133-L133,MAX(0,$AQ133-(E133+I133)))</f>
        <v/>
      </c>
      <c r="N133" s="155">
        <f>ROUND(N132+K133-L133-M133,2)</f>
        <v/>
      </c>
      <c r="O133" s="155">
        <f>ROUND(R132*$J$13,2)</f>
        <v/>
      </c>
      <c r="P133" s="155">
        <f>MIN($K$13,R132+O133)</f>
        <v/>
      </c>
      <c r="Q133" s="155">
        <f>MIN(R132+O133-P133,MAX(0,$AQ133-(E133+I133+M133)))</f>
        <v/>
      </c>
      <c r="R133" s="155">
        <f>ROUND(R132+O133-P133-Q133,2)</f>
        <v/>
      </c>
      <c r="S133" s="155">
        <f>ROUND(V132*$J$14,2)</f>
        <v/>
      </c>
      <c r="T133" s="155">
        <f>MIN($K$14,V132+S133)</f>
        <v/>
      </c>
      <c r="U133" s="155">
        <f>MIN(V132+S133-T133,MAX(0,$AQ133-(E133+I133+M133+Q133)))</f>
        <v/>
      </c>
      <c r="V133" s="155">
        <f>ROUND(V132+S133-T133-U133,2)</f>
        <v/>
      </c>
      <c r="W133" s="155">
        <f>ROUND(Z132*$J$15,2)</f>
        <v/>
      </c>
      <c r="X133" s="155">
        <f>MIN($K$15,Z132+W133)</f>
        <v/>
      </c>
      <c r="Y133" s="155">
        <f>MIN(Z132+W133-X133,MAX(0,$AQ133-(E133+I133+M133+Q133+U133)))</f>
        <v/>
      </c>
      <c r="Z133" s="155">
        <f>ROUND(Z132+W133-X133-Y133,2)</f>
        <v/>
      </c>
      <c r="AA133" s="155">
        <f>ROUND(AD132*$J$16,2)</f>
        <v/>
      </c>
      <c r="AB133" s="155">
        <f>MIN($K$16,AD132+AA133)</f>
        <v/>
      </c>
      <c r="AC133" s="155">
        <f>MIN(AD132+AA133-AB133,MAX(0,$AQ133-(E133+I133+M133+Q133+U133+Y133)))</f>
        <v/>
      </c>
      <c r="AD133" s="155">
        <f>ROUND(AD132+AA133-AB133-AC133,2)</f>
        <v/>
      </c>
      <c r="AE133" s="155">
        <f>ROUND(AH132*$J$17,2)</f>
        <v/>
      </c>
      <c r="AF133" s="155">
        <f>MIN($K$17,AH132+AE133)</f>
        <v/>
      </c>
      <c r="AG133" s="155">
        <f>MIN(AH132+AE133-AF133,MAX(0,$AQ133-(E133+I133+M133+Q133+U133+Y133+AC133)))</f>
        <v/>
      </c>
      <c r="AH133" s="155">
        <f>ROUND(AH132+AE133-AF133-AG133,2)</f>
        <v/>
      </c>
      <c r="AI133" s="155">
        <f>ROUND(AL132*$J$18,2)</f>
        <v/>
      </c>
      <c r="AJ133" s="155">
        <f>MIN($K$18,AL132+AI133)</f>
        <v/>
      </c>
      <c r="AK133" s="155">
        <f>MIN(AL132+AI133-AJ133,MAX(0,$AQ133-(E133+I133+M133+Q133+U133+Y133+AC133+AG133)))</f>
        <v/>
      </c>
      <c r="AL133" s="155">
        <f>ROUND(AL132+AI133-AJ133-AK133,2)</f>
        <v/>
      </c>
      <c r="AM133" s="155">
        <f>ROUND(AP132*$J$19,2)</f>
        <v/>
      </c>
      <c r="AN133" s="155">
        <f>MIN($K$19,AP132+AM133)</f>
        <v/>
      </c>
      <c r="AO133" s="155">
        <f>MIN(AP132+AM133-AN133,MAX(0,$AQ133-(E133+I133+M133+Q133+U133+Y133+AC133+AG133+AK133)))</f>
        <v/>
      </c>
      <c r="AP133" s="155">
        <f>ROUND(AP132+AM133-AN133-AO133,2)</f>
        <v/>
      </c>
      <c r="AQ133" s="155">
        <f>MAX(0,$B$6-(D133+H133+L133+P133+T133+X133+AB133+AF133+AJ133+AN133))</f>
        <v/>
      </c>
      <c r="AR133" s="155">
        <f>D133+H133+L133+P133+T133+X133+AB133+AF133+AJ133+AN133+E133+I133+M133+Q133+U133+Y133+AC133+AG133+AK133+AO133</f>
        <v/>
      </c>
      <c r="AS133" s="155">
        <f>C133+G133+K133+O133+S133+W133+AA133+AE133+AI133+AM133</f>
        <v/>
      </c>
      <c r="AT133" s="155">
        <f>F133+J133+N133+R133+V133+Z133+AD133+AH133+AL133+AP133</f>
        <v/>
      </c>
      <c r="AU133" s="157">
        <f>MID(IF(AND(F133=0,F132&gt;0),"; "&amp;$H$10,"")&amp;IF(AND(J133=0,J132&gt;0),"; "&amp;$H$11,"")&amp;IF(AND(N133=0,N132&gt;0),"; "&amp;$H$12,"")&amp;IF(AND(R133=0,R132&gt;0),"; "&amp;$H$13,"")&amp;IF(AND(V133=0,V132&gt;0),"; "&amp;$H$14,"")&amp;IF(AND(Z133=0,Z132&gt;0),"; "&amp;$H$15,"")&amp;IF(AND(AD133=0,AD132&gt;0),"; "&amp;$H$16,"")&amp;IF(AND(AH133=0,AH132&gt;0),"; "&amp;$H$17,"")&amp;IF(AND(AL133=0,AL132&gt;0),"; "&amp;$H$18,"")&amp;IF(AND(AP133=0,AP132&gt;0),"; "&amp;$H$19,""),3,200)</f>
        <v/>
      </c>
    </row>
    <row r="134">
      <c r="A134" s="154" t="n">
        <v>44</v>
      </c>
      <c r="B134" s="156">
        <f>EDATE($B$5,A134-1)</f>
        <v/>
      </c>
      <c r="C134" s="155">
        <f>ROUND(F133*$J$10,2)</f>
        <v/>
      </c>
      <c r="D134" s="155">
        <f>MIN($K$10,F133+C134)</f>
        <v/>
      </c>
      <c r="E134" s="155">
        <f>MIN(F133+C134-D134,MAX(0,$AQ134-(0)))</f>
        <v/>
      </c>
      <c r="F134" s="155">
        <f>ROUND(F133+C134-D134-E134,2)</f>
        <v/>
      </c>
      <c r="G134" s="155">
        <f>ROUND(J133*$J$11,2)</f>
        <v/>
      </c>
      <c r="H134" s="155">
        <f>MIN($K$11,J133+G134)</f>
        <v/>
      </c>
      <c r="I134" s="155">
        <f>MIN(J133+G134-H134,MAX(0,$AQ134-(E134)))</f>
        <v/>
      </c>
      <c r="J134" s="155">
        <f>ROUND(J133+G134-H134-I134,2)</f>
        <v/>
      </c>
      <c r="K134" s="155">
        <f>ROUND(N133*$J$12,2)</f>
        <v/>
      </c>
      <c r="L134" s="155">
        <f>MIN($K$12,N133+K134)</f>
        <v/>
      </c>
      <c r="M134" s="155">
        <f>MIN(N133+K134-L134,MAX(0,$AQ134-(E134+I134)))</f>
        <v/>
      </c>
      <c r="N134" s="155">
        <f>ROUND(N133+K134-L134-M134,2)</f>
        <v/>
      </c>
      <c r="O134" s="155">
        <f>ROUND(R133*$J$13,2)</f>
        <v/>
      </c>
      <c r="P134" s="155">
        <f>MIN($K$13,R133+O134)</f>
        <v/>
      </c>
      <c r="Q134" s="155">
        <f>MIN(R133+O134-P134,MAX(0,$AQ134-(E134+I134+M134)))</f>
        <v/>
      </c>
      <c r="R134" s="155">
        <f>ROUND(R133+O134-P134-Q134,2)</f>
        <v/>
      </c>
      <c r="S134" s="155">
        <f>ROUND(V133*$J$14,2)</f>
        <v/>
      </c>
      <c r="T134" s="155">
        <f>MIN($K$14,V133+S134)</f>
        <v/>
      </c>
      <c r="U134" s="155">
        <f>MIN(V133+S134-T134,MAX(0,$AQ134-(E134+I134+M134+Q134)))</f>
        <v/>
      </c>
      <c r="V134" s="155">
        <f>ROUND(V133+S134-T134-U134,2)</f>
        <v/>
      </c>
      <c r="W134" s="155">
        <f>ROUND(Z133*$J$15,2)</f>
        <v/>
      </c>
      <c r="X134" s="155">
        <f>MIN($K$15,Z133+W134)</f>
        <v/>
      </c>
      <c r="Y134" s="155">
        <f>MIN(Z133+W134-X134,MAX(0,$AQ134-(E134+I134+M134+Q134+U134)))</f>
        <v/>
      </c>
      <c r="Z134" s="155">
        <f>ROUND(Z133+W134-X134-Y134,2)</f>
        <v/>
      </c>
      <c r="AA134" s="155">
        <f>ROUND(AD133*$J$16,2)</f>
        <v/>
      </c>
      <c r="AB134" s="155">
        <f>MIN($K$16,AD133+AA134)</f>
        <v/>
      </c>
      <c r="AC134" s="155">
        <f>MIN(AD133+AA134-AB134,MAX(0,$AQ134-(E134+I134+M134+Q134+U134+Y134)))</f>
        <v/>
      </c>
      <c r="AD134" s="155">
        <f>ROUND(AD133+AA134-AB134-AC134,2)</f>
        <v/>
      </c>
      <c r="AE134" s="155">
        <f>ROUND(AH133*$J$17,2)</f>
        <v/>
      </c>
      <c r="AF134" s="155">
        <f>MIN($K$17,AH133+AE134)</f>
        <v/>
      </c>
      <c r="AG134" s="155">
        <f>MIN(AH133+AE134-AF134,MAX(0,$AQ134-(E134+I134+M134+Q134+U134+Y134+AC134)))</f>
        <v/>
      </c>
      <c r="AH134" s="155">
        <f>ROUND(AH133+AE134-AF134-AG134,2)</f>
        <v/>
      </c>
      <c r="AI134" s="155">
        <f>ROUND(AL133*$J$18,2)</f>
        <v/>
      </c>
      <c r="AJ134" s="155">
        <f>MIN($K$18,AL133+AI134)</f>
        <v/>
      </c>
      <c r="AK134" s="155">
        <f>MIN(AL133+AI134-AJ134,MAX(0,$AQ134-(E134+I134+M134+Q134+U134+Y134+AC134+AG134)))</f>
        <v/>
      </c>
      <c r="AL134" s="155">
        <f>ROUND(AL133+AI134-AJ134-AK134,2)</f>
        <v/>
      </c>
      <c r="AM134" s="155">
        <f>ROUND(AP133*$J$19,2)</f>
        <v/>
      </c>
      <c r="AN134" s="155">
        <f>MIN($K$19,AP133+AM134)</f>
        <v/>
      </c>
      <c r="AO134" s="155">
        <f>MIN(AP133+AM134-AN134,MAX(0,$AQ134-(E134+I134+M134+Q134+U134+Y134+AC134+AG134+AK134)))</f>
        <v/>
      </c>
      <c r="AP134" s="155">
        <f>ROUND(AP133+AM134-AN134-AO134,2)</f>
        <v/>
      </c>
      <c r="AQ134" s="155">
        <f>MAX(0,$B$6-(D134+H134+L134+P134+T134+X134+AB134+AF134+AJ134+AN134))</f>
        <v/>
      </c>
      <c r="AR134" s="155">
        <f>D134+H134+L134+P134+T134+X134+AB134+AF134+AJ134+AN134+E134+I134+M134+Q134+U134+Y134+AC134+AG134+AK134+AO134</f>
        <v/>
      </c>
      <c r="AS134" s="155">
        <f>C134+G134+K134+O134+S134+W134+AA134+AE134+AI134+AM134</f>
        <v/>
      </c>
      <c r="AT134" s="155">
        <f>F134+J134+N134+R134+V134+Z134+AD134+AH134+AL134+AP134</f>
        <v/>
      </c>
      <c r="AU134" s="157">
        <f>MID(IF(AND(F134=0,F133&gt;0),"; "&amp;$H$10,"")&amp;IF(AND(J134=0,J133&gt;0),"; "&amp;$H$11,"")&amp;IF(AND(N134=0,N133&gt;0),"; "&amp;$H$12,"")&amp;IF(AND(R134=0,R133&gt;0),"; "&amp;$H$13,"")&amp;IF(AND(V134=0,V133&gt;0),"; "&amp;$H$14,"")&amp;IF(AND(Z134=0,Z133&gt;0),"; "&amp;$H$15,"")&amp;IF(AND(AD134=0,AD133&gt;0),"; "&amp;$H$16,"")&amp;IF(AND(AH134=0,AH133&gt;0),"; "&amp;$H$17,"")&amp;IF(AND(AL134=0,AL133&gt;0),"; "&amp;$H$18,"")&amp;IF(AND(AP134=0,AP133&gt;0),"; "&amp;$H$19,""),3,200)</f>
        <v/>
      </c>
    </row>
    <row r="135">
      <c r="A135" s="154" t="n">
        <v>45</v>
      </c>
      <c r="B135" s="156">
        <f>EDATE($B$5,A135-1)</f>
        <v/>
      </c>
      <c r="C135" s="155">
        <f>ROUND(F134*$J$10,2)</f>
        <v/>
      </c>
      <c r="D135" s="155">
        <f>MIN($K$10,F134+C135)</f>
        <v/>
      </c>
      <c r="E135" s="155">
        <f>MIN(F134+C135-D135,MAX(0,$AQ135-(0)))</f>
        <v/>
      </c>
      <c r="F135" s="155">
        <f>ROUND(F134+C135-D135-E135,2)</f>
        <v/>
      </c>
      <c r="G135" s="155">
        <f>ROUND(J134*$J$11,2)</f>
        <v/>
      </c>
      <c r="H135" s="155">
        <f>MIN($K$11,J134+G135)</f>
        <v/>
      </c>
      <c r="I135" s="155">
        <f>MIN(J134+G135-H135,MAX(0,$AQ135-(E135)))</f>
        <v/>
      </c>
      <c r="J135" s="155">
        <f>ROUND(J134+G135-H135-I135,2)</f>
        <v/>
      </c>
      <c r="K135" s="155">
        <f>ROUND(N134*$J$12,2)</f>
        <v/>
      </c>
      <c r="L135" s="155">
        <f>MIN($K$12,N134+K135)</f>
        <v/>
      </c>
      <c r="M135" s="155">
        <f>MIN(N134+K135-L135,MAX(0,$AQ135-(E135+I135)))</f>
        <v/>
      </c>
      <c r="N135" s="155">
        <f>ROUND(N134+K135-L135-M135,2)</f>
        <v/>
      </c>
      <c r="O135" s="155">
        <f>ROUND(R134*$J$13,2)</f>
        <v/>
      </c>
      <c r="P135" s="155">
        <f>MIN($K$13,R134+O135)</f>
        <v/>
      </c>
      <c r="Q135" s="155">
        <f>MIN(R134+O135-P135,MAX(0,$AQ135-(E135+I135+M135)))</f>
        <v/>
      </c>
      <c r="R135" s="155">
        <f>ROUND(R134+O135-P135-Q135,2)</f>
        <v/>
      </c>
      <c r="S135" s="155">
        <f>ROUND(V134*$J$14,2)</f>
        <v/>
      </c>
      <c r="T135" s="155">
        <f>MIN($K$14,V134+S135)</f>
        <v/>
      </c>
      <c r="U135" s="155">
        <f>MIN(V134+S135-T135,MAX(0,$AQ135-(E135+I135+M135+Q135)))</f>
        <v/>
      </c>
      <c r="V135" s="155">
        <f>ROUND(V134+S135-T135-U135,2)</f>
        <v/>
      </c>
      <c r="W135" s="155">
        <f>ROUND(Z134*$J$15,2)</f>
        <v/>
      </c>
      <c r="X135" s="155">
        <f>MIN($K$15,Z134+W135)</f>
        <v/>
      </c>
      <c r="Y135" s="155">
        <f>MIN(Z134+W135-X135,MAX(0,$AQ135-(E135+I135+M135+Q135+U135)))</f>
        <v/>
      </c>
      <c r="Z135" s="155">
        <f>ROUND(Z134+W135-X135-Y135,2)</f>
        <v/>
      </c>
      <c r="AA135" s="155">
        <f>ROUND(AD134*$J$16,2)</f>
        <v/>
      </c>
      <c r="AB135" s="155">
        <f>MIN($K$16,AD134+AA135)</f>
        <v/>
      </c>
      <c r="AC135" s="155">
        <f>MIN(AD134+AA135-AB135,MAX(0,$AQ135-(E135+I135+M135+Q135+U135+Y135)))</f>
        <v/>
      </c>
      <c r="AD135" s="155">
        <f>ROUND(AD134+AA135-AB135-AC135,2)</f>
        <v/>
      </c>
      <c r="AE135" s="155">
        <f>ROUND(AH134*$J$17,2)</f>
        <v/>
      </c>
      <c r="AF135" s="155">
        <f>MIN($K$17,AH134+AE135)</f>
        <v/>
      </c>
      <c r="AG135" s="155">
        <f>MIN(AH134+AE135-AF135,MAX(0,$AQ135-(E135+I135+M135+Q135+U135+Y135+AC135)))</f>
        <v/>
      </c>
      <c r="AH135" s="155">
        <f>ROUND(AH134+AE135-AF135-AG135,2)</f>
        <v/>
      </c>
      <c r="AI135" s="155">
        <f>ROUND(AL134*$J$18,2)</f>
        <v/>
      </c>
      <c r="AJ135" s="155">
        <f>MIN($K$18,AL134+AI135)</f>
        <v/>
      </c>
      <c r="AK135" s="155">
        <f>MIN(AL134+AI135-AJ135,MAX(0,$AQ135-(E135+I135+M135+Q135+U135+Y135+AC135+AG135)))</f>
        <v/>
      </c>
      <c r="AL135" s="155">
        <f>ROUND(AL134+AI135-AJ135-AK135,2)</f>
        <v/>
      </c>
      <c r="AM135" s="155">
        <f>ROUND(AP134*$J$19,2)</f>
        <v/>
      </c>
      <c r="AN135" s="155">
        <f>MIN($K$19,AP134+AM135)</f>
        <v/>
      </c>
      <c r="AO135" s="155">
        <f>MIN(AP134+AM135-AN135,MAX(0,$AQ135-(E135+I135+M135+Q135+U135+Y135+AC135+AG135+AK135)))</f>
        <v/>
      </c>
      <c r="AP135" s="155">
        <f>ROUND(AP134+AM135-AN135-AO135,2)</f>
        <v/>
      </c>
      <c r="AQ135" s="155">
        <f>MAX(0,$B$6-(D135+H135+L135+P135+T135+X135+AB135+AF135+AJ135+AN135))</f>
        <v/>
      </c>
      <c r="AR135" s="155">
        <f>D135+H135+L135+P135+T135+X135+AB135+AF135+AJ135+AN135+E135+I135+M135+Q135+U135+Y135+AC135+AG135+AK135+AO135</f>
        <v/>
      </c>
      <c r="AS135" s="155">
        <f>C135+G135+K135+O135+S135+W135+AA135+AE135+AI135+AM135</f>
        <v/>
      </c>
      <c r="AT135" s="155">
        <f>F135+J135+N135+R135+V135+Z135+AD135+AH135+AL135+AP135</f>
        <v/>
      </c>
      <c r="AU135" s="157">
        <f>MID(IF(AND(F135=0,F134&gt;0),"; "&amp;$H$10,"")&amp;IF(AND(J135=0,J134&gt;0),"; "&amp;$H$11,"")&amp;IF(AND(N135=0,N134&gt;0),"; "&amp;$H$12,"")&amp;IF(AND(R135=0,R134&gt;0),"; "&amp;$H$13,"")&amp;IF(AND(V135=0,V134&gt;0),"; "&amp;$H$14,"")&amp;IF(AND(Z135=0,Z134&gt;0),"; "&amp;$H$15,"")&amp;IF(AND(AD135=0,AD134&gt;0),"; "&amp;$H$16,"")&amp;IF(AND(AH135=0,AH134&gt;0),"; "&amp;$H$17,"")&amp;IF(AND(AL135=0,AL134&gt;0),"; "&amp;$H$18,"")&amp;IF(AND(AP135=0,AP134&gt;0),"; "&amp;$H$19,""),3,200)</f>
        <v/>
      </c>
    </row>
    <row r="136">
      <c r="A136" s="154" t="n">
        <v>46</v>
      </c>
      <c r="B136" s="156">
        <f>EDATE($B$5,A136-1)</f>
        <v/>
      </c>
      <c r="C136" s="155">
        <f>ROUND(F135*$J$10,2)</f>
        <v/>
      </c>
      <c r="D136" s="155">
        <f>MIN($K$10,F135+C136)</f>
        <v/>
      </c>
      <c r="E136" s="155">
        <f>MIN(F135+C136-D136,MAX(0,$AQ136-(0)))</f>
        <v/>
      </c>
      <c r="F136" s="155">
        <f>ROUND(F135+C136-D136-E136,2)</f>
        <v/>
      </c>
      <c r="G136" s="155">
        <f>ROUND(J135*$J$11,2)</f>
        <v/>
      </c>
      <c r="H136" s="155">
        <f>MIN($K$11,J135+G136)</f>
        <v/>
      </c>
      <c r="I136" s="155">
        <f>MIN(J135+G136-H136,MAX(0,$AQ136-(E136)))</f>
        <v/>
      </c>
      <c r="J136" s="155">
        <f>ROUND(J135+G136-H136-I136,2)</f>
        <v/>
      </c>
      <c r="K136" s="155">
        <f>ROUND(N135*$J$12,2)</f>
        <v/>
      </c>
      <c r="L136" s="155">
        <f>MIN($K$12,N135+K136)</f>
        <v/>
      </c>
      <c r="M136" s="155">
        <f>MIN(N135+K136-L136,MAX(0,$AQ136-(E136+I136)))</f>
        <v/>
      </c>
      <c r="N136" s="155">
        <f>ROUND(N135+K136-L136-M136,2)</f>
        <v/>
      </c>
      <c r="O136" s="155">
        <f>ROUND(R135*$J$13,2)</f>
        <v/>
      </c>
      <c r="P136" s="155">
        <f>MIN($K$13,R135+O136)</f>
        <v/>
      </c>
      <c r="Q136" s="155">
        <f>MIN(R135+O136-P136,MAX(0,$AQ136-(E136+I136+M136)))</f>
        <v/>
      </c>
      <c r="R136" s="155">
        <f>ROUND(R135+O136-P136-Q136,2)</f>
        <v/>
      </c>
      <c r="S136" s="155">
        <f>ROUND(V135*$J$14,2)</f>
        <v/>
      </c>
      <c r="T136" s="155">
        <f>MIN($K$14,V135+S136)</f>
        <v/>
      </c>
      <c r="U136" s="155">
        <f>MIN(V135+S136-T136,MAX(0,$AQ136-(E136+I136+M136+Q136)))</f>
        <v/>
      </c>
      <c r="V136" s="155">
        <f>ROUND(V135+S136-T136-U136,2)</f>
        <v/>
      </c>
      <c r="W136" s="155">
        <f>ROUND(Z135*$J$15,2)</f>
        <v/>
      </c>
      <c r="X136" s="155">
        <f>MIN($K$15,Z135+W136)</f>
        <v/>
      </c>
      <c r="Y136" s="155">
        <f>MIN(Z135+W136-X136,MAX(0,$AQ136-(E136+I136+M136+Q136+U136)))</f>
        <v/>
      </c>
      <c r="Z136" s="155">
        <f>ROUND(Z135+W136-X136-Y136,2)</f>
        <v/>
      </c>
      <c r="AA136" s="155">
        <f>ROUND(AD135*$J$16,2)</f>
        <v/>
      </c>
      <c r="AB136" s="155">
        <f>MIN($K$16,AD135+AA136)</f>
        <v/>
      </c>
      <c r="AC136" s="155">
        <f>MIN(AD135+AA136-AB136,MAX(0,$AQ136-(E136+I136+M136+Q136+U136+Y136)))</f>
        <v/>
      </c>
      <c r="AD136" s="155">
        <f>ROUND(AD135+AA136-AB136-AC136,2)</f>
        <v/>
      </c>
      <c r="AE136" s="155">
        <f>ROUND(AH135*$J$17,2)</f>
        <v/>
      </c>
      <c r="AF136" s="155">
        <f>MIN($K$17,AH135+AE136)</f>
        <v/>
      </c>
      <c r="AG136" s="155">
        <f>MIN(AH135+AE136-AF136,MAX(0,$AQ136-(E136+I136+M136+Q136+U136+Y136+AC136)))</f>
        <v/>
      </c>
      <c r="AH136" s="155">
        <f>ROUND(AH135+AE136-AF136-AG136,2)</f>
        <v/>
      </c>
      <c r="AI136" s="155">
        <f>ROUND(AL135*$J$18,2)</f>
        <v/>
      </c>
      <c r="AJ136" s="155">
        <f>MIN($K$18,AL135+AI136)</f>
        <v/>
      </c>
      <c r="AK136" s="155">
        <f>MIN(AL135+AI136-AJ136,MAX(0,$AQ136-(E136+I136+M136+Q136+U136+Y136+AC136+AG136)))</f>
        <v/>
      </c>
      <c r="AL136" s="155">
        <f>ROUND(AL135+AI136-AJ136-AK136,2)</f>
        <v/>
      </c>
      <c r="AM136" s="155">
        <f>ROUND(AP135*$J$19,2)</f>
        <v/>
      </c>
      <c r="AN136" s="155">
        <f>MIN($K$19,AP135+AM136)</f>
        <v/>
      </c>
      <c r="AO136" s="155">
        <f>MIN(AP135+AM136-AN136,MAX(0,$AQ136-(E136+I136+M136+Q136+U136+Y136+AC136+AG136+AK136)))</f>
        <v/>
      </c>
      <c r="AP136" s="155">
        <f>ROUND(AP135+AM136-AN136-AO136,2)</f>
        <v/>
      </c>
      <c r="AQ136" s="155">
        <f>MAX(0,$B$6-(D136+H136+L136+P136+T136+X136+AB136+AF136+AJ136+AN136))</f>
        <v/>
      </c>
      <c r="AR136" s="155">
        <f>D136+H136+L136+P136+T136+X136+AB136+AF136+AJ136+AN136+E136+I136+M136+Q136+U136+Y136+AC136+AG136+AK136+AO136</f>
        <v/>
      </c>
      <c r="AS136" s="155">
        <f>C136+G136+K136+O136+S136+W136+AA136+AE136+AI136+AM136</f>
        <v/>
      </c>
      <c r="AT136" s="155">
        <f>F136+J136+N136+R136+V136+Z136+AD136+AH136+AL136+AP136</f>
        <v/>
      </c>
      <c r="AU136" s="157">
        <f>MID(IF(AND(F136=0,F135&gt;0),"; "&amp;$H$10,"")&amp;IF(AND(J136=0,J135&gt;0),"; "&amp;$H$11,"")&amp;IF(AND(N136=0,N135&gt;0),"; "&amp;$H$12,"")&amp;IF(AND(R136=0,R135&gt;0),"; "&amp;$H$13,"")&amp;IF(AND(V136=0,V135&gt;0),"; "&amp;$H$14,"")&amp;IF(AND(Z136=0,Z135&gt;0),"; "&amp;$H$15,"")&amp;IF(AND(AD136=0,AD135&gt;0),"; "&amp;$H$16,"")&amp;IF(AND(AH136=0,AH135&gt;0),"; "&amp;$H$17,"")&amp;IF(AND(AL136=0,AL135&gt;0),"; "&amp;$H$18,"")&amp;IF(AND(AP136=0,AP135&gt;0),"; "&amp;$H$19,""),3,200)</f>
        <v/>
      </c>
    </row>
    <row r="137">
      <c r="A137" s="154" t="n">
        <v>47</v>
      </c>
      <c r="B137" s="156">
        <f>EDATE($B$5,A137-1)</f>
        <v/>
      </c>
      <c r="C137" s="155">
        <f>ROUND(F136*$J$10,2)</f>
        <v/>
      </c>
      <c r="D137" s="155">
        <f>MIN($K$10,F136+C137)</f>
        <v/>
      </c>
      <c r="E137" s="155">
        <f>MIN(F136+C137-D137,MAX(0,$AQ137-(0)))</f>
        <v/>
      </c>
      <c r="F137" s="155">
        <f>ROUND(F136+C137-D137-E137,2)</f>
        <v/>
      </c>
      <c r="G137" s="155">
        <f>ROUND(J136*$J$11,2)</f>
        <v/>
      </c>
      <c r="H137" s="155">
        <f>MIN($K$11,J136+G137)</f>
        <v/>
      </c>
      <c r="I137" s="155">
        <f>MIN(J136+G137-H137,MAX(0,$AQ137-(E137)))</f>
        <v/>
      </c>
      <c r="J137" s="155">
        <f>ROUND(J136+G137-H137-I137,2)</f>
        <v/>
      </c>
      <c r="K137" s="155">
        <f>ROUND(N136*$J$12,2)</f>
        <v/>
      </c>
      <c r="L137" s="155">
        <f>MIN($K$12,N136+K137)</f>
        <v/>
      </c>
      <c r="M137" s="155">
        <f>MIN(N136+K137-L137,MAX(0,$AQ137-(E137+I137)))</f>
        <v/>
      </c>
      <c r="N137" s="155">
        <f>ROUND(N136+K137-L137-M137,2)</f>
        <v/>
      </c>
      <c r="O137" s="155">
        <f>ROUND(R136*$J$13,2)</f>
        <v/>
      </c>
      <c r="P137" s="155">
        <f>MIN($K$13,R136+O137)</f>
        <v/>
      </c>
      <c r="Q137" s="155">
        <f>MIN(R136+O137-P137,MAX(0,$AQ137-(E137+I137+M137)))</f>
        <v/>
      </c>
      <c r="R137" s="155">
        <f>ROUND(R136+O137-P137-Q137,2)</f>
        <v/>
      </c>
      <c r="S137" s="155">
        <f>ROUND(V136*$J$14,2)</f>
        <v/>
      </c>
      <c r="T137" s="155">
        <f>MIN($K$14,V136+S137)</f>
        <v/>
      </c>
      <c r="U137" s="155">
        <f>MIN(V136+S137-T137,MAX(0,$AQ137-(E137+I137+M137+Q137)))</f>
        <v/>
      </c>
      <c r="V137" s="155">
        <f>ROUND(V136+S137-T137-U137,2)</f>
        <v/>
      </c>
      <c r="W137" s="155">
        <f>ROUND(Z136*$J$15,2)</f>
        <v/>
      </c>
      <c r="X137" s="155">
        <f>MIN($K$15,Z136+W137)</f>
        <v/>
      </c>
      <c r="Y137" s="155">
        <f>MIN(Z136+W137-X137,MAX(0,$AQ137-(E137+I137+M137+Q137+U137)))</f>
        <v/>
      </c>
      <c r="Z137" s="155">
        <f>ROUND(Z136+W137-X137-Y137,2)</f>
        <v/>
      </c>
      <c r="AA137" s="155">
        <f>ROUND(AD136*$J$16,2)</f>
        <v/>
      </c>
      <c r="AB137" s="155">
        <f>MIN($K$16,AD136+AA137)</f>
        <v/>
      </c>
      <c r="AC137" s="155">
        <f>MIN(AD136+AA137-AB137,MAX(0,$AQ137-(E137+I137+M137+Q137+U137+Y137)))</f>
        <v/>
      </c>
      <c r="AD137" s="155">
        <f>ROUND(AD136+AA137-AB137-AC137,2)</f>
        <v/>
      </c>
      <c r="AE137" s="155">
        <f>ROUND(AH136*$J$17,2)</f>
        <v/>
      </c>
      <c r="AF137" s="155">
        <f>MIN($K$17,AH136+AE137)</f>
        <v/>
      </c>
      <c r="AG137" s="155">
        <f>MIN(AH136+AE137-AF137,MAX(0,$AQ137-(E137+I137+M137+Q137+U137+Y137+AC137)))</f>
        <v/>
      </c>
      <c r="AH137" s="155">
        <f>ROUND(AH136+AE137-AF137-AG137,2)</f>
        <v/>
      </c>
      <c r="AI137" s="155">
        <f>ROUND(AL136*$J$18,2)</f>
        <v/>
      </c>
      <c r="AJ137" s="155">
        <f>MIN($K$18,AL136+AI137)</f>
        <v/>
      </c>
      <c r="AK137" s="155">
        <f>MIN(AL136+AI137-AJ137,MAX(0,$AQ137-(E137+I137+M137+Q137+U137+Y137+AC137+AG137)))</f>
        <v/>
      </c>
      <c r="AL137" s="155">
        <f>ROUND(AL136+AI137-AJ137-AK137,2)</f>
        <v/>
      </c>
      <c r="AM137" s="155">
        <f>ROUND(AP136*$J$19,2)</f>
        <v/>
      </c>
      <c r="AN137" s="155">
        <f>MIN($K$19,AP136+AM137)</f>
        <v/>
      </c>
      <c r="AO137" s="155">
        <f>MIN(AP136+AM137-AN137,MAX(0,$AQ137-(E137+I137+M137+Q137+U137+Y137+AC137+AG137+AK137)))</f>
        <v/>
      </c>
      <c r="AP137" s="155">
        <f>ROUND(AP136+AM137-AN137-AO137,2)</f>
        <v/>
      </c>
      <c r="AQ137" s="155">
        <f>MAX(0,$B$6-(D137+H137+L137+P137+T137+X137+AB137+AF137+AJ137+AN137))</f>
        <v/>
      </c>
      <c r="AR137" s="155">
        <f>D137+H137+L137+P137+T137+X137+AB137+AF137+AJ137+AN137+E137+I137+M137+Q137+U137+Y137+AC137+AG137+AK137+AO137</f>
        <v/>
      </c>
      <c r="AS137" s="155">
        <f>C137+G137+K137+O137+S137+W137+AA137+AE137+AI137+AM137</f>
        <v/>
      </c>
      <c r="AT137" s="155">
        <f>F137+J137+N137+R137+V137+Z137+AD137+AH137+AL137+AP137</f>
        <v/>
      </c>
      <c r="AU137" s="157">
        <f>MID(IF(AND(F137=0,F136&gt;0),"; "&amp;$H$10,"")&amp;IF(AND(J137=0,J136&gt;0),"; "&amp;$H$11,"")&amp;IF(AND(N137=0,N136&gt;0),"; "&amp;$H$12,"")&amp;IF(AND(R137=0,R136&gt;0),"; "&amp;$H$13,"")&amp;IF(AND(V137=0,V136&gt;0),"; "&amp;$H$14,"")&amp;IF(AND(Z137=0,Z136&gt;0),"; "&amp;$H$15,"")&amp;IF(AND(AD137=0,AD136&gt;0),"; "&amp;$H$16,"")&amp;IF(AND(AH137=0,AH136&gt;0),"; "&amp;$H$17,"")&amp;IF(AND(AL137=0,AL136&gt;0),"; "&amp;$H$18,"")&amp;IF(AND(AP137=0,AP136&gt;0),"; "&amp;$H$19,""),3,200)</f>
        <v/>
      </c>
    </row>
    <row r="138">
      <c r="A138" s="154" t="n">
        <v>48</v>
      </c>
      <c r="B138" s="156">
        <f>EDATE($B$5,A138-1)</f>
        <v/>
      </c>
      <c r="C138" s="155">
        <f>ROUND(F137*$J$10,2)</f>
        <v/>
      </c>
      <c r="D138" s="155">
        <f>MIN($K$10,F137+C138)</f>
        <v/>
      </c>
      <c r="E138" s="155">
        <f>MIN(F137+C138-D138,MAX(0,$AQ138-(0)))</f>
        <v/>
      </c>
      <c r="F138" s="155">
        <f>ROUND(F137+C138-D138-E138,2)</f>
        <v/>
      </c>
      <c r="G138" s="155">
        <f>ROUND(J137*$J$11,2)</f>
        <v/>
      </c>
      <c r="H138" s="155">
        <f>MIN($K$11,J137+G138)</f>
        <v/>
      </c>
      <c r="I138" s="155">
        <f>MIN(J137+G138-H138,MAX(0,$AQ138-(E138)))</f>
        <v/>
      </c>
      <c r="J138" s="155">
        <f>ROUND(J137+G138-H138-I138,2)</f>
        <v/>
      </c>
      <c r="K138" s="155">
        <f>ROUND(N137*$J$12,2)</f>
        <v/>
      </c>
      <c r="L138" s="155">
        <f>MIN($K$12,N137+K138)</f>
        <v/>
      </c>
      <c r="M138" s="155">
        <f>MIN(N137+K138-L138,MAX(0,$AQ138-(E138+I138)))</f>
        <v/>
      </c>
      <c r="N138" s="155">
        <f>ROUND(N137+K138-L138-M138,2)</f>
        <v/>
      </c>
      <c r="O138" s="155">
        <f>ROUND(R137*$J$13,2)</f>
        <v/>
      </c>
      <c r="P138" s="155">
        <f>MIN($K$13,R137+O138)</f>
        <v/>
      </c>
      <c r="Q138" s="155">
        <f>MIN(R137+O138-P138,MAX(0,$AQ138-(E138+I138+M138)))</f>
        <v/>
      </c>
      <c r="R138" s="155">
        <f>ROUND(R137+O138-P138-Q138,2)</f>
        <v/>
      </c>
      <c r="S138" s="155">
        <f>ROUND(V137*$J$14,2)</f>
        <v/>
      </c>
      <c r="T138" s="155">
        <f>MIN($K$14,V137+S138)</f>
        <v/>
      </c>
      <c r="U138" s="155">
        <f>MIN(V137+S138-T138,MAX(0,$AQ138-(E138+I138+M138+Q138)))</f>
        <v/>
      </c>
      <c r="V138" s="155">
        <f>ROUND(V137+S138-T138-U138,2)</f>
        <v/>
      </c>
      <c r="W138" s="155">
        <f>ROUND(Z137*$J$15,2)</f>
        <v/>
      </c>
      <c r="X138" s="155">
        <f>MIN($K$15,Z137+W138)</f>
        <v/>
      </c>
      <c r="Y138" s="155">
        <f>MIN(Z137+W138-X138,MAX(0,$AQ138-(E138+I138+M138+Q138+U138)))</f>
        <v/>
      </c>
      <c r="Z138" s="155">
        <f>ROUND(Z137+W138-X138-Y138,2)</f>
        <v/>
      </c>
      <c r="AA138" s="155">
        <f>ROUND(AD137*$J$16,2)</f>
        <v/>
      </c>
      <c r="AB138" s="155">
        <f>MIN($K$16,AD137+AA138)</f>
        <v/>
      </c>
      <c r="AC138" s="155">
        <f>MIN(AD137+AA138-AB138,MAX(0,$AQ138-(E138+I138+M138+Q138+U138+Y138)))</f>
        <v/>
      </c>
      <c r="AD138" s="155">
        <f>ROUND(AD137+AA138-AB138-AC138,2)</f>
        <v/>
      </c>
      <c r="AE138" s="155">
        <f>ROUND(AH137*$J$17,2)</f>
        <v/>
      </c>
      <c r="AF138" s="155">
        <f>MIN($K$17,AH137+AE138)</f>
        <v/>
      </c>
      <c r="AG138" s="155">
        <f>MIN(AH137+AE138-AF138,MAX(0,$AQ138-(E138+I138+M138+Q138+U138+Y138+AC138)))</f>
        <v/>
      </c>
      <c r="AH138" s="155">
        <f>ROUND(AH137+AE138-AF138-AG138,2)</f>
        <v/>
      </c>
      <c r="AI138" s="155">
        <f>ROUND(AL137*$J$18,2)</f>
        <v/>
      </c>
      <c r="AJ138" s="155">
        <f>MIN($K$18,AL137+AI138)</f>
        <v/>
      </c>
      <c r="AK138" s="155">
        <f>MIN(AL137+AI138-AJ138,MAX(0,$AQ138-(E138+I138+M138+Q138+U138+Y138+AC138+AG138)))</f>
        <v/>
      </c>
      <c r="AL138" s="155">
        <f>ROUND(AL137+AI138-AJ138-AK138,2)</f>
        <v/>
      </c>
      <c r="AM138" s="155">
        <f>ROUND(AP137*$J$19,2)</f>
        <v/>
      </c>
      <c r="AN138" s="155">
        <f>MIN($K$19,AP137+AM138)</f>
        <v/>
      </c>
      <c r="AO138" s="155">
        <f>MIN(AP137+AM138-AN138,MAX(0,$AQ138-(E138+I138+M138+Q138+U138+Y138+AC138+AG138+AK138)))</f>
        <v/>
      </c>
      <c r="AP138" s="155">
        <f>ROUND(AP137+AM138-AN138-AO138,2)</f>
        <v/>
      </c>
      <c r="AQ138" s="155">
        <f>MAX(0,$B$6-(D138+H138+L138+P138+T138+X138+AB138+AF138+AJ138+AN138))</f>
        <v/>
      </c>
      <c r="AR138" s="155">
        <f>D138+H138+L138+P138+T138+X138+AB138+AF138+AJ138+AN138+E138+I138+M138+Q138+U138+Y138+AC138+AG138+AK138+AO138</f>
        <v/>
      </c>
      <c r="AS138" s="155">
        <f>C138+G138+K138+O138+S138+W138+AA138+AE138+AI138+AM138</f>
        <v/>
      </c>
      <c r="AT138" s="155">
        <f>F138+J138+N138+R138+V138+Z138+AD138+AH138+AL138+AP138</f>
        <v/>
      </c>
      <c r="AU138" s="157">
        <f>MID(IF(AND(F138=0,F137&gt;0),"; "&amp;$H$10,"")&amp;IF(AND(J138=0,J137&gt;0),"; "&amp;$H$11,"")&amp;IF(AND(N138=0,N137&gt;0),"; "&amp;$H$12,"")&amp;IF(AND(R138=0,R137&gt;0),"; "&amp;$H$13,"")&amp;IF(AND(V138=0,V137&gt;0),"; "&amp;$H$14,"")&amp;IF(AND(Z138=0,Z137&gt;0),"; "&amp;$H$15,"")&amp;IF(AND(AD138=0,AD137&gt;0),"; "&amp;$H$16,"")&amp;IF(AND(AH138=0,AH137&gt;0),"; "&amp;$H$17,"")&amp;IF(AND(AL138=0,AL137&gt;0),"; "&amp;$H$18,"")&amp;IF(AND(AP138=0,AP137&gt;0),"; "&amp;$H$19,""),3,200)</f>
        <v/>
      </c>
    </row>
    <row r="139">
      <c r="A139" s="154" t="n">
        <v>49</v>
      </c>
      <c r="B139" s="156">
        <f>EDATE($B$5,A139-1)</f>
        <v/>
      </c>
      <c r="C139" s="155">
        <f>ROUND(F138*$J$10,2)</f>
        <v/>
      </c>
      <c r="D139" s="155">
        <f>MIN($K$10,F138+C139)</f>
        <v/>
      </c>
      <c r="E139" s="155">
        <f>MIN(F138+C139-D139,MAX(0,$AQ139-(0)))</f>
        <v/>
      </c>
      <c r="F139" s="155">
        <f>ROUND(F138+C139-D139-E139,2)</f>
        <v/>
      </c>
      <c r="G139" s="155">
        <f>ROUND(J138*$J$11,2)</f>
        <v/>
      </c>
      <c r="H139" s="155">
        <f>MIN($K$11,J138+G139)</f>
        <v/>
      </c>
      <c r="I139" s="155">
        <f>MIN(J138+G139-H139,MAX(0,$AQ139-(E139)))</f>
        <v/>
      </c>
      <c r="J139" s="155">
        <f>ROUND(J138+G139-H139-I139,2)</f>
        <v/>
      </c>
      <c r="K139" s="155">
        <f>ROUND(N138*$J$12,2)</f>
        <v/>
      </c>
      <c r="L139" s="155">
        <f>MIN($K$12,N138+K139)</f>
        <v/>
      </c>
      <c r="M139" s="155">
        <f>MIN(N138+K139-L139,MAX(0,$AQ139-(E139+I139)))</f>
        <v/>
      </c>
      <c r="N139" s="155">
        <f>ROUND(N138+K139-L139-M139,2)</f>
        <v/>
      </c>
      <c r="O139" s="155">
        <f>ROUND(R138*$J$13,2)</f>
        <v/>
      </c>
      <c r="P139" s="155">
        <f>MIN($K$13,R138+O139)</f>
        <v/>
      </c>
      <c r="Q139" s="155">
        <f>MIN(R138+O139-P139,MAX(0,$AQ139-(E139+I139+M139)))</f>
        <v/>
      </c>
      <c r="R139" s="155">
        <f>ROUND(R138+O139-P139-Q139,2)</f>
        <v/>
      </c>
      <c r="S139" s="155">
        <f>ROUND(V138*$J$14,2)</f>
        <v/>
      </c>
      <c r="T139" s="155">
        <f>MIN($K$14,V138+S139)</f>
        <v/>
      </c>
      <c r="U139" s="155">
        <f>MIN(V138+S139-T139,MAX(0,$AQ139-(E139+I139+M139+Q139)))</f>
        <v/>
      </c>
      <c r="V139" s="155">
        <f>ROUND(V138+S139-T139-U139,2)</f>
        <v/>
      </c>
      <c r="W139" s="155">
        <f>ROUND(Z138*$J$15,2)</f>
        <v/>
      </c>
      <c r="X139" s="155">
        <f>MIN($K$15,Z138+W139)</f>
        <v/>
      </c>
      <c r="Y139" s="155">
        <f>MIN(Z138+W139-X139,MAX(0,$AQ139-(E139+I139+M139+Q139+U139)))</f>
        <v/>
      </c>
      <c r="Z139" s="155">
        <f>ROUND(Z138+W139-X139-Y139,2)</f>
        <v/>
      </c>
      <c r="AA139" s="155">
        <f>ROUND(AD138*$J$16,2)</f>
        <v/>
      </c>
      <c r="AB139" s="155">
        <f>MIN($K$16,AD138+AA139)</f>
        <v/>
      </c>
      <c r="AC139" s="155">
        <f>MIN(AD138+AA139-AB139,MAX(0,$AQ139-(E139+I139+M139+Q139+U139+Y139)))</f>
        <v/>
      </c>
      <c r="AD139" s="155">
        <f>ROUND(AD138+AA139-AB139-AC139,2)</f>
        <v/>
      </c>
      <c r="AE139" s="155">
        <f>ROUND(AH138*$J$17,2)</f>
        <v/>
      </c>
      <c r="AF139" s="155">
        <f>MIN($K$17,AH138+AE139)</f>
        <v/>
      </c>
      <c r="AG139" s="155">
        <f>MIN(AH138+AE139-AF139,MAX(0,$AQ139-(E139+I139+M139+Q139+U139+Y139+AC139)))</f>
        <v/>
      </c>
      <c r="AH139" s="155">
        <f>ROUND(AH138+AE139-AF139-AG139,2)</f>
        <v/>
      </c>
      <c r="AI139" s="155">
        <f>ROUND(AL138*$J$18,2)</f>
        <v/>
      </c>
      <c r="AJ139" s="155">
        <f>MIN($K$18,AL138+AI139)</f>
        <v/>
      </c>
      <c r="AK139" s="155">
        <f>MIN(AL138+AI139-AJ139,MAX(0,$AQ139-(E139+I139+M139+Q139+U139+Y139+AC139+AG139)))</f>
        <v/>
      </c>
      <c r="AL139" s="155">
        <f>ROUND(AL138+AI139-AJ139-AK139,2)</f>
        <v/>
      </c>
      <c r="AM139" s="155">
        <f>ROUND(AP138*$J$19,2)</f>
        <v/>
      </c>
      <c r="AN139" s="155">
        <f>MIN($K$19,AP138+AM139)</f>
        <v/>
      </c>
      <c r="AO139" s="155">
        <f>MIN(AP138+AM139-AN139,MAX(0,$AQ139-(E139+I139+M139+Q139+U139+Y139+AC139+AG139+AK139)))</f>
        <v/>
      </c>
      <c r="AP139" s="155">
        <f>ROUND(AP138+AM139-AN139-AO139,2)</f>
        <v/>
      </c>
      <c r="AQ139" s="155">
        <f>MAX(0,$B$6-(D139+H139+L139+P139+T139+X139+AB139+AF139+AJ139+AN139))</f>
        <v/>
      </c>
      <c r="AR139" s="155">
        <f>D139+H139+L139+P139+T139+X139+AB139+AF139+AJ139+AN139+E139+I139+M139+Q139+U139+Y139+AC139+AG139+AK139+AO139</f>
        <v/>
      </c>
      <c r="AS139" s="155">
        <f>C139+G139+K139+O139+S139+W139+AA139+AE139+AI139+AM139</f>
        <v/>
      </c>
      <c r="AT139" s="155">
        <f>F139+J139+N139+R139+V139+Z139+AD139+AH139+AL139+AP139</f>
        <v/>
      </c>
      <c r="AU139" s="157">
        <f>MID(IF(AND(F139=0,F138&gt;0),"; "&amp;$H$10,"")&amp;IF(AND(J139=0,J138&gt;0),"; "&amp;$H$11,"")&amp;IF(AND(N139=0,N138&gt;0),"; "&amp;$H$12,"")&amp;IF(AND(R139=0,R138&gt;0),"; "&amp;$H$13,"")&amp;IF(AND(V139=0,V138&gt;0),"; "&amp;$H$14,"")&amp;IF(AND(Z139=0,Z138&gt;0),"; "&amp;$H$15,"")&amp;IF(AND(AD139=0,AD138&gt;0),"; "&amp;$H$16,"")&amp;IF(AND(AH139=0,AH138&gt;0),"; "&amp;$H$17,"")&amp;IF(AND(AL139=0,AL138&gt;0),"; "&amp;$H$18,"")&amp;IF(AND(AP139=0,AP138&gt;0),"; "&amp;$H$19,""),3,200)</f>
        <v/>
      </c>
    </row>
    <row r="140">
      <c r="A140" s="154" t="n">
        <v>50</v>
      </c>
      <c r="B140" s="156">
        <f>EDATE($B$5,A140-1)</f>
        <v/>
      </c>
      <c r="C140" s="155">
        <f>ROUND(F139*$J$10,2)</f>
        <v/>
      </c>
      <c r="D140" s="155">
        <f>MIN($K$10,F139+C140)</f>
        <v/>
      </c>
      <c r="E140" s="155">
        <f>MIN(F139+C140-D140,MAX(0,$AQ140-(0)))</f>
        <v/>
      </c>
      <c r="F140" s="155">
        <f>ROUND(F139+C140-D140-E140,2)</f>
        <v/>
      </c>
      <c r="G140" s="155">
        <f>ROUND(J139*$J$11,2)</f>
        <v/>
      </c>
      <c r="H140" s="155">
        <f>MIN($K$11,J139+G140)</f>
        <v/>
      </c>
      <c r="I140" s="155">
        <f>MIN(J139+G140-H140,MAX(0,$AQ140-(E140)))</f>
        <v/>
      </c>
      <c r="J140" s="155">
        <f>ROUND(J139+G140-H140-I140,2)</f>
        <v/>
      </c>
      <c r="K140" s="155">
        <f>ROUND(N139*$J$12,2)</f>
        <v/>
      </c>
      <c r="L140" s="155">
        <f>MIN($K$12,N139+K140)</f>
        <v/>
      </c>
      <c r="M140" s="155">
        <f>MIN(N139+K140-L140,MAX(0,$AQ140-(E140+I140)))</f>
        <v/>
      </c>
      <c r="N140" s="155">
        <f>ROUND(N139+K140-L140-M140,2)</f>
        <v/>
      </c>
      <c r="O140" s="155">
        <f>ROUND(R139*$J$13,2)</f>
        <v/>
      </c>
      <c r="P140" s="155">
        <f>MIN($K$13,R139+O140)</f>
        <v/>
      </c>
      <c r="Q140" s="155">
        <f>MIN(R139+O140-P140,MAX(0,$AQ140-(E140+I140+M140)))</f>
        <v/>
      </c>
      <c r="R140" s="155">
        <f>ROUND(R139+O140-P140-Q140,2)</f>
        <v/>
      </c>
      <c r="S140" s="155">
        <f>ROUND(V139*$J$14,2)</f>
        <v/>
      </c>
      <c r="T140" s="155">
        <f>MIN($K$14,V139+S140)</f>
        <v/>
      </c>
      <c r="U140" s="155">
        <f>MIN(V139+S140-T140,MAX(0,$AQ140-(E140+I140+M140+Q140)))</f>
        <v/>
      </c>
      <c r="V140" s="155">
        <f>ROUND(V139+S140-T140-U140,2)</f>
        <v/>
      </c>
      <c r="W140" s="155">
        <f>ROUND(Z139*$J$15,2)</f>
        <v/>
      </c>
      <c r="X140" s="155">
        <f>MIN($K$15,Z139+W140)</f>
        <v/>
      </c>
      <c r="Y140" s="155">
        <f>MIN(Z139+W140-X140,MAX(0,$AQ140-(E140+I140+M140+Q140+U140)))</f>
        <v/>
      </c>
      <c r="Z140" s="155">
        <f>ROUND(Z139+W140-X140-Y140,2)</f>
        <v/>
      </c>
      <c r="AA140" s="155">
        <f>ROUND(AD139*$J$16,2)</f>
        <v/>
      </c>
      <c r="AB140" s="155">
        <f>MIN($K$16,AD139+AA140)</f>
        <v/>
      </c>
      <c r="AC140" s="155">
        <f>MIN(AD139+AA140-AB140,MAX(0,$AQ140-(E140+I140+M140+Q140+U140+Y140)))</f>
        <v/>
      </c>
      <c r="AD140" s="155">
        <f>ROUND(AD139+AA140-AB140-AC140,2)</f>
        <v/>
      </c>
      <c r="AE140" s="155">
        <f>ROUND(AH139*$J$17,2)</f>
        <v/>
      </c>
      <c r="AF140" s="155">
        <f>MIN($K$17,AH139+AE140)</f>
        <v/>
      </c>
      <c r="AG140" s="155">
        <f>MIN(AH139+AE140-AF140,MAX(0,$AQ140-(E140+I140+M140+Q140+U140+Y140+AC140)))</f>
        <v/>
      </c>
      <c r="AH140" s="155">
        <f>ROUND(AH139+AE140-AF140-AG140,2)</f>
        <v/>
      </c>
      <c r="AI140" s="155">
        <f>ROUND(AL139*$J$18,2)</f>
        <v/>
      </c>
      <c r="AJ140" s="155">
        <f>MIN($K$18,AL139+AI140)</f>
        <v/>
      </c>
      <c r="AK140" s="155">
        <f>MIN(AL139+AI140-AJ140,MAX(0,$AQ140-(E140+I140+M140+Q140+U140+Y140+AC140+AG140)))</f>
        <v/>
      </c>
      <c r="AL140" s="155">
        <f>ROUND(AL139+AI140-AJ140-AK140,2)</f>
        <v/>
      </c>
      <c r="AM140" s="155">
        <f>ROUND(AP139*$J$19,2)</f>
        <v/>
      </c>
      <c r="AN140" s="155">
        <f>MIN($K$19,AP139+AM140)</f>
        <v/>
      </c>
      <c r="AO140" s="155">
        <f>MIN(AP139+AM140-AN140,MAX(0,$AQ140-(E140+I140+M140+Q140+U140+Y140+AC140+AG140+AK140)))</f>
        <v/>
      </c>
      <c r="AP140" s="155">
        <f>ROUND(AP139+AM140-AN140-AO140,2)</f>
        <v/>
      </c>
      <c r="AQ140" s="155">
        <f>MAX(0,$B$6-(D140+H140+L140+P140+T140+X140+AB140+AF140+AJ140+AN140))</f>
        <v/>
      </c>
      <c r="AR140" s="155">
        <f>D140+H140+L140+P140+T140+X140+AB140+AF140+AJ140+AN140+E140+I140+M140+Q140+U140+Y140+AC140+AG140+AK140+AO140</f>
        <v/>
      </c>
      <c r="AS140" s="155">
        <f>C140+G140+K140+O140+S140+W140+AA140+AE140+AI140+AM140</f>
        <v/>
      </c>
      <c r="AT140" s="155">
        <f>F140+J140+N140+R140+V140+Z140+AD140+AH140+AL140+AP140</f>
        <v/>
      </c>
      <c r="AU140" s="157">
        <f>MID(IF(AND(F140=0,F139&gt;0),"; "&amp;$H$10,"")&amp;IF(AND(J140=0,J139&gt;0),"; "&amp;$H$11,"")&amp;IF(AND(N140=0,N139&gt;0),"; "&amp;$H$12,"")&amp;IF(AND(R140=0,R139&gt;0),"; "&amp;$H$13,"")&amp;IF(AND(V140=0,V139&gt;0),"; "&amp;$H$14,"")&amp;IF(AND(Z140=0,Z139&gt;0),"; "&amp;$H$15,"")&amp;IF(AND(AD140=0,AD139&gt;0),"; "&amp;$H$16,"")&amp;IF(AND(AH140=0,AH139&gt;0),"; "&amp;$H$17,"")&amp;IF(AND(AL140=0,AL139&gt;0),"; "&amp;$H$18,"")&amp;IF(AND(AP140=0,AP139&gt;0),"; "&amp;$H$19,""),3,200)</f>
        <v/>
      </c>
    </row>
    <row r="141">
      <c r="A141" s="154" t="n">
        <v>51</v>
      </c>
      <c r="B141" s="156">
        <f>EDATE($B$5,A141-1)</f>
        <v/>
      </c>
      <c r="C141" s="155">
        <f>ROUND(F140*$J$10,2)</f>
        <v/>
      </c>
      <c r="D141" s="155">
        <f>MIN($K$10,F140+C141)</f>
        <v/>
      </c>
      <c r="E141" s="155">
        <f>MIN(F140+C141-D141,MAX(0,$AQ141-(0)))</f>
        <v/>
      </c>
      <c r="F141" s="155">
        <f>ROUND(F140+C141-D141-E141,2)</f>
        <v/>
      </c>
      <c r="G141" s="155">
        <f>ROUND(J140*$J$11,2)</f>
        <v/>
      </c>
      <c r="H141" s="155">
        <f>MIN($K$11,J140+G141)</f>
        <v/>
      </c>
      <c r="I141" s="155">
        <f>MIN(J140+G141-H141,MAX(0,$AQ141-(E141)))</f>
        <v/>
      </c>
      <c r="J141" s="155">
        <f>ROUND(J140+G141-H141-I141,2)</f>
        <v/>
      </c>
      <c r="K141" s="155">
        <f>ROUND(N140*$J$12,2)</f>
        <v/>
      </c>
      <c r="L141" s="155">
        <f>MIN($K$12,N140+K141)</f>
        <v/>
      </c>
      <c r="M141" s="155">
        <f>MIN(N140+K141-L141,MAX(0,$AQ141-(E141+I141)))</f>
        <v/>
      </c>
      <c r="N141" s="155">
        <f>ROUND(N140+K141-L141-M141,2)</f>
        <v/>
      </c>
      <c r="O141" s="155">
        <f>ROUND(R140*$J$13,2)</f>
        <v/>
      </c>
      <c r="P141" s="155">
        <f>MIN($K$13,R140+O141)</f>
        <v/>
      </c>
      <c r="Q141" s="155">
        <f>MIN(R140+O141-P141,MAX(0,$AQ141-(E141+I141+M141)))</f>
        <v/>
      </c>
      <c r="R141" s="155">
        <f>ROUND(R140+O141-P141-Q141,2)</f>
        <v/>
      </c>
      <c r="S141" s="155">
        <f>ROUND(V140*$J$14,2)</f>
        <v/>
      </c>
      <c r="T141" s="155">
        <f>MIN($K$14,V140+S141)</f>
        <v/>
      </c>
      <c r="U141" s="155">
        <f>MIN(V140+S141-T141,MAX(0,$AQ141-(E141+I141+M141+Q141)))</f>
        <v/>
      </c>
      <c r="V141" s="155">
        <f>ROUND(V140+S141-T141-U141,2)</f>
        <v/>
      </c>
      <c r="W141" s="155">
        <f>ROUND(Z140*$J$15,2)</f>
        <v/>
      </c>
      <c r="X141" s="155">
        <f>MIN($K$15,Z140+W141)</f>
        <v/>
      </c>
      <c r="Y141" s="155">
        <f>MIN(Z140+W141-X141,MAX(0,$AQ141-(E141+I141+M141+Q141+U141)))</f>
        <v/>
      </c>
      <c r="Z141" s="155">
        <f>ROUND(Z140+W141-X141-Y141,2)</f>
        <v/>
      </c>
      <c r="AA141" s="155">
        <f>ROUND(AD140*$J$16,2)</f>
        <v/>
      </c>
      <c r="AB141" s="155">
        <f>MIN($K$16,AD140+AA141)</f>
        <v/>
      </c>
      <c r="AC141" s="155">
        <f>MIN(AD140+AA141-AB141,MAX(0,$AQ141-(E141+I141+M141+Q141+U141+Y141)))</f>
        <v/>
      </c>
      <c r="AD141" s="155">
        <f>ROUND(AD140+AA141-AB141-AC141,2)</f>
        <v/>
      </c>
      <c r="AE141" s="155">
        <f>ROUND(AH140*$J$17,2)</f>
        <v/>
      </c>
      <c r="AF141" s="155">
        <f>MIN($K$17,AH140+AE141)</f>
        <v/>
      </c>
      <c r="AG141" s="155">
        <f>MIN(AH140+AE141-AF141,MAX(0,$AQ141-(E141+I141+M141+Q141+U141+Y141+AC141)))</f>
        <v/>
      </c>
      <c r="AH141" s="155">
        <f>ROUND(AH140+AE141-AF141-AG141,2)</f>
        <v/>
      </c>
      <c r="AI141" s="155">
        <f>ROUND(AL140*$J$18,2)</f>
        <v/>
      </c>
      <c r="AJ141" s="155">
        <f>MIN($K$18,AL140+AI141)</f>
        <v/>
      </c>
      <c r="AK141" s="155">
        <f>MIN(AL140+AI141-AJ141,MAX(0,$AQ141-(E141+I141+M141+Q141+U141+Y141+AC141+AG141)))</f>
        <v/>
      </c>
      <c r="AL141" s="155">
        <f>ROUND(AL140+AI141-AJ141-AK141,2)</f>
        <v/>
      </c>
      <c r="AM141" s="155">
        <f>ROUND(AP140*$J$19,2)</f>
        <v/>
      </c>
      <c r="AN141" s="155">
        <f>MIN($K$19,AP140+AM141)</f>
        <v/>
      </c>
      <c r="AO141" s="155">
        <f>MIN(AP140+AM141-AN141,MAX(0,$AQ141-(E141+I141+M141+Q141+U141+Y141+AC141+AG141+AK141)))</f>
        <v/>
      </c>
      <c r="AP141" s="155">
        <f>ROUND(AP140+AM141-AN141-AO141,2)</f>
        <v/>
      </c>
      <c r="AQ141" s="155">
        <f>MAX(0,$B$6-(D141+H141+L141+P141+T141+X141+AB141+AF141+AJ141+AN141))</f>
        <v/>
      </c>
      <c r="AR141" s="155">
        <f>D141+H141+L141+P141+T141+X141+AB141+AF141+AJ141+AN141+E141+I141+M141+Q141+U141+Y141+AC141+AG141+AK141+AO141</f>
        <v/>
      </c>
      <c r="AS141" s="155">
        <f>C141+G141+K141+O141+S141+W141+AA141+AE141+AI141+AM141</f>
        <v/>
      </c>
      <c r="AT141" s="155">
        <f>F141+J141+N141+R141+V141+Z141+AD141+AH141+AL141+AP141</f>
        <v/>
      </c>
      <c r="AU141" s="157">
        <f>MID(IF(AND(F141=0,F140&gt;0),"; "&amp;$H$10,"")&amp;IF(AND(J141=0,J140&gt;0),"; "&amp;$H$11,"")&amp;IF(AND(N141=0,N140&gt;0),"; "&amp;$H$12,"")&amp;IF(AND(R141=0,R140&gt;0),"; "&amp;$H$13,"")&amp;IF(AND(V141=0,V140&gt;0),"; "&amp;$H$14,"")&amp;IF(AND(Z141=0,Z140&gt;0),"; "&amp;$H$15,"")&amp;IF(AND(AD141=0,AD140&gt;0),"; "&amp;$H$16,"")&amp;IF(AND(AH141=0,AH140&gt;0),"; "&amp;$H$17,"")&amp;IF(AND(AL141=0,AL140&gt;0),"; "&amp;$H$18,"")&amp;IF(AND(AP141=0,AP140&gt;0),"; "&amp;$H$19,""),3,200)</f>
        <v/>
      </c>
    </row>
    <row r="142">
      <c r="A142" s="154" t="n">
        <v>52</v>
      </c>
      <c r="B142" s="156">
        <f>EDATE($B$5,A142-1)</f>
        <v/>
      </c>
      <c r="C142" s="155">
        <f>ROUND(F141*$J$10,2)</f>
        <v/>
      </c>
      <c r="D142" s="155">
        <f>MIN($K$10,F141+C142)</f>
        <v/>
      </c>
      <c r="E142" s="155">
        <f>MIN(F141+C142-D142,MAX(0,$AQ142-(0)))</f>
        <v/>
      </c>
      <c r="F142" s="155">
        <f>ROUND(F141+C142-D142-E142,2)</f>
        <v/>
      </c>
      <c r="G142" s="155">
        <f>ROUND(J141*$J$11,2)</f>
        <v/>
      </c>
      <c r="H142" s="155">
        <f>MIN($K$11,J141+G142)</f>
        <v/>
      </c>
      <c r="I142" s="155">
        <f>MIN(J141+G142-H142,MAX(0,$AQ142-(E142)))</f>
        <v/>
      </c>
      <c r="J142" s="155">
        <f>ROUND(J141+G142-H142-I142,2)</f>
        <v/>
      </c>
      <c r="K142" s="155">
        <f>ROUND(N141*$J$12,2)</f>
        <v/>
      </c>
      <c r="L142" s="155">
        <f>MIN($K$12,N141+K142)</f>
        <v/>
      </c>
      <c r="M142" s="155">
        <f>MIN(N141+K142-L142,MAX(0,$AQ142-(E142+I142)))</f>
        <v/>
      </c>
      <c r="N142" s="155">
        <f>ROUND(N141+K142-L142-M142,2)</f>
        <v/>
      </c>
      <c r="O142" s="155">
        <f>ROUND(R141*$J$13,2)</f>
        <v/>
      </c>
      <c r="P142" s="155">
        <f>MIN($K$13,R141+O142)</f>
        <v/>
      </c>
      <c r="Q142" s="155">
        <f>MIN(R141+O142-P142,MAX(0,$AQ142-(E142+I142+M142)))</f>
        <v/>
      </c>
      <c r="R142" s="155">
        <f>ROUND(R141+O142-P142-Q142,2)</f>
        <v/>
      </c>
      <c r="S142" s="155">
        <f>ROUND(V141*$J$14,2)</f>
        <v/>
      </c>
      <c r="T142" s="155">
        <f>MIN($K$14,V141+S142)</f>
        <v/>
      </c>
      <c r="U142" s="155">
        <f>MIN(V141+S142-T142,MAX(0,$AQ142-(E142+I142+M142+Q142)))</f>
        <v/>
      </c>
      <c r="V142" s="155">
        <f>ROUND(V141+S142-T142-U142,2)</f>
        <v/>
      </c>
      <c r="W142" s="155">
        <f>ROUND(Z141*$J$15,2)</f>
        <v/>
      </c>
      <c r="X142" s="155">
        <f>MIN($K$15,Z141+W142)</f>
        <v/>
      </c>
      <c r="Y142" s="155">
        <f>MIN(Z141+W142-X142,MAX(0,$AQ142-(E142+I142+M142+Q142+U142)))</f>
        <v/>
      </c>
      <c r="Z142" s="155">
        <f>ROUND(Z141+W142-X142-Y142,2)</f>
        <v/>
      </c>
      <c r="AA142" s="155">
        <f>ROUND(AD141*$J$16,2)</f>
        <v/>
      </c>
      <c r="AB142" s="155">
        <f>MIN($K$16,AD141+AA142)</f>
        <v/>
      </c>
      <c r="AC142" s="155">
        <f>MIN(AD141+AA142-AB142,MAX(0,$AQ142-(E142+I142+M142+Q142+U142+Y142)))</f>
        <v/>
      </c>
      <c r="AD142" s="155">
        <f>ROUND(AD141+AA142-AB142-AC142,2)</f>
        <v/>
      </c>
      <c r="AE142" s="155">
        <f>ROUND(AH141*$J$17,2)</f>
        <v/>
      </c>
      <c r="AF142" s="155">
        <f>MIN($K$17,AH141+AE142)</f>
        <v/>
      </c>
      <c r="AG142" s="155">
        <f>MIN(AH141+AE142-AF142,MAX(0,$AQ142-(E142+I142+M142+Q142+U142+Y142+AC142)))</f>
        <v/>
      </c>
      <c r="AH142" s="155">
        <f>ROUND(AH141+AE142-AF142-AG142,2)</f>
        <v/>
      </c>
      <c r="AI142" s="155">
        <f>ROUND(AL141*$J$18,2)</f>
        <v/>
      </c>
      <c r="AJ142" s="155">
        <f>MIN($K$18,AL141+AI142)</f>
        <v/>
      </c>
      <c r="AK142" s="155">
        <f>MIN(AL141+AI142-AJ142,MAX(0,$AQ142-(E142+I142+M142+Q142+U142+Y142+AC142+AG142)))</f>
        <v/>
      </c>
      <c r="AL142" s="155">
        <f>ROUND(AL141+AI142-AJ142-AK142,2)</f>
        <v/>
      </c>
      <c r="AM142" s="155">
        <f>ROUND(AP141*$J$19,2)</f>
        <v/>
      </c>
      <c r="AN142" s="155">
        <f>MIN($K$19,AP141+AM142)</f>
        <v/>
      </c>
      <c r="AO142" s="155">
        <f>MIN(AP141+AM142-AN142,MAX(0,$AQ142-(E142+I142+M142+Q142+U142+Y142+AC142+AG142+AK142)))</f>
        <v/>
      </c>
      <c r="AP142" s="155">
        <f>ROUND(AP141+AM142-AN142-AO142,2)</f>
        <v/>
      </c>
      <c r="AQ142" s="155">
        <f>MAX(0,$B$6-(D142+H142+L142+P142+T142+X142+AB142+AF142+AJ142+AN142))</f>
        <v/>
      </c>
      <c r="AR142" s="155">
        <f>D142+H142+L142+P142+T142+X142+AB142+AF142+AJ142+AN142+E142+I142+M142+Q142+U142+Y142+AC142+AG142+AK142+AO142</f>
        <v/>
      </c>
      <c r="AS142" s="155">
        <f>C142+G142+K142+O142+S142+W142+AA142+AE142+AI142+AM142</f>
        <v/>
      </c>
      <c r="AT142" s="155">
        <f>F142+J142+N142+R142+V142+Z142+AD142+AH142+AL142+AP142</f>
        <v/>
      </c>
      <c r="AU142" s="157">
        <f>MID(IF(AND(F142=0,F141&gt;0),"; "&amp;$H$10,"")&amp;IF(AND(J142=0,J141&gt;0),"; "&amp;$H$11,"")&amp;IF(AND(N142=0,N141&gt;0),"; "&amp;$H$12,"")&amp;IF(AND(R142=0,R141&gt;0),"; "&amp;$H$13,"")&amp;IF(AND(V142=0,V141&gt;0),"; "&amp;$H$14,"")&amp;IF(AND(Z142=0,Z141&gt;0),"; "&amp;$H$15,"")&amp;IF(AND(AD142=0,AD141&gt;0),"; "&amp;$H$16,"")&amp;IF(AND(AH142=0,AH141&gt;0),"; "&amp;$H$17,"")&amp;IF(AND(AL142=0,AL141&gt;0),"; "&amp;$H$18,"")&amp;IF(AND(AP142=0,AP141&gt;0),"; "&amp;$H$19,""),3,200)</f>
        <v/>
      </c>
    </row>
    <row r="143">
      <c r="A143" s="154" t="n">
        <v>53</v>
      </c>
      <c r="B143" s="156">
        <f>EDATE($B$5,A143-1)</f>
        <v/>
      </c>
      <c r="C143" s="155">
        <f>ROUND(F142*$J$10,2)</f>
        <v/>
      </c>
      <c r="D143" s="155">
        <f>MIN($K$10,F142+C143)</f>
        <v/>
      </c>
      <c r="E143" s="155">
        <f>MIN(F142+C143-D143,MAX(0,$AQ143-(0)))</f>
        <v/>
      </c>
      <c r="F143" s="155">
        <f>ROUND(F142+C143-D143-E143,2)</f>
        <v/>
      </c>
      <c r="G143" s="155">
        <f>ROUND(J142*$J$11,2)</f>
        <v/>
      </c>
      <c r="H143" s="155">
        <f>MIN($K$11,J142+G143)</f>
        <v/>
      </c>
      <c r="I143" s="155">
        <f>MIN(J142+G143-H143,MAX(0,$AQ143-(E143)))</f>
        <v/>
      </c>
      <c r="J143" s="155">
        <f>ROUND(J142+G143-H143-I143,2)</f>
        <v/>
      </c>
      <c r="K143" s="155">
        <f>ROUND(N142*$J$12,2)</f>
        <v/>
      </c>
      <c r="L143" s="155">
        <f>MIN($K$12,N142+K143)</f>
        <v/>
      </c>
      <c r="M143" s="155">
        <f>MIN(N142+K143-L143,MAX(0,$AQ143-(E143+I143)))</f>
        <v/>
      </c>
      <c r="N143" s="155">
        <f>ROUND(N142+K143-L143-M143,2)</f>
        <v/>
      </c>
      <c r="O143" s="155">
        <f>ROUND(R142*$J$13,2)</f>
        <v/>
      </c>
      <c r="P143" s="155">
        <f>MIN($K$13,R142+O143)</f>
        <v/>
      </c>
      <c r="Q143" s="155">
        <f>MIN(R142+O143-P143,MAX(0,$AQ143-(E143+I143+M143)))</f>
        <v/>
      </c>
      <c r="R143" s="155">
        <f>ROUND(R142+O143-P143-Q143,2)</f>
        <v/>
      </c>
      <c r="S143" s="155">
        <f>ROUND(V142*$J$14,2)</f>
        <v/>
      </c>
      <c r="T143" s="155">
        <f>MIN($K$14,V142+S143)</f>
        <v/>
      </c>
      <c r="U143" s="155">
        <f>MIN(V142+S143-T143,MAX(0,$AQ143-(E143+I143+M143+Q143)))</f>
        <v/>
      </c>
      <c r="V143" s="155">
        <f>ROUND(V142+S143-T143-U143,2)</f>
        <v/>
      </c>
      <c r="W143" s="155">
        <f>ROUND(Z142*$J$15,2)</f>
        <v/>
      </c>
      <c r="X143" s="155">
        <f>MIN($K$15,Z142+W143)</f>
        <v/>
      </c>
      <c r="Y143" s="155">
        <f>MIN(Z142+W143-X143,MAX(0,$AQ143-(E143+I143+M143+Q143+U143)))</f>
        <v/>
      </c>
      <c r="Z143" s="155">
        <f>ROUND(Z142+W143-X143-Y143,2)</f>
        <v/>
      </c>
      <c r="AA143" s="155">
        <f>ROUND(AD142*$J$16,2)</f>
        <v/>
      </c>
      <c r="AB143" s="155">
        <f>MIN($K$16,AD142+AA143)</f>
        <v/>
      </c>
      <c r="AC143" s="155">
        <f>MIN(AD142+AA143-AB143,MAX(0,$AQ143-(E143+I143+M143+Q143+U143+Y143)))</f>
        <v/>
      </c>
      <c r="AD143" s="155">
        <f>ROUND(AD142+AA143-AB143-AC143,2)</f>
        <v/>
      </c>
      <c r="AE143" s="155">
        <f>ROUND(AH142*$J$17,2)</f>
        <v/>
      </c>
      <c r="AF143" s="155">
        <f>MIN($K$17,AH142+AE143)</f>
        <v/>
      </c>
      <c r="AG143" s="155">
        <f>MIN(AH142+AE143-AF143,MAX(0,$AQ143-(E143+I143+M143+Q143+U143+Y143+AC143)))</f>
        <v/>
      </c>
      <c r="AH143" s="155">
        <f>ROUND(AH142+AE143-AF143-AG143,2)</f>
        <v/>
      </c>
      <c r="AI143" s="155">
        <f>ROUND(AL142*$J$18,2)</f>
        <v/>
      </c>
      <c r="AJ143" s="155">
        <f>MIN($K$18,AL142+AI143)</f>
        <v/>
      </c>
      <c r="AK143" s="155">
        <f>MIN(AL142+AI143-AJ143,MAX(0,$AQ143-(E143+I143+M143+Q143+U143+Y143+AC143+AG143)))</f>
        <v/>
      </c>
      <c r="AL143" s="155">
        <f>ROUND(AL142+AI143-AJ143-AK143,2)</f>
        <v/>
      </c>
      <c r="AM143" s="155">
        <f>ROUND(AP142*$J$19,2)</f>
        <v/>
      </c>
      <c r="AN143" s="155">
        <f>MIN($K$19,AP142+AM143)</f>
        <v/>
      </c>
      <c r="AO143" s="155">
        <f>MIN(AP142+AM143-AN143,MAX(0,$AQ143-(E143+I143+M143+Q143+U143+Y143+AC143+AG143+AK143)))</f>
        <v/>
      </c>
      <c r="AP143" s="155">
        <f>ROUND(AP142+AM143-AN143-AO143,2)</f>
        <v/>
      </c>
      <c r="AQ143" s="155">
        <f>MAX(0,$B$6-(D143+H143+L143+P143+T143+X143+AB143+AF143+AJ143+AN143))</f>
        <v/>
      </c>
      <c r="AR143" s="155">
        <f>D143+H143+L143+P143+T143+X143+AB143+AF143+AJ143+AN143+E143+I143+M143+Q143+U143+Y143+AC143+AG143+AK143+AO143</f>
        <v/>
      </c>
      <c r="AS143" s="155">
        <f>C143+G143+K143+O143+S143+W143+AA143+AE143+AI143+AM143</f>
        <v/>
      </c>
      <c r="AT143" s="155">
        <f>F143+J143+N143+R143+V143+Z143+AD143+AH143+AL143+AP143</f>
        <v/>
      </c>
      <c r="AU143" s="157">
        <f>MID(IF(AND(F143=0,F142&gt;0),"; "&amp;$H$10,"")&amp;IF(AND(J143=0,J142&gt;0),"; "&amp;$H$11,"")&amp;IF(AND(N143=0,N142&gt;0),"; "&amp;$H$12,"")&amp;IF(AND(R143=0,R142&gt;0),"; "&amp;$H$13,"")&amp;IF(AND(V143=0,V142&gt;0),"; "&amp;$H$14,"")&amp;IF(AND(Z143=0,Z142&gt;0),"; "&amp;$H$15,"")&amp;IF(AND(AD143=0,AD142&gt;0),"; "&amp;$H$16,"")&amp;IF(AND(AH143=0,AH142&gt;0),"; "&amp;$H$17,"")&amp;IF(AND(AL143=0,AL142&gt;0),"; "&amp;$H$18,"")&amp;IF(AND(AP143=0,AP142&gt;0),"; "&amp;$H$19,""),3,200)</f>
        <v/>
      </c>
    </row>
    <row r="144">
      <c r="A144" s="154" t="n">
        <v>54</v>
      </c>
      <c r="B144" s="156">
        <f>EDATE($B$5,A144-1)</f>
        <v/>
      </c>
      <c r="C144" s="155">
        <f>ROUND(F143*$J$10,2)</f>
        <v/>
      </c>
      <c r="D144" s="155">
        <f>MIN($K$10,F143+C144)</f>
        <v/>
      </c>
      <c r="E144" s="155">
        <f>MIN(F143+C144-D144,MAX(0,$AQ144-(0)))</f>
        <v/>
      </c>
      <c r="F144" s="155">
        <f>ROUND(F143+C144-D144-E144,2)</f>
        <v/>
      </c>
      <c r="G144" s="155">
        <f>ROUND(J143*$J$11,2)</f>
        <v/>
      </c>
      <c r="H144" s="155">
        <f>MIN($K$11,J143+G144)</f>
        <v/>
      </c>
      <c r="I144" s="155">
        <f>MIN(J143+G144-H144,MAX(0,$AQ144-(E144)))</f>
        <v/>
      </c>
      <c r="J144" s="155">
        <f>ROUND(J143+G144-H144-I144,2)</f>
        <v/>
      </c>
      <c r="K144" s="155">
        <f>ROUND(N143*$J$12,2)</f>
        <v/>
      </c>
      <c r="L144" s="155">
        <f>MIN($K$12,N143+K144)</f>
        <v/>
      </c>
      <c r="M144" s="155">
        <f>MIN(N143+K144-L144,MAX(0,$AQ144-(E144+I144)))</f>
        <v/>
      </c>
      <c r="N144" s="155">
        <f>ROUND(N143+K144-L144-M144,2)</f>
        <v/>
      </c>
      <c r="O144" s="155">
        <f>ROUND(R143*$J$13,2)</f>
        <v/>
      </c>
      <c r="P144" s="155">
        <f>MIN($K$13,R143+O144)</f>
        <v/>
      </c>
      <c r="Q144" s="155">
        <f>MIN(R143+O144-P144,MAX(0,$AQ144-(E144+I144+M144)))</f>
        <v/>
      </c>
      <c r="R144" s="155">
        <f>ROUND(R143+O144-P144-Q144,2)</f>
        <v/>
      </c>
      <c r="S144" s="155">
        <f>ROUND(V143*$J$14,2)</f>
        <v/>
      </c>
      <c r="T144" s="155">
        <f>MIN($K$14,V143+S144)</f>
        <v/>
      </c>
      <c r="U144" s="155">
        <f>MIN(V143+S144-T144,MAX(0,$AQ144-(E144+I144+M144+Q144)))</f>
        <v/>
      </c>
      <c r="V144" s="155">
        <f>ROUND(V143+S144-T144-U144,2)</f>
        <v/>
      </c>
      <c r="W144" s="155">
        <f>ROUND(Z143*$J$15,2)</f>
        <v/>
      </c>
      <c r="X144" s="155">
        <f>MIN($K$15,Z143+W144)</f>
        <v/>
      </c>
      <c r="Y144" s="155">
        <f>MIN(Z143+W144-X144,MAX(0,$AQ144-(E144+I144+M144+Q144+U144)))</f>
        <v/>
      </c>
      <c r="Z144" s="155">
        <f>ROUND(Z143+W144-X144-Y144,2)</f>
        <v/>
      </c>
      <c r="AA144" s="155">
        <f>ROUND(AD143*$J$16,2)</f>
        <v/>
      </c>
      <c r="AB144" s="155">
        <f>MIN($K$16,AD143+AA144)</f>
        <v/>
      </c>
      <c r="AC144" s="155">
        <f>MIN(AD143+AA144-AB144,MAX(0,$AQ144-(E144+I144+M144+Q144+U144+Y144)))</f>
        <v/>
      </c>
      <c r="AD144" s="155">
        <f>ROUND(AD143+AA144-AB144-AC144,2)</f>
        <v/>
      </c>
      <c r="AE144" s="155">
        <f>ROUND(AH143*$J$17,2)</f>
        <v/>
      </c>
      <c r="AF144" s="155">
        <f>MIN($K$17,AH143+AE144)</f>
        <v/>
      </c>
      <c r="AG144" s="155">
        <f>MIN(AH143+AE144-AF144,MAX(0,$AQ144-(E144+I144+M144+Q144+U144+Y144+AC144)))</f>
        <v/>
      </c>
      <c r="AH144" s="155">
        <f>ROUND(AH143+AE144-AF144-AG144,2)</f>
        <v/>
      </c>
      <c r="AI144" s="155">
        <f>ROUND(AL143*$J$18,2)</f>
        <v/>
      </c>
      <c r="AJ144" s="155">
        <f>MIN($K$18,AL143+AI144)</f>
        <v/>
      </c>
      <c r="AK144" s="155">
        <f>MIN(AL143+AI144-AJ144,MAX(0,$AQ144-(E144+I144+M144+Q144+U144+Y144+AC144+AG144)))</f>
        <v/>
      </c>
      <c r="AL144" s="155">
        <f>ROUND(AL143+AI144-AJ144-AK144,2)</f>
        <v/>
      </c>
      <c r="AM144" s="155">
        <f>ROUND(AP143*$J$19,2)</f>
        <v/>
      </c>
      <c r="AN144" s="155">
        <f>MIN($K$19,AP143+AM144)</f>
        <v/>
      </c>
      <c r="AO144" s="155">
        <f>MIN(AP143+AM144-AN144,MAX(0,$AQ144-(E144+I144+M144+Q144+U144+Y144+AC144+AG144+AK144)))</f>
        <v/>
      </c>
      <c r="AP144" s="155">
        <f>ROUND(AP143+AM144-AN144-AO144,2)</f>
        <v/>
      </c>
      <c r="AQ144" s="155">
        <f>MAX(0,$B$6-(D144+H144+L144+P144+T144+X144+AB144+AF144+AJ144+AN144))</f>
        <v/>
      </c>
      <c r="AR144" s="155">
        <f>D144+H144+L144+P144+T144+X144+AB144+AF144+AJ144+AN144+E144+I144+M144+Q144+U144+Y144+AC144+AG144+AK144+AO144</f>
        <v/>
      </c>
      <c r="AS144" s="155">
        <f>C144+G144+K144+O144+S144+W144+AA144+AE144+AI144+AM144</f>
        <v/>
      </c>
      <c r="AT144" s="155">
        <f>F144+J144+N144+R144+V144+Z144+AD144+AH144+AL144+AP144</f>
        <v/>
      </c>
      <c r="AU144" s="157">
        <f>MID(IF(AND(F144=0,F143&gt;0),"; "&amp;$H$10,"")&amp;IF(AND(J144=0,J143&gt;0),"; "&amp;$H$11,"")&amp;IF(AND(N144=0,N143&gt;0),"; "&amp;$H$12,"")&amp;IF(AND(R144=0,R143&gt;0),"; "&amp;$H$13,"")&amp;IF(AND(V144=0,V143&gt;0),"; "&amp;$H$14,"")&amp;IF(AND(Z144=0,Z143&gt;0),"; "&amp;$H$15,"")&amp;IF(AND(AD144=0,AD143&gt;0),"; "&amp;$H$16,"")&amp;IF(AND(AH144=0,AH143&gt;0),"; "&amp;$H$17,"")&amp;IF(AND(AL144=0,AL143&gt;0),"; "&amp;$H$18,"")&amp;IF(AND(AP144=0,AP143&gt;0),"; "&amp;$H$19,""),3,200)</f>
        <v/>
      </c>
    </row>
    <row r="145">
      <c r="A145" s="154" t="n">
        <v>55</v>
      </c>
      <c r="B145" s="156">
        <f>EDATE($B$5,A145-1)</f>
        <v/>
      </c>
      <c r="C145" s="155">
        <f>ROUND(F144*$J$10,2)</f>
        <v/>
      </c>
      <c r="D145" s="155">
        <f>MIN($K$10,F144+C145)</f>
        <v/>
      </c>
      <c r="E145" s="155">
        <f>MIN(F144+C145-D145,MAX(0,$AQ145-(0)))</f>
        <v/>
      </c>
      <c r="F145" s="155">
        <f>ROUND(F144+C145-D145-E145,2)</f>
        <v/>
      </c>
      <c r="G145" s="155">
        <f>ROUND(J144*$J$11,2)</f>
        <v/>
      </c>
      <c r="H145" s="155">
        <f>MIN($K$11,J144+G145)</f>
        <v/>
      </c>
      <c r="I145" s="155">
        <f>MIN(J144+G145-H145,MAX(0,$AQ145-(E145)))</f>
        <v/>
      </c>
      <c r="J145" s="155">
        <f>ROUND(J144+G145-H145-I145,2)</f>
        <v/>
      </c>
      <c r="K145" s="155">
        <f>ROUND(N144*$J$12,2)</f>
        <v/>
      </c>
      <c r="L145" s="155">
        <f>MIN($K$12,N144+K145)</f>
        <v/>
      </c>
      <c r="M145" s="155">
        <f>MIN(N144+K145-L145,MAX(0,$AQ145-(E145+I145)))</f>
        <v/>
      </c>
      <c r="N145" s="155">
        <f>ROUND(N144+K145-L145-M145,2)</f>
        <v/>
      </c>
      <c r="O145" s="155">
        <f>ROUND(R144*$J$13,2)</f>
        <v/>
      </c>
      <c r="P145" s="155">
        <f>MIN($K$13,R144+O145)</f>
        <v/>
      </c>
      <c r="Q145" s="155">
        <f>MIN(R144+O145-P145,MAX(0,$AQ145-(E145+I145+M145)))</f>
        <v/>
      </c>
      <c r="R145" s="155">
        <f>ROUND(R144+O145-P145-Q145,2)</f>
        <v/>
      </c>
      <c r="S145" s="155">
        <f>ROUND(V144*$J$14,2)</f>
        <v/>
      </c>
      <c r="T145" s="155">
        <f>MIN($K$14,V144+S145)</f>
        <v/>
      </c>
      <c r="U145" s="155">
        <f>MIN(V144+S145-T145,MAX(0,$AQ145-(E145+I145+M145+Q145)))</f>
        <v/>
      </c>
      <c r="V145" s="155">
        <f>ROUND(V144+S145-T145-U145,2)</f>
        <v/>
      </c>
      <c r="W145" s="155">
        <f>ROUND(Z144*$J$15,2)</f>
        <v/>
      </c>
      <c r="X145" s="155">
        <f>MIN($K$15,Z144+W145)</f>
        <v/>
      </c>
      <c r="Y145" s="155">
        <f>MIN(Z144+W145-X145,MAX(0,$AQ145-(E145+I145+M145+Q145+U145)))</f>
        <v/>
      </c>
      <c r="Z145" s="155">
        <f>ROUND(Z144+W145-X145-Y145,2)</f>
        <v/>
      </c>
      <c r="AA145" s="155">
        <f>ROUND(AD144*$J$16,2)</f>
        <v/>
      </c>
      <c r="AB145" s="155">
        <f>MIN($K$16,AD144+AA145)</f>
        <v/>
      </c>
      <c r="AC145" s="155">
        <f>MIN(AD144+AA145-AB145,MAX(0,$AQ145-(E145+I145+M145+Q145+U145+Y145)))</f>
        <v/>
      </c>
      <c r="AD145" s="155">
        <f>ROUND(AD144+AA145-AB145-AC145,2)</f>
        <v/>
      </c>
      <c r="AE145" s="155">
        <f>ROUND(AH144*$J$17,2)</f>
        <v/>
      </c>
      <c r="AF145" s="155">
        <f>MIN($K$17,AH144+AE145)</f>
        <v/>
      </c>
      <c r="AG145" s="155">
        <f>MIN(AH144+AE145-AF145,MAX(0,$AQ145-(E145+I145+M145+Q145+U145+Y145+AC145)))</f>
        <v/>
      </c>
      <c r="AH145" s="155">
        <f>ROUND(AH144+AE145-AF145-AG145,2)</f>
        <v/>
      </c>
      <c r="AI145" s="155">
        <f>ROUND(AL144*$J$18,2)</f>
        <v/>
      </c>
      <c r="AJ145" s="155">
        <f>MIN($K$18,AL144+AI145)</f>
        <v/>
      </c>
      <c r="AK145" s="155">
        <f>MIN(AL144+AI145-AJ145,MAX(0,$AQ145-(E145+I145+M145+Q145+U145+Y145+AC145+AG145)))</f>
        <v/>
      </c>
      <c r="AL145" s="155">
        <f>ROUND(AL144+AI145-AJ145-AK145,2)</f>
        <v/>
      </c>
      <c r="AM145" s="155">
        <f>ROUND(AP144*$J$19,2)</f>
        <v/>
      </c>
      <c r="AN145" s="155">
        <f>MIN($K$19,AP144+AM145)</f>
        <v/>
      </c>
      <c r="AO145" s="155">
        <f>MIN(AP144+AM145-AN145,MAX(0,$AQ145-(E145+I145+M145+Q145+U145+Y145+AC145+AG145+AK145)))</f>
        <v/>
      </c>
      <c r="AP145" s="155">
        <f>ROUND(AP144+AM145-AN145-AO145,2)</f>
        <v/>
      </c>
      <c r="AQ145" s="155">
        <f>MAX(0,$B$6-(D145+H145+L145+P145+T145+X145+AB145+AF145+AJ145+AN145))</f>
        <v/>
      </c>
      <c r="AR145" s="155">
        <f>D145+H145+L145+P145+T145+X145+AB145+AF145+AJ145+AN145+E145+I145+M145+Q145+U145+Y145+AC145+AG145+AK145+AO145</f>
        <v/>
      </c>
      <c r="AS145" s="155">
        <f>C145+G145+K145+O145+S145+W145+AA145+AE145+AI145+AM145</f>
        <v/>
      </c>
      <c r="AT145" s="155">
        <f>F145+J145+N145+R145+V145+Z145+AD145+AH145+AL145+AP145</f>
        <v/>
      </c>
      <c r="AU145" s="157">
        <f>MID(IF(AND(F145=0,F144&gt;0),"; "&amp;$H$10,"")&amp;IF(AND(J145=0,J144&gt;0),"; "&amp;$H$11,"")&amp;IF(AND(N145=0,N144&gt;0),"; "&amp;$H$12,"")&amp;IF(AND(R145=0,R144&gt;0),"; "&amp;$H$13,"")&amp;IF(AND(V145=0,V144&gt;0),"; "&amp;$H$14,"")&amp;IF(AND(Z145=0,Z144&gt;0),"; "&amp;$H$15,"")&amp;IF(AND(AD145=0,AD144&gt;0),"; "&amp;$H$16,"")&amp;IF(AND(AH145=0,AH144&gt;0),"; "&amp;$H$17,"")&amp;IF(AND(AL145=0,AL144&gt;0),"; "&amp;$H$18,"")&amp;IF(AND(AP145=0,AP144&gt;0),"; "&amp;$H$19,""),3,200)</f>
        <v/>
      </c>
    </row>
    <row r="146">
      <c r="A146" s="154" t="n">
        <v>56</v>
      </c>
      <c r="B146" s="156">
        <f>EDATE($B$5,A146-1)</f>
        <v/>
      </c>
      <c r="C146" s="155">
        <f>ROUND(F145*$J$10,2)</f>
        <v/>
      </c>
      <c r="D146" s="155">
        <f>MIN($K$10,F145+C146)</f>
        <v/>
      </c>
      <c r="E146" s="155">
        <f>MIN(F145+C146-D146,MAX(0,$AQ146-(0)))</f>
        <v/>
      </c>
      <c r="F146" s="155">
        <f>ROUND(F145+C146-D146-E146,2)</f>
        <v/>
      </c>
      <c r="G146" s="155">
        <f>ROUND(J145*$J$11,2)</f>
        <v/>
      </c>
      <c r="H146" s="155">
        <f>MIN($K$11,J145+G146)</f>
        <v/>
      </c>
      <c r="I146" s="155">
        <f>MIN(J145+G146-H146,MAX(0,$AQ146-(E146)))</f>
        <v/>
      </c>
      <c r="J146" s="155">
        <f>ROUND(J145+G146-H146-I146,2)</f>
        <v/>
      </c>
      <c r="K146" s="155">
        <f>ROUND(N145*$J$12,2)</f>
        <v/>
      </c>
      <c r="L146" s="155">
        <f>MIN($K$12,N145+K146)</f>
        <v/>
      </c>
      <c r="M146" s="155">
        <f>MIN(N145+K146-L146,MAX(0,$AQ146-(E146+I146)))</f>
        <v/>
      </c>
      <c r="N146" s="155">
        <f>ROUND(N145+K146-L146-M146,2)</f>
        <v/>
      </c>
      <c r="O146" s="155">
        <f>ROUND(R145*$J$13,2)</f>
        <v/>
      </c>
      <c r="P146" s="155">
        <f>MIN($K$13,R145+O146)</f>
        <v/>
      </c>
      <c r="Q146" s="155">
        <f>MIN(R145+O146-P146,MAX(0,$AQ146-(E146+I146+M146)))</f>
        <v/>
      </c>
      <c r="R146" s="155">
        <f>ROUND(R145+O146-P146-Q146,2)</f>
        <v/>
      </c>
      <c r="S146" s="155">
        <f>ROUND(V145*$J$14,2)</f>
        <v/>
      </c>
      <c r="T146" s="155">
        <f>MIN($K$14,V145+S146)</f>
        <v/>
      </c>
      <c r="U146" s="155">
        <f>MIN(V145+S146-T146,MAX(0,$AQ146-(E146+I146+M146+Q146)))</f>
        <v/>
      </c>
      <c r="V146" s="155">
        <f>ROUND(V145+S146-T146-U146,2)</f>
        <v/>
      </c>
      <c r="W146" s="155">
        <f>ROUND(Z145*$J$15,2)</f>
        <v/>
      </c>
      <c r="X146" s="155">
        <f>MIN($K$15,Z145+W146)</f>
        <v/>
      </c>
      <c r="Y146" s="155">
        <f>MIN(Z145+W146-X146,MAX(0,$AQ146-(E146+I146+M146+Q146+U146)))</f>
        <v/>
      </c>
      <c r="Z146" s="155">
        <f>ROUND(Z145+W146-X146-Y146,2)</f>
        <v/>
      </c>
      <c r="AA146" s="155">
        <f>ROUND(AD145*$J$16,2)</f>
        <v/>
      </c>
      <c r="AB146" s="155">
        <f>MIN($K$16,AD145+AA146)</f>
        <v/>
      </c>
      <c r="AC146" s="155">
        <f>MIN(AD145+AA146-AB146,MAX(0,$AQ146-(E146+I146+M146+Q146+U146+Y146)))</f>
        <v/>
      </c>
      <c r="AD146" s="155">
        <f>ROUND(AD145+AA146-AB146-AC146,2)</f>
        <v/>
      </c>
      <c r="AE146" s="155">
        <f>ROUND(AH145*$J$17,2)</f>
        <v/>
      </c>
      <c r="AF146" s="155">
        <f>MIN($K$17,AH145+AE146)</f>
        <v/>
      </c>
      <c r="AG146" s="155">
        <f>MIN(AH145+AE146-AF146,MAX(0,$AQ146-(E146+I146+M146+Q146+U146+Y146+AC146)))</f>
        <v/>
      </c>
      <c r="AH146" s="155">
        <f>ROUND(AH145+AE146-AF146-AG146,2)</f>
        <v/>
      </c>
      <c r="AI146" s="155">
        <f>ROUND(AL145*$J$18,2)</f>
        <v/>
      </c>
      <c r="AJ146" s="155">
        <f>MIN($K$18,AL145+AI146)</f>
        <v/>
      </c>
      <c r="AK146" s="155">
        <f>MIN(AL145+AI146-AJ146,MAX(0,$AQ146-(E146+I146+M146+Q146+U146+Y146+AC146+AG146)))</f>
        <v/>
      </c>
      <c r="AL146" s="155">
        <f>ROUND(AL145+AI146-AJ146-AK146,2)</f>
        <v/>
      </c>
      <c r="AM146" s="155">
        <f>ROUND(AP145*$J$19,2)</f>
        <v/>
      </c>
      <c r="AN146" s="155">
        <f>MIN($K$19,AP145+AM146)</f>
        <v/>
      </c>
      <c r="AO146" s="155">
        <f>MIN(AP145+AM146-AN146,MAX(0,$AQ146-(E146+I146+M146+Q146+U146+Y146+AC146+AG146+AK146)))</f>
        <v/>
      </c>
      <c r="AP146" s="155">
        <f>ROUND(AP145+AM146-AN146-AO146,2)</f>
        <v/>
      </c>
      <c r="AQ146" s="155">
        <f>MAX(0,$B$6-(D146+H146+L146+P146+T146+X146+AB146+AF146+AJ146+AN146))</f>
        <v/>
      </c>
      <c r="AR146" s="155">
        <f>D146+H146+L146+P146+T146+X146+AB146+AF146+AJ146+AN146+E146+I146+M146+Q146+U146+Y146+AC146+AG146+AK146+AO146</f>
        <v/>
      </c>
      <c r="AS146" s="155">
        <f>C146+G146+K146+O146+S146+W146+AA146+AE146+AI146+AM146</f>
        <v/>
      </c>
      <c r="AT146" s="155">
        <f>F146+J146+N146+R146+V146+Z146+AD146+AH146+AL146+AP146</f>
        <v/>
      </c>
      <c r="AU146" s="157">
        <f>MID(IF(AND(F146=0,F145&gt;0),"; "&amp;$H$10,"")&amp;IF(AND(J146=0,J145&gt;0),"; "&amp;$H$11,"")&amp;IF(AND(N146=0,N145&gt;0),"; "&amp;$H$12,"")&amp;IF(AND(R146=0,R145&gt;0),"; "&amp;$H$13,"")&amp;IF(AND(V146=0,V145&gt;0),"; "&amp;$H$14,"")&amp;IF(AND(Z146=0,Z145&gt;0),"; "&amp;$H$15,"")&amp;IF(AND(AD146=0,AD145&gt;0),"; "&amp;$H$16,"")&amp;IF(AND(AH146=0,AH145&gt;0),"; "&amp;$H$17,"")&amp;IF(AND(AL146=0,AL145&gt;0),"; "&amp;$H$18,"")&amp;IF(AND(AP146=0,AP145&gt;0),"; "&amp;$H$19,""),3,200)</f>
        <v/>
      </c>
    </row>
    <row r="147">
      <c r="A147" s="154" t="n">
        <v>57</v>
      </c>
      <c r="B147" s="156">
        <f>EDATE($B$5,A147-1)</f>
        <v/>
      </c>
      <c r="C147" s="155">
        <f>ROUND(F146*$J$10,2)</f>
        <v/>
      </c>
      <c r="D147" s="155">
        <f>MIN($K$10,F146+C147)</f>
        <v/>
      </c>
      <c r="E147" s="155">
        <f>MIN(F146+C147-D147,MAX(0,$AQ147-(0)))</f>
        <v/>
      </c>
      <c r="F147" s="155">
        <f>ROUND(F146+C147-D147-E147,2)</f>
        <v/>
      </c>
      <c r="G147" s="155">
        <f>ROUND(J146*$J$11,2)</f>
        <v/>
      </c>
      <c r="H147" s="155">
        <f>MIN($K$11,J146+G147)</f>
        <v/>
      </c>
      <c r="I147" s="155">
        <f>MIN(J146+G147-H147,MAX(0,$AQ147-(E147)))</f>
        <v/>
      </c>
      <c r="J147" s="155">
        <f>ROUND(J146+G147-H147-I147,2)</f>
        <v/>
      </c>
      <c r="K147" s="155">
        <f>ROUND(N146*$J$12,2)</f>
        <v/>
      </c>
      <c r="L147" s="155">
        <f>MIN($K$12,N146+K147)</f>
        <v/>
      </c>
      <c r="M147" s="155">
        <f>MIN(N146+K147-L147,MAX(0,$AQ147-(E147+I147)))</f>
        <v/>
      </c>
      <c r="N147" s="155">
        <f>ROUND(N146+K147-L147-M147,2)</f>
        <v/>
      </c>
      <c r="O147" s="155">
        <f>ROUND(R146*$J$13,2)</f>
        <v/>
      </c>
      <c r="P147" s="155">
        <f>MIN($K$13,R146+O147)</f>
        <v/>
      </c>
      <c r="Q147" s="155">
        <f>MIN(R146+O147-P147,MAX(0,$AQ147-(E147+I147+M147)))</f>
        <v/>
      </c>
      <c r="R147" s="155">
        <f>ROUND(R146+O147-P147-Q147,2)</f>
        <v/>
      </c>
      <c r="S147" s="155">
        <f>ROUND(V146*$J$14,2)</f>
        <v/>
      </c>
      <c r="T147" s="155">
        <f>MIN($K$14,V146+S147)</f>
        <v/>
      </c>
      <c r="U147" s="155">
        <f>MIN(V146+S147-T147,MAX(0,$AQ147-(E147+I147+M147+Q147)))</f>
        <v/>
      </c>
      <c r="V147" s="155">
        <f>ROUND(V146+S147-T147-U147,2)</f>
        <v/>
      </c>
      <c r="W147" s="155">
        <f>ROUND(Z146*$J$15,2)</f>
        <v/>
      </c>
      <c r="X147" s="155">
        <f>MIN($K$15,Z146+W147)</f>
        <v/>
      </c>
      <c r="Y147" s="155">
        <f>MIN(Z146+W147-X147,MAX(0,$AQ147-(E147+I147+M147+Q147+U147)))</f>
        <v/>
      </c>
      <c r="Z147" s="155">
        <f>ROUND(Z146+W147-X147-Y147,2)</f>
        <v/>
      </c>
      <c r="AA147" s="155">
        <f>ROUND(AD146*$J$16,2)</f>
        <v/>
      </c>
      <c r="AB147" s="155">
        <f>MIN($K$16,AD146+AA147)</f>
        <v/>
      </c>
      <c r="AC147" s="155">
        <f>MIN(AD146+AA147-AB147,MAX(0,$AQ147-(E147+I147+M147+Q147+U147+Y147)))</f>
        <v/>
      </c>
      <c r="AD147" s="155">
        <f>ROUND(AD146+AA147-AB147-AC147,2)</f>
        <v/>
      </c>
      <c r="AE147" s="155">
        <f>ROUND(AH146*$J$17,2)</f>
        <v/>
      </c>
      <c r="AF147" s="155">
        <f>MIN($K$17,AH146+AE147)</f>
        <v/>
      </c>
      <c r="AG147" s="155">
        <f>MIN(AH146+AE147-AF147,MAX(0,$AQ147-(E147+I147+M147+Q147+U147+Y147+AC147)))</f>
        <v/>
      </c>
      <c r="AH147" s="155">
        <f>ROUND(AH146+AE147-AF147-AG147,2)</f>
        <v/>
      </c>
      <c r="AI147" s="155">
        <f>ROUND(AL146*$J$18,2)</f>
        <v/>
      </c>
      <c r="AJ147" s="155">
        <f>MIN($K$18,AL146+AI147)</f>
        <v/>
      </c>
      <c r="AK147" s="155">
        <f>MIN(AL146+AI147-AJ147,MAX(0,$AQ147-(E147+I147+M147+Q147+U147+Y147+AC147+AG147)))</f>
        <v/>
      </c>
      <c r="AL147" s="155">
        <f>ROUND(AL146+AI147-AJ147-AK147,2)</f>
        <v/>
      </c>
      <c r="AM147" s="155">
        <f>ROUND(AP146*$J$19,2)</f>
        <v/>
      </c>
      <c r="AN147" s="155">
        <f>MIN($K$19,AP146+AM147)</f>
        <v/>
      </c>
      <c r="AO147" s="155">
        <f>MIN(AP146+AM147-AN147,MAX(0,$AQ147-(E147+I147+M147+Q147+U147+Y147+AC147+AG147+AK147)))</f>
        <v/>
      </c>
      <c r="AP147" s="155">
        <f>ROUND(AP146+AM147-AN147-AO147,2)</f>
        <v/>
      </c>
      <c r="AQ147" s="155">
        <f>MAX(0,$B$6-(D147+H147+L147+P147+T147+X147+AB147+AF147+AJ147+AN147))</f>
        <v/>
      </c>
      <c r="AR147" s="155">
        <f>D147+H147+L147+P147+T147+X147+AB147+AF147+AJ147+AN147+E147+I147+M147+Q147+U147+Y147+AC147+AG147+AK147+AO147</f>
        <v/>
      </c>
      <c r="AS147" s="155">
        <f>C147+G147+K147+O147+S147+W147+AA147+AE147+AI147+AM147</f>
        <v/>
      </c>
      <c r="AT147" s="155">
        <f>F147+J147+N147+R147+V147+Z147+AD147+AH147+AL147+AP147</f>
        <v/>
      </c>
      <c r="AU147" s="157">
        <f>MID(IF(AND(F147=0,F146&gt;0),"; "&amp;$H$10,"")&amp;IF(AND(J147=0,J146&gt;0),"; "&amp;$H$11,"")&amp;IF(AND(N147=0,N146&gt;0),"; "&amp;$H$12,"")&amp;IF(AND(R147=0,R146&gt;0),"; "&amp;$H$13,"")&amp;IF(AND(V147=0,V146&gt;0),"; "&amp;$H$14,"")&amp;IF(AND(Z147=0,Z146&gt;0),"; "&amp;$H$15,"")&amp;IF(AND(AD147=0,AD146&gt;0),"; "&amp;$H$16,"")&amp;IF(AND(AH147=0,AH146&gt;0),"; "&amp;$H$17,"")&amp;IF(AND(AL147=0,AL146&gt;0),"; "&amp;$H$18,"")&amp;IF(AND(AP147=0,AP146&gt;0),"; "&amp;$H$19,""),3,200)</f>
        <v/>
      </c>
    </row>
    <row r="148">
      <c r="A148" s="154" t="n">
        <v>58</v>
      </c>
      <c r="B148" s="156">
        <f>EDATE($B$5,A148-1)</f>
        <v/>
      </c>
      <c r="C148" s="155">
        <f>ROUND(F147*$J$10,2)</f>
        <v/>
      </c>
      <c r="D148" s="155">
        <f>MIN($K$10,F147+C148)</f>
        <v/>
      </c>
      <c r="E148" s="155">
        <f>MIN(F147+C148-D148,MAX(0,$AQ148-(0)))</f>
        <v/>
      </c>
      <c r="F148" s="155">
        <f>ROUND(F147+C148-D148-E148,2)</f>
        <v/>
      </c>
      <c r="G148" s="155">
        <f>ROUND(J147*$J$11,2)</f>
        <v/>
      </c>
      <c r="H148" s="155">
        <f>MIN($K$11,J147+G148)</f>
        <v/>
      </c>
      <c r="I148" s="155">
        <f>MIN(J147+G148-H148,MAX(0,$AQ148-(E148)))</f>
        <v/>
      </c>
      <c r="J148" s="155">
        <f>ROUND(J147+G148-H148-I148,2)</f>
        <v/>
      </c>
      <c r="K148" s="155">
        <f>ROUND(N147*$J$12,2)</f>
        <v/>
      </c>
      <c r="L148" s="155">
        <f>MIN($K$12,N147+K148)</f>
        <v/>
      </c>
      <c r="M148" s="155">
        <f>MIN(N147+K148-L148,MAX(0,$AQ148-(E148+I148)))</f>
        <v/>
      </c>
      <c r="N148" s="155">
        <f>ROUND(N147+K148-L148-M148,2)</f>
        <v/>
      </c>
      <c r="O148" s="155">
        <f>ROUND(R147*$J$13,2)</f>
        <v/>
      </c>
      <c r="P148" s="155">
        <f>MIN($K$13,R147+O148)</f>
        <v/>
      </c>
      <c r="Q148" s="155">
        <f>MIN(R147+O148-P148,MAX(0,$AQ148-(E148+I148+M148)))</f>
        <v/>
      </c>
      <c r="R148" s="155">
        <f>ROUND(R147+O148-P148-Q148,2)</f>
        <v/>
      </c>
      <c r="S148" s="155">
        <f>ROUND(V147*$J$14,2)</f>
        <v/>
      </c>
      <c r="T148" s="155">
        <f>MIN($K$14,V147+S148)</f>
        <v/>
      </c>
      <c r="U148" s="155">
        <f>MIN(V147+S148-T148,MAX(0,$AQ148-(E148+I148+M148+Q148)))</f>
        <v/>
      </c>
      <c r="V148" s="155">
        <f>ROUND(V147+S148-T148-U148,2)</f>
        <v/>
      </c>
      <c r="W148" s="155">
        <f>ROUND(Z147*$J$15,2)</f>
        <v/>
      </c>
      <c r="X148" s="155">
        <f>MIN($K$15,Z147+W148)</f>
        <v/>
      </c>
      <c r="Y148" s="155">
        <f>MIN(Z147+W148-X148,MAX(0,$AQ148-(E148+I148+M148+Q148+U148)))</f>
        <v/>
      </c>
      <c r="Z148" s="155">
        <f>ROUND(Z147+W148-X148-Y148,2)</f>
        <v/>
      </c>
      <c r="AA148" s="155">
        <f>ROUND(AD147*$J$16,2)</f>
        <v/>
      </c>
      <c r="AB148" s="155">
        <f>MIN($K$16,AD147+AA148)</f>
        <v/>
      </c>
      <c r="AC148" s="155">
        <f>MIN(AD147+AA148-AB148,MAX(0,$AQ148-(E148+I148+M148+Q148+U148+Y148)))</f>
        <v/>
      </c>
      <c r="AD148" s="155">
        <f>ROUND(AD147+AA148-AB148-AC148,2)</f>
        <v/>
      </c>
      <c r="AE148" s="155">
        <f>ROUND(AH147*$J$17,2)</f>
        <v/>
      </c>
      <c r="AF148" s="155">
        <f>MIN($K$17,AH147+AE148)</f>
        <v/>
      </c>
      <c r="AG148" s="155">
        <f>MIN(AH147+AE148-AF148,MAX(0,$AQ148-(E148+I148+M148+Q148+U148+Y148+AC148)))</f>
        <v/>
      </c>
      <c r="AH148" s="155">
        <f>ROUND(AH147+AE148-AF148-AG148,2)</f>
        <v/>
      </c>
      <c r="AI148" s="155">
        <f>ROUND(AL147*$J$18,2)</f>
        <v/>
      </c>
      <c r="AJ148" s="155">
        <f>MIN($K$18,AL147+AI148)</f>
        <v/>
      </c>
      <c r="AK148" s="155">
        <f>MIN(AL147+AI148-AJ148,MAX(0,$AQ148-(E148+I148+M148+Q148+U148+Y148+AC148+AG148)))</f>
        <v/>
      </c>
      <c r="AL148" s="155">
        <f>ROUND(AL147+AI148-AJ148-AK148,2)</f>
        <v/>
      </c>
      <c r="AM148" s="155">
        <f>ROUND(AP147*$J$19,2)</f>
        <v/>
      </c>
      <c r="AN148" s="155">
        <f>MIN($K$19,AP147+AM148)</f>
        <v/>
      </c>
      <c r="AO148" s="155">
        <f>MIN(AP147+AM148-AN148,MAX(0,$AQ148-(E148+I148+M148+Q148+U148+Y148+AC148+AG148+AK148)))</f>
        <v/>
      </c>
      <c r="AP148" s="155">
        <f>ROUND(AP147+AM148-AN148-AO148,2)</f>
        <v/>
      </c>
      <c r="AQ148" s="155">
        <f>MAX(0,$B$6-(D148+H148+L148+P148+T148+X148+AB148+AF148+AJ148+AN148))</f>
        <v/>
      </c>
      <c r="AR148" s="155">
        <f>D148+H148+L148+P148+T148+X148+AB148+AF148+AJ148+AN148+E148+I148+M148+Q148+U148+Y148+AC148+AG148+AK148+AO148</f>
        <v/>
      </c>
      <c r="AS148" s="155">
        <f>C148+G148+K148+O148+S148+W148+AA148+AE148+AI148+AM148</f>
        <v/>
      </c>
      <c r="AT148" s="155">
        <f>F148+J148+N148+R148+V148+Z148+AD148+AH148+AL148+AP148</f>
        <v/>
      </c>
      <c r="AU148" s="157">
        <f>MID(IF(AND(F148=0,F147&gt;0),"; "&amp;$H$10,"")&amp;IF(AND(J148=0,J147&gt;0),"; "&amp;$H$11,"")&amp;IF(AND(N148=0,N147&gt;0),"; "&amp;$H$12,"")&amp;IF(AND(R148=0,R147&gt;0),"; "&amp;$H$13,"")&amp;IF(AND(V148=0,V147&gt;0),"; "&amp;$H$14,"")&amp;IF(AND(Z148=0,Z147&gt;0),"; "&amp;$H$15,"")&amp;IF(AND(AD148=0,AD147&gt;0),"; "&amp;$H$16,"")&amp;IF(AND(AH148=0,AH147&gt;0),"; "&amp;$H$17,"")&amp;IF(AND(AL148=0,AL147&gt;0),"; "&amp;$H$18,"")&amp;IF(AND(AP148=0,AP147&gt;0),"; "&amp;$H$19,""),3,200)</f>
        <v/>
      </c>
    </row>
    <row r="149">
      <c r="A149" s="154" t="n">
        <v>59</v>
      </c>
      <c r="B149" s="156">
        <f>EDATE($B$5,A149-1)</f>
        <v/>
      </c>
      <c r="C149" s="155">
        <f>ROUND(F148*$J$10,2)</f>
        <v/>
      </c>
      <c r="D149" s="155">
        <f>MIN($K$10,F148+C149)</f>
        <v/>
      </c>
      <c r="E149" s="155">
        <f>MIN(F148+C149-D149,MAX(0,$AQ149-(0)))</f>
        <v/>
      </c>
      <c r="F149" s="155">
        <f>ROUND(F148+C149-D149-E149,2)</f>
        <v/>
      </c>
      <c r="G149" s="155">
        <f>ROUND(J148*$J$11,2)</f>
        <v/>
      </c>
      <c r="H149" s="155">
        <f>MIN($K$11,J148+G149)</f>
        <v/>
      </c>
      <c r="I149" s="155">
        <f>MIN(J148+G149-H149,MAX(0,$AQ149-(E149)))</f>
        <v/>
      </c>
      <c r="J149" s="155">
        <f>ROUND(J148+G149-H149-I149,2)</f>
        <v/>
      </c>
      <c r="K149" s="155">
        <f>ROUND(N148*$J$12,2)</f>
        <v/>
      </c>
      <c r="L149" s="155">
        <f>MIN($K$12,N148+K149)</f>
        <v/>
      </c>
      <c r="M149" s="155">
        <f>MIN(N148+K149-L149,MAX(0,$AQ149-(E149+I149)))</f>
        <v/>
      </c>
      <c r="N149" s="155">
        <f>ROUND(N148+K149-L149-M149,2)</f>
        <v/>
      </c>
      <c r="O149" s="155">
        <f>ROUND(R148*$J$13,2)</f>
        <v/>
      </c>
      <c r="P149" s="155">
        <f>MIN($K$13,R148+O149)</f>
        <v/>
      </c>
      <c r="Q149" s="155">
        <f>MIN(R148+O149-P149,MAX(0,$AQ149-(E149+I149+M149)))</f>
        <v/>
      </c>
      <c r="R149" s="155">
        <f>ROUND(R148+O149-P149-Q149,2)</f>
        <v/>
      </c>
      <c r="S149" s="155">
        <f>ROUND(V148*$J$14,2)</f>
        <v/>
      </c>
      <c r="T149" s="155">
        <f>MIN($K$14,V148+S149)</f>
        <v/>
      </c>
      <c r="U149" s="155">
        <f>MIN(V148+S149-T149,MAX(0,$AQ149-(E149+I149+M149+Q149)))</f>
        <v/>
      </c>
      <c r="V149" s="155">
        <f>ROUND(V148+S149-T149-U149,2)</f>
        <v/>
      </c>
      <c r="W149" s="155">
        <f>ROUND(Z148*$J$15,2)</f>
        <v/>
      </c>
      <c r="X149" s="155">
        <f>MIN($K$15,Z148+W149)</f>
        <v/>
      </c>
      <c r="Y149" s="155">
        <f>MIN(Z148+W149-X149,MAX(0,$AQ149-(E149+I149+M149+Q149+U149)))</f>
        <v/>
      </c>
      <c r="Z149" s="155">
        <f>ROUND(Z148+W149-X149-Y149,2)</f>
        <v/>
      </c>
      <c r="AA149" s="155">
        <f>ROUND(AD148*$J$16,2)</f>
        <v/>
      </c>
      <c r="AB149" s="155">
        <f>MIN($K$16,AD148+AA149)</f>
        <v/>
      </c>
      <c r="AC149" s="155">
        <f>MIN(AD148+AA149-AB149,MAX(0,$AQ149-(E149+I149+M149+Q149+U149+Y149)))</f>
        <v/>
      </c>
      <c r="AD149" s="155">
        <f>ROUND(AD148+AA149-AB149-AC149,2)</f>
        <v/>
      </c>
      <c r="AE149" s="155">
        <f>ROUND(AH148*$J$17,2)</f>
        <v/>
      </c>
      <c r="AF149" s="155">
        <f>MIN($K$17,AH148+AE149)</f>
        <v/>
      </c>
      <c r="AG149" s="155">
        <f>MIN(AH148+AE149-AF149,MAX(0,$AQ149-(E149+I149+M149+Q149+U149+Y149+AC149)))</f>
        <v/>
      </c>
      <c r="AH149" s="155">
        <f>ROUND(AH148+AE149-AF149-AG149,2)</f>
        <v/>
      </c>
      <c r="AI149" s="155">
        <f>ROUND(AL148*$J$18,2)</f>
        <v/>
      </c>
      <c r="AJ149" s="155">
        <f>MIN($K$18,AL148+AI149)</f>
        <v/>
      </c>
      <c r="AK149" s="155">
        <f>MIN(AL148+AI149-AJ149,MAX(0,$AQ149-(E149+I149+M149+Q149+U149+Y149+AC149+AG149)))</f>
        <v/>
      </c>
      <c r="AL149" s="155">
        <f>ROUND(AL148+AI149-AJ149-AK149,2)</f>
        <v/>
      </c>
      <c r="AM149" s="155">
        <f>ROUND(AP148*$J$19,2)</f>
        <v/>
      </c>
      <c r="AN149" s="155">
        <f>MIN($K$19,AP148+AM149)</f>
        <v/>
      </c>
      <c r="AO149" s="155">
        <f>MIN(AP148+AM149-AN149,MAX(0,$AQ149-(E149+I149+M149+Q149+U149+Y149+AC149+AG149+AK149)))</f>
        <v/>
      </c>
      <c r="AP149" s="155">
        <f>ROUND(AP148+AM149-AN149-AO149,2)</f>
        <v/>
      </c>
      <c r="AQ149" s="155">
        <f>MAX(0,$B$6-(D149+H149+L149+P149+T149+X149+AB149+AF149+AJ149+AN149))</f>
        <v/>
      </c>
      <c r="AR149" s="155">
        <f>D149+H149+L149+P149+T149+X149+AB149+AF149+AJ149+AN149+E149+I149+M149+Q149+U149+Y149+AC149+AG149+AK149+AO149</f>
        <v/>
      </c>
      <c r="AS149" s="155">
        <f>C149+G149+K149+O149+S149+W149+AA149+AE149+AI149+AM149</f>
        <v/>
      </c>
      <c r="AT149" s="155">
        <f>F149+J149+N149+R149+V149+Z149+AD149+AH149+AL149+AP149</f>
        <v/>
      </c>
      <c r="AU149" s="157">
        <f>MID(IF(AND(F149=0,F148&gt;0),"; "&amp;$H$10,"")&amp;IF(AND(J149=0,J148&gt;0),"; "&amp;$H$11,"")&amp;IF(AND(N149=0,N148&gt;0),"; "&amp;$H$12,"")&amp;IF(AND(R149=0,R148&gt;0),"; "&amp;$H$13,"")&amp;IF(AND(V149=0,V148&gt;0),"; "&amp;$H$14,"")&amp;IF(AND(Z149=0,Z148&gt;0),"; "&amp;$H$15,"")&amp;IF(AND(AD149=0,AD148&gt;0),"; "&amp;$H$16,"")&amp;IF(AND(AH149=0,AH148&gt;0),"; "&amp;$H$17,"")&amp;IF(AND(AL149=0,AL148&gt;0),"; "&amp;$H$18,"")&amp;IF(AND(AP149=0,AP148&gt;0),"; "&amp;$H$19,""),3,200)</f>
        <v/>
      </c>
    </row>
    <row r="150">
      <c r="A150" s="154" t="n">
        <v>60</v>
      </c>
      <c r="B150" s="156">
        <f>EDATE($B$5,A150-1)</f>
        <v/>
      </c>
      <c r="C150" s="155">
        <f>ROUND(F149*$J$10,2)</f>
        <v/>
      </c>
      <c r="D150" s="155">
        <f>MIN($K$10,F149+C150)</f>
        <v/>
      </c>
      <c r="E150" s="155">
        <f>MIN(F149+C150-D150,MAX(0,$AQ150-(0)))</f>
        <v/>
      </c>
      <c r="F150" s="155">
        <f>ROUND(F149+C150-D150-E150,2)</f>
        <v/>
      </c>
      <c r="G150" s="155">
        <f>ROUND(J149*$J$11,2)</f>
        <v/>
      </c>
      <c r="H150" s="155">
        <f>MIN($K$11,J149+G150)</f>
        <v/>
      </c>
      <c r="I150" s="155">
        <f>MIN(J149+G150-H150,MAX(0,$AQ150-(E150)))</f>
        <v/>
      </c>
      <c r="J150" s="155">
        <f>ROUND(J149+G150-H150-I150,2)</f>
        <v/>
      </c>
      <c r="K150" s="155">
        <f>ROUND(N149*$J$12,2)</f>
        <v/>
      </c>
      <c r="L150" s="155">
        <f>MIN($K$12,N149+K150)</f>
        <v/>
      </c>
      <c r="M150" s="155">
        <f>MIN(N149+K150-L150,MAX(0,$AQ150-(E150+I150)))</f>
        <v/>
      </c>
      <c r="N150" s="155">
        <f>ROUND(N149+K150-L150-M150,2)</f>
        <v/>
      </c>
      <c r="O150" s="155">
        <f>ROUND(R149*$J$13,2)</f>
        <v/>
      </c>
      <c r="P150" s="155">
        <f>MIN($K$13,R149+O150)</f>
        <v/>
      </c>
      <c r="Q150" s="155">
        <f>MIN(R149+O150-P150,MAX(0,$AQ150-(E150+I150+M150)))</f>
        <v/>
      </c>
      <c r="R150" s="155">
        <f>ROUND(R149+O150-P150-Q150,2)</f>
        <v/>
      </c>
      <c r="S150" s="155">
        <f>ROUND(V149*$J$14,2)</f>
        <v/>
      </c>
      <c r="T150" s="155">
        <f>MIN($K$14,V149+S150)</f>
        <v/>
      </c>
      <c r="U150" s="155">
        <f>MIN(V149+S150-T150,MAX(0,$AQ150-(E150+I150+M150+Q150)))</f>
        <v/>
      </c>
      <c r="V150" s="155">
        <f>ROUND(V149+S150-T150-U150,2)</f>
        <v/>
      </c>
      <c r="W150" s="155">
        <f>ROUND(Z149*$J$15,2)</f>
        <v/>
      </c>
      <c r="X150" s="155">
        <f>MIN($K$15,Z149+W150)</f>
        <v/>
      </c>
      <c r="Y150" s="155">
        <f>MIN(Z149+W150-X150,MAX(0,$AQ150-(E150+I150+M150+Q150+U150)))</f>
        <v/>
      </c>
      <c r="Z150" s="155">
        <f>ROUND(Z149+W150-X150-Y150,2)</f>
        <v/>
      </c>
      <c r="AA150" s="155">
        <f>ROUND(AD149*$J$16,2)</f>
        <v/>
      </c>
      <c r="AB150" s="155">
        <f>MIN($K$16,AD149+AA150)</f>
        <v/>
      </c>
      <c r="AC150" s="155">
        <f>MIN(AD149+AA150-AB150,MAX(0,$AQ150-(E150+I150+M150+Q150+U150+Y150)))</f>
        <v/>
      </c>
      <c r="AD150" s="155">
        <f>ROUND(AD149+AA150-AB150-AC150,2)</f>
        <v/>
      </c>
      <c r="AE150" s="155">
        <f>ROUND(AH149*$J$17,2)</f>
        <v/>
      </c>
      <c r="AF150" s="155">
        <f>MIN($K$17,AH149+AE150)</f>
        <v/>
      </c>
      <c r="AG150" s="155">
        <f>MIN(AH149+AE150-AF150,MAX(0,$AQ150-(E150+I150+M150+Q150+U150+Y150+AC150)))</f>
        <v/>
      </c>
      <c r="AH150" s="155">
        <f>ROUND(AH149+AE150-AF150-AG150,2)</f>
        <v/>
      </c>
      <c r="AI150" s="155">
        <f>ROUND(AL149*$J$18,2)</f>
        <v/>
      </c>
      <c r="AJ150" s="155">
        <f>MIN($K$18,AL149+AI150)</f>
        <v/>
      </c>
      <c r="AK150" s="155">
        <f>MIN(AL149+AI150-AJ150,MAX(0,$AQ150-(E150+I150+M150+Q150+U150+Y150+AC150+AG150)))</f>
        <v/>
      </c>
      <c r="AL150" s="155">
        <f>ROUND(AL149+AI150-AJ150-AK150,2)</f>
        <v/>
      </c>
      <c r="AM150" s="155">
        <f>ROUND(AP149*$J$19,2)</f>
        <v/>
      </c>
      <c r="AN150" s="155">
        <f>MIN($K$19,AP149+AM150)</f>
        <v/>
      </c>
      <c r="AO150" s="155">
        <f>MIN(AP149+AM150-AN150,MAX(0,$AQ150-(E150+I150+M150+Q150+U150+Y150+AC150+AG150+AK150)))</f>
        <v/>
      </c>
      <c r="AP150" s="155">
        <f>ROUND(AP149+AM150-AN150-AO150,2)</f>
        <v/>
      </c>
      <c r="AQ150" s="155">
        <f>MAX(0,$B$6-(D150+H150+L150+P150+T150+X150+AB150+AF150+AJ150+AN150))</f>
        <v/>
      </c>
      <c r="AR150" s="155">
        <f>D150+H150+L150+P150+T150+X150+AB150+AF150+AJ150+AN150+E150+I150+M150+Q150+U150+Y150+AC150+AG150+AK150+AO150</f>
        <v/>
      </c>
      <c r="AS150" s="155">
        <f>C150+G150+K150+O150+S150+W150+AA150+AE150+AI150+AM150</f>
        <v/>
      </c>
      <c r="AT150" s="155">
        <f>F150+J150+N150+R150+V150+Z150+AD150+AH150+AL150+AP150</f>
        <v/>
      </c>
      <c r="AU150" s="157">
        <f>MID(IF(AND(F150=0,F149&gt;0),"; "&amp;$H$10,"")&amp;IF(AND(J150=0,J149&gt;0),"; "&amp;$H$11,"")&amp;IF(AND(N150=0,N149&gt;0),"; "&amp;$H$12,"")&amp;IF(AND(R150=0,R149&gt;0),"; "&amp;$H$13,"")&amp;IF(AND(V150=0,V149&gt;0),"; "&amp;$H$14,"")&amp;IF(AND(Z150=0,Z149&gt;0),"; "&amp;$H$15,"")&amp;IF(AND(AD150=0,AD149&gt;0),"; "&amp;$H$16,"")&amp;IF(AND(AH150=0,AH149&gt;0),"; "&amp;$H$17,"")&amp;IF(AND(AL150=0,AL149&gt;0),"; "&amp;$H$18,"")&amp;IF(AND(AP150=0,AP149&gt;0),"; "&amp;$H$19,""),3,200)</f>
        <v/>
      </c>
    </row>
    <row r="153">
      <c r="A153" s="5" t="inlineStr">
        <is>
          <t>SÓ O MÍNIMO: cada dívida paga a sua parcela, sem rolar o valor liberado</t>
        </is>
      </c>
    </row>
    <row r="155" ht="18" customHeight="1">
      <c r="A155" s="44" t="inlineStr">
        <is>
          <t>mês nº</t>
        </is>
      </c>
      <c r="B155" s="44" t="inlineStr">
        <is>
          <t>Mês</t>
        </is>
      </c>
      <c r="C155" s="70" t="inlineStr">
        <is>
          <t>Juros 1</t>
        </is>
      </c>
      <c r="D155" s="70" t="inlineStr">
        <is>
          <t>Pago (mín.) 1</t>
        </is>
      </c>
      <c r="E155" s="70" t="inlineStr">
        <is>
          <t>Saldo 1</t>
        </is>
      </c>
      <c r="F155" s="70" t="inlineStr">
        <is>
          <t>Juros 2</t>
        </is>
      </c>
      <c r="G155" s="70" t="inlineStr">
        <is>
          <t>Pago (mín.) 2</t>
        </is>
      </c>
      <c r="H155" s="70" t="inlineStr">
        <is>
          <t>Saldo 2</t>
        </is>
      </c>
      <c r="I155" s="70" t="inlineStr">
        <is>
          <t>Juros 3</t>
        </is>
      </c>
      <c r="J155" s="70" t="inlineStr">
        <is>
          <t>Pago (mín.) 3</t>
        </is>
      </c>
      <c r="K155" s="70" t="inlineStr">
        <is>
          <t>Saldo 3</t>
        </is>
      </c>
      <c r="L155" s="70" t="inlineStr">
        <is>
          <t>Juros 4</t>
        </is>
      </c>
      <c r="M155" s="70" t="inlineStr">
        <is>
          <t>Pago (mín.) 4</t>
        </is>
      </c>
      <c r="N155" s="70" t="inlineStr">
        <is>
          <t>Saldo 4</t>
        </is>
      </c>
      <c r="O155" s="70" t="inlineStr">
        <is>
          <t>Juros 5</t>
        </is>
      </c>
      <c r="P155" s="70" t="inlineStr">
        <is>
          <t>Pago (mín.) 5</t>
        </is>
      </c>
      <c r="Q155" s="70" t="inlineStr">
        <is>
          <t>Saldo 5</t>
        </is>
      </c>
      <c r="R155" s="70" t="inlineStr">
        <is>
          <t>Juros 6</t>
        </is>
      </c>
      <c r="S155" s="70" t="inlineStr">
        <is>
          <t>Pago (mín.) 6</t>
        </is>
      </c>
      <c r="T155" s="70" t="inlineStr">
        <is>
          <t>Saldo 6</t>
        </is>
      </c>
      <c r="U155" s="70" t="inlineStr">
        <is>
          <t>Juros 7</t>
        </is>
      </c>
      <c r="V155" s="70" t="inlineStr">
        <is>
          <t>Pago (mín.) 7</t>
        </is>
      </c>
      <c r="W155" s="70" t="inlineStr">
        <is>
          <t>Saldo 7</t>
        </is>
      </c>
      <c r="X155" s="70" t="inlineStr">
        <is>
          <t>Juros 8</t>
        </is>
      </c>
      <c r="Y155" s="70" t="inlineStr">
        <is>
          <t>Pago (mín.) 8</t>
        </is>
      </c>
      <c r="Z155" s="70" t="inlineStr">
        <is>
          <t>Saldo 8</t>
        </is>
      </c>
      <c r="AA155" s="70" t="inlineStr">
        <is>
          <t>Juros 9</t>
        </is>
      </c>
      <c r="AB155" s="70" t="inlineStr">
        <is>
          <t>Pago (mín.) 9</t>
        </is>
      </c>
      <c r="AC155" s="70" t="inlineStr">
        <is>
          <t>Saldo 9</t>
        </is>
      </c>
      <c r="AD155" s="70" t="inlineStr">
        <is>
          <t>Juros 10</t>
        </is>
      </c>
      <c r="AE155" s="70" t="inlineStr">
        <is>
          <t>Pago (mín.) 10</t>
        </is>
      </c>
      <c r="AF155" s="70" t="inlineStr">
        <is>
          <t>Saldo 10</t>
        </is>
      </c>
      <c r="AG155" s="44" t="inlineStr">
        <is>
          <t>Pago no mês</t>
        </is>
      </c>
      <c r="AH155" s="44" t="inlineStr">
        <is>
          <t>Juros do mês</t>
        </is>
      </c>
      <c r="AI155" s="44" t="inlineStr">
        <is>
          <t>Saldo total</t>
        </is>
      </c>
    </row>
    <row r="156">
      <c r="A156" s="154" t="n">
        <v>0</v>
      </c>
      <c r="E156" s="155">
        <f>$O$10</f>
        <v/>
      </c>
      <c r="H156" s="155">
        <f>$O$11</f>
        <v/>
      </c>
      <c r="K156" s="155">
        <f>$O$12</f>
        <v/>
      </c>
      <c r="N156" s="155">
        <f>$O$13</f>
        <v/>
      </c>
      <c r="Q156" s="155">
        <f>$O$14</f>
        <v/>
      </c>
      <c r="T156" s="155">
        <f>$O$15</f>
        <v/>
      </c>
      <c r="W156" s="155">
        <f>$O$16</f>
        <v/>
      </c>
      <c r="Z156" s="155">
        <f>$O$17</f>
        <v/>
      </c>
      <c r="AC156" s="155">
        <f>$O$18</f>
        <v/>
      </c>
      <c r="AF156" s="155">
        <f>$O$19</f>
        <v/>
      </c>
      <c r="AI156" s="155">
        <f>E156+H156+K156+N156+Q156+T156+W156+Z156+AC156+AF156</f>
        <v/>
      </c>
    </row>
    <row r="157">
      <c r="A157" s="154" t="n">
        <v>1</v>
      </c>
      <c r="B157" s="156">
        <f>EDATE($B$5,A157-1)</f>
        <v/>
      </c>
      <c r="C157" s="155">
        <f>ROUND(E156*$P$10,2)</f>
        <v/>
      </c>
      <c r="D157" s="155">
        <f>MIN($Q$10,E156+C157)</f>
        <v/>
      </c>
      <c r="E157" s="155">
        <f>ROUND(E156+C157-D157,2)</f>
        <v/>
      </c>
      <c r="F157" s="155">
        <f>ROUND(H156*$P$11,2)</f>
        <v/>
      </c>
      <c r="G157" s="155">
        <f>MIN($Q$11,H156+F157)</f>
        <v/>
      </c>
      <c r="H157" s="155">
        <f>ROUND(H156+F157-G157,2)</f>
        <v/>
      </c>
      <c r="I157" s="155">
        <f>ROUND(K156*$P$12,2)</f>
        <v/>
      </c>
      <c r="J157" s="155">
        <f>MIN($Q$12,K156+I157)</f>
        <v/>
      </c>
      <c r="K157" s="155">
        <f>ROUND(K156+I157-J157,2)</f>
        <v/>
      </c>
      <c r="L157" s="155">
        <f>ROUND(N156*$P$13,2)</f>
        <v/>
      </c>
      <c r="M157" s="155">
        <f>MIN($Q$13,N156+L157)</f>
        <v/>
      </c>
      <c r="N157" s="155">
        <f>ROUND(N156+L157-M157,2)</f>
        <v/>
      </c>
      <c r="O157" s="155">
        <f>ROUND(Q156*$P$14,2)</f>
        <v/>
      </c>
      <c r="P157" s="155">
        <f>MIN($Q$14,Q156+O157)</f>
        <v/>
      </c>
      <c r="Q157" s="155">
        <f>ROUND(Q156+O157-P157,2)</f>
        <v/>
      </c>
      <c r="R157" s="155">
        <f>ROUND(T156*$P$15,2)</f>
        <v/>
      </c>
      <c r="S157" s="155">
        <f>MIN($Q$15,T156+R157)</f>
        <v/>
      </c>
      <c r="T157" s="155">
        <f>ROUND(T156+R157-S157,2)</f>
        <v/>
      </c>
      <c r="U157" s="155">
        <f>ROUND(W156*$P$16,2)</f>
        <v/>
      </c>
      <c r="V157" s="155">
        <f>MIN($Q$16,W156+U157)</f>
        <v/>
      </c>
      <c r="W157" s="155">
        <f>ROUND(W156+U157-V157,2)</f>
        <v/>
      </c>
      <c r="X157" s="155">
        <f>ROUND(Z156*$P$17,2)</f>
        <v/>
      </c>
      <c r="Y157" s="155">
        <f>MIN($Q$17,Z156+X157)</f>
        <v/>
      </c>
      <c r="Z157" s="155">
        <f>ROUND(Z156+X157-Y157,2)</f>
        <v/>
      </c>
      <c r="AA157" s="155">
        <f>ROUND(AC156*$P$18,2)</f>
        <v/>
      </c>
      <c r="AB157" s="155">
        <f>MIN($Q$18,AC156+AA157)</f>
        <v/>
      </c>
      <c r="AC157" s="155">
        <f>ROUND(AC156+AA157-AB157,2)</f>
        <v/>
      </c>
      <c r="AD157" s="155">
        <f>ROUND(AF156*$P$19,2)</f>
        <v/>
      </c>
      <c r="AE157" s="155">
        <f>MIN($Q$19,AF156+AD157)</f>
        <v/>
      </c>
      <c r="AF157" s="155">
        <f>ROUND(AF156+AD157-AE157,2)</f>
        <v/>
      </c>
      <c r="AG157" s="155">
        <f>D157+G157+J157+M157+P157+S157+V157+Y157+AB157+AE157</f>
        <v/>
      </c>
      <c r="AH157" s="155">
        <f>C157+F157+I157+L157+O157+R157+U157+X157+AA157+AD157</f>
        <v/>
      </c>
      <c r="AI157" s="155">
        <f>E157+H157+K157+N157+Q157+T157+W157+Z157+AC157+AF157</f>
        <v/>
      </c>
    </row>
    <row r="158">
      <c r="A158" s="154" t="n">
        <v>2</v>
      </c>
      <c r="B158" s="156">
        <f>EDATE($B$5,A158-1)</f>
        <v/>
      </c>
      <c r="C158" s="155">
        <f>ROUND(E157*$P$10,2)</f>
        <v/>
      </c>
      <c r="D158" s="155">
        <f>MIN($Q$10,E157+C158)</f>
        <v/>
      </c>
      <c r="E158" s="155">
        <f>ROUND(E157+C158-D158,2)</f>
        <v/>
      </c>
      <c r="F158" s="155">
        <f>ROUND(H157*$P$11,2)</f>
        <v/>
      </c>
      <c r="G158" s="155">
        <f>MIN($Q$11,H157+F158)</f>
        <v/>
      </c>
      <c r="H158" s="155">
        <f>ROUND(H157+F158-G158,2)</f>
        <v/>
      </c>
      <c r="I158" s="155">
        <f>ROUND(K157*$P$12,2)</f>
        <v/>
      </c>
      <c r="J158" s="155">
        <f>MIN($Q$12,K157+I158)</f>
        <v/>
      </c>
      <c r="K158" s="155">
        <f>ROUND(K157+I158-J158,2)</f>
        <v/>
      </c>
      <c r="L158" s="155">
        <f>ROUND(N157*$P$13,2)</f>
        <v/>
      </c>
      <c r="M158" s="155">
        <f>MIN($Q$13,N157+L158)</f>
        <v/>
      </c>
      <c r="N158" s="155">
        <f>ROUND(N157+L158-M158,2)</f>
        <v/>
      </c>
      <c r="O158" s="155">
        <f>ROUND(Q157*$P$14,2)</f>
        <v/>
      </c>
      <c r="P158" s="155">
        <f>MIN($Q$14,Q157+O158)</f>
        <v/>
      </c>
      <c r="Q158" s="155">
        <f>ROUND(Q157+O158-P158,2)</f>
        <v/>
      </c>
      <c r="R158" s="155">
        <f>ROUND(T157*$P$15,2)</f>
        <v/>
      </c>
      <c r="S158" s="155">
        <f>MIN($Q$15,T157+R158)</f>
        <v/>
      </c>
      <c r="T158" s="155">
        <f>ROUND(T157+R158-S158,2)</f>
        <v/>
      </c>
      <c r="U158" s="155">
        <f>ROUND(W157*$P$16,2)</f>
        <v/>
      </c>
      <c r="V158" s="155">
        <f>MIN($Q$16,W157+U158)</f>
        <v/>
      </c>
      <c r="W158" s="155">
        <f>ROUND(W157+U158-V158,2)</f>
        <v/>
      </c>
      <c r="X158" s="155">
        <f>ROUND(Z157*$P$17,2)</f>
        <v/>
      </c>
      <c r="Y158" s="155">
        <f>MIN($Q$17,Z157+X158)</f>
        <v/>
      </c>
      <c r="Z158" s="155">
        <f>ROUND(Z157+X158-Y158,2)</f>
        <v/>
      </c>
      <c r="AA158" s="155">
        <f>ROUND(AC157*$P$18,2)</f>
        <v/>
      </c>
      <c r="AB158" s="155">
        <f>MIN($Q$18,AC157+AA158)</f>
        <v/>
      </c>
      <c r="AC158" s="155">
        <f>ROUND(AC157+AA158-AB158,2)</f>
        <v/>
      </c>
      <c r="AD158" s="155">
        <f>ROUND(AF157*$P$19,2)</f>
        <v/>
      </c>
      <c r="AE158" s="155">
        <f>MIN($Q$19,AF157+AD158)</f>
        <v/>
      </c>
      <c r="AF158" s="155">
        <f>ROUND(AF157+AD158-AE158,2)</f>
        <v/>
      </c>
      <c r="AG158" s="155">
        <f>D158+G158+J158+M158+P158+S158+V158+Y158+AB158+AE158</f>
        <v/>
      </c>
      <c r="AH158" s="155">
        <f>C158+F158+I158+L158+O158+R158+U158+X158+AA158+AD158</f>
        <v/>
      </c>
      <c r="AI158" s="155">
        <f>E158+H158+K158+N158+Q158+T158+W158+Z158+AC158+AF158</f>
        <v/>
      </c>
    </row>
    <row r="159">
      <c r="A159" s="154" t="n">
        <v>3</v>
      </c>
      <c r="B159" s="156">
        <f>EDATE($B$5,A159-1)</f>
        <v/>
      </c>
      <c r="C159" s="155">
        <f>ROUND(E158*$P$10,2)</f>
        <v/>
      </c>
      <c r="D159" s="155">
        <f>MIN($Q$10,E158+C159)</f>
        <v/>
      </c>
      <c r="E159" s="155">
        <f>ROUND(E158+C159-D159,2)</f>
        <v/>
      </c>
      <c r="F159" s="155">
        <f>ROUND(H158*$P$11,2)</f>
        <v/>
      </c>
      <c r="G159" s="155">
        <f>MIN($Q$11,H158+F159)</f>
        <v/>
      </c>
      <c r="H159" s="155">
        <f>ROUND(H158+F159-G159,2)</f>
        <v/>
      </c>
      <c r="I159" s="155">
        <f>ROUND(K158*$P$12,2)</f>
        <v/>
      </c>
      <c r="J159" s="155">
        <f>MIN($Q$12,K158+I159)</f>
        <v/>
      </c>
      <c r="K159" s="155">
        <f>ROUND(K158+I159-J159,2)</f>
        <v/>
      </c>
      <c r="L159" s="155">
        <f>ROUND(N158*$P$13,2)</f>
        <v/>
      </c>
      <c r="M159" s="155">
        <f>MIN($Q$13,N158+L159)</f>
        <v/>
      </c>
      <c r="N159" s="155">
        <f>ROUND(N158+L159-M159,2)</f>
        <v/>
      </c>
      <c r="O159" s="155">
        <f>ROUND(Q158*$P$14,2)</f>
        <v/>
      </c>
      <c r="P159" s="155">
        <f>MIN($Q$14,Q158+O159)</f>
        <v/>
      </c>
      <c r="Q159" s="155">
        <f>ROUND(Q158+O159-P159,2)</f>
        <v/>
      </c>
      <c r="R159" s="155">
        <f>ROUND(T158*$P$15,2)</f>
        <v/>
      </c>
      <c r="S159" s="155">
        <f>MIN($Q$15,T158+R159)</f>
        <v/>
      </c>
      <c r="T159" s="155">
        <f>ROUND(T158+R159-S159,2)</f>
        <v/>
      </c>
      <c r="U159" s="155">
        <f>ROUND(W158*$P$16,2)</f>
        <v/>
      </c>
      <c r="V159" s="155">
        <f>MIN($Q$16,W158+U159)</f>
        <v/>
      </c>
      <c r="W159" s="155">
        <f>ROUND(W158+U159-V159,2)</f>
        <v/>
      </c>
      <c r="X159" s="155">
        <f>ROUND(Z158*$P$17,2)</f>
        <v/>
      </c>
      <c r="Y159" s="155">
        <f>MIN($Q$17,Z158+X159)</f>
        <v/>
      </c>
      <c r="Z159" s="155">
        <f>ROUND(Z158+X159-Y159,2)</f>
        <v/>
      </c>
      <c r="AA159" s="155">
        <f>ROUND(AC158*$P$18,2)</f>
        <v/>
      </c>
      <c r="AB159" s="155">
        <f>MIN($Q$18,AC158+AA159)</f>
        <v/>
      </c>
      <c r="AC159" s="155">
        <f>ROUND(AC158+AA159-AB159,2)</f>
        <v/>
      </c>
      <c r="AD159" s="155">
        <f>ROUND(AF158*$P$19,2)</f>
        <v/>
      </c>
      <c r="AE159" s="155">
        <f>MIN($Q$19,AF158+AD159)</f>
        <v/>
      </c>
      <c r="AF159" s="155">
        <f>ROUND(AF158+AD159-AE159,2)</f>
        <v/>
      </c>
      <c r="AG159" s="155">
        <f>D159+G159+J159+M159+P159+S159+V159+Y159+AB159+AE159</f>
        <v/>
      </c>
      <c r="AH159" s="155">
        <f>C159+F159+I159+L159+O159+R159+U159+X159+AA159+AD159</f>
        <v/>
      </c>
      <c r="AI159" s="155">
        <f>E159+H159+K159+N159+Q159+T159+W159+Z159+AC159+AF159</f>
        <v/>
      </c>
    </row>
    <row r="160">
      <c r="A160" s="154" t="n">
        <v>4</v>
      </c>
      <c r="B160" s="156">
        <f>EDATE($B$5,A160-1)</f>
        <v/>
      </c>
      <c r="C160" s="155">
        <f>ROUND(E159*$P$10,2)</f>
        <v/>
      </c>
      <c r="D160" s="155">
        <f>MIN($Q$10,E159+C160)</f>
        <v/>
      </c>
      <c r="E160" s="155">
        <f>ROUND(E159+C160-D160,2)</f>
        <v/>
      </c>
      <c r="F160" s="155">
        <f>ROUND(H159*$P$11,2)</f>
        <v/>
      </c>
      <c r="G160" s="155">
        <f>MIN($Q$11,H159+F160)</f>
        <v/>
      </c>
      <c r="H160" s="155">
        <f>ROUND(H159+F160-G160,2)</f>
        <v/>
      </c>
      <c r="I160" s="155">
        <f>ROUND(K159*$P$12,2)</f>
        <v/>
      </c>
      <c r="J160" s="155">
        <f>MIN($Q$12,K159+I160)</f>
        <v/>
      </c>
      <c r="K160" s="155">
        <f>ROUND(K159+I160-J160,2)</f>
        <v/>
      </c>
      <c r="L160" s="155">
        <f>ROUND(N159*$P$13,2)</f>
        <v/>
      </c>
      <c r="M160" s="155">
        <f>MIN($Q$13,N159+L160)</f>
        <v/>
      </c>
      <c r="N160" s="155">
        <f>ROUND(N159+L160-M160,2)</f>
        <v/>
      </c>
      <c r="O160" s="155">
        <f>ROUND(Q159*$P$14,2)</f>
        <v/>
      </c>
      <c r="P160" s="155">
        <f>MIN($Q$14,Q159+O160)</f>
        <v/>
      </c>
      <c r="Q160" s="155">
        <f>ROUND(Q159+O160-P160,2)</f>
        <v/>
      </c>
      <c r="R160" s="155">
        <f>ROUND(T159*$P$15,2)</f>
        <v/>
      </c>
      <c r="S160" s="155">
        <f>MIN($Q$15,T159+R160)</f>
        <v/>
      </c>
      <c r="T160" s="155">
        <f>ROUND(T159+R160-S160,2)</f>
        <v/>
      </c>
      <c r="U160" s="155">
        <f>ROUND(W159*$P$16,2)</f>
        <v/>
      </c>
      <c r="V160" s="155">
        <f>MIN($Q$16,W159+U160)</f>
        <v/>
      </c>
      <c r="W160" s="155">
        <f>ROUND(W159+U160-V160,2)</f>
        <v/>
      </c>
      <c r="X160" s="155">
        <f>ROUND(Z159*$P$17,2)</f>
        <v/>
      </c>
      <c r="Y160" s="155">
        <f>MIN($Q$17,Z159+X160)</f>
        <v/>
      </c>
      <c r="Z160" s="155">
        <f>ROUND(Z159+X160-Y160,2)</f>
        <v/>
      </c>
      <c r="AA160" s="155">
        <f>ROUND(AC159*$P$18,2)</f>
        <v/>
      </c>
      <c r="AB160" s="155">
        <f>MIN($Q$18,AC159+AA160)</f>
        <v/>
      </c>
      <c r="AC160" s="155">
        <f>ROUND(AC159+AA160-AB160,2)</f>
        <v/>
      </c>
      <c r="AD160" s="155">
        <f>ROUND(AF159*$P$19,2)</f>
        <v/>
      </c>
      <c r="AE160" s="155">
        <f>MIN($Q$19,AF159+AD160)</f>
        <v/>
      </c>
      <c r="AF160" s="155">
        <f>ROUND(AF159+AD160-AE160,2)</f>
        <v/>
      </c>
      <c r="AG160" s="155">
        <f>D160+G160+J160+M160+P160+S160+V160+Y160+AB160+AE160</f>
        <v/>
      </c>
      <c r="AH160" s="155">
        <f>C160+F160+I160+L160+O160+R160+U160+X160+AA160+AD160</f>
        <v/>
      </c>
      <c r="AI160" s="155">
        <f>E160+H160+K160+N160+Q160+T160+W160+Z160+AC160+AF160</f>
        <v/>
      </c>
    </row>
    <row r="161">
      <c r="A161" s="154" t="n">
        <v>5</v>
      </c>
      <c r="B161" s="156">
        <f>EDATE($B$5,A161-1)</f>
        <v/>
      </c>
      <c r="C161" s="155">
        <f>ROUND(E160*$P$10,2)</f>
        <v/>
      </c>
      <c r="D161" s="155">
        <f>MIN($Q$10,E160+C161)</f>
        <v/>
      </c>
      <c r="E161" s="155">
        <f>ROUND(E160+C161-D161,2)</f>
        <v/>
      </c>
      <c r="F161" s="155">
        <f>ROUND(H160*$P$11,2)</f>
        <v/>
      </c>
      <c r="G161" s="155">
        <f>MIN($Q$11,H160+F161)</f>
        <v/>
      </c>
      <c r="H161" s="155">
        <f>ROUND(H160+F161-G161,2)</f>
        <v/>
      </c>
      <c r="I161" s="155">
        <f>ROUND(K160*$P$12,2)</f>
        <v/>
      </c>
      <c r="J161" s="155">
        <f>MIN($Q$12,K160+I161)</f>
        <v/>
      </c>
      <c r="K161" s="155">
        <f>ROUND(K160+I161-J161,2)</f>
        <v/>
      </c>
      <c r="L161" s="155">
        <f>ROUND(N160*$P$13,2)</f>
        <v/>
      </c>
      <c r="M161" s="155">
        <f>MIN($Q$13,N160+L161)</f>
        <v/>
      </c>
      <c r="N161" s="155">
        <f>ROUND(N160+L161-M161,2)</f>
        <v/>
      </c>
      <c r="O161" s="155">
        <f>ROUND(Q160*$P$14,2)</f>
        <v/>
      </c>
      <c r="P161" s="155">
        <f>MIN($Q$14,Q160+O161)</f>
        <v/>
      </c>
      <c r="Q161" s="155">
        <f>ROUND(Q160+O161-P161,2)</f>
        <v/>
      </c>
      <c r="R161" s="155">
        <f>ROUND(T160*$P$15,2)</f>
        <v/>
      </c>
      <c r="S161" s="155">
        <f>MIN($Q$15,T160+R161)</f>
        <v/>
      </c>
      <c r="T161" s="155">
        <f>ROUND(T160+R161-S161,2)</f>
        <v/>
      </c>
      <c r="U161" s="155">
        <f>ROUND(W160*$P$16,2)</f>
        <v/>
      </c>
      <c r="V161" s="155">
        <f>MIN($Q$16,W160+U161)</f>
        <v/>
      </c>
      <c r="W161" s="155">
        <f>ROUND(W160+U161-V161,2)</f>
        <v/>
      </c>
      <c r="X161" s="155">
        <f>ROUND(Z160*$P$17,2)</f>
        <v/>
      </c>
      <c r="Y161" s="155">
        <f>MIN($Q$17,Z160+X161)</f>
        <v/>
      </c>
      <c r="Z161" s="155">
        <f>ROUND(Z160+X161-Y161,2)</f>
        <v/>
      </c>
      <c r="AA161" s="155">
        <f>ROUND(AC160*$P$18,2)</f>
        <v/>
      </c>
      <c r="AB161" s="155">
        <f>MIN($Q$18,AC160+AA161)</f>
        <v/>
      </c>
      <c r="AC161" s="155">
        <f>ROUND(AC160+AA161-AB161,2)</f>
        <v/>
      </c>
      <c r="AD161" s="155">
        <f>ROUND(AF160*$P$19,2)</f>
        <v/>
      </c>
      <c r="AE161" s="155">
        <f>MIN($Q$19,AF160+AD161)</f>
        <v/>
      </c>
      <c r="AF161" s="155">
        <f>ROUND(AF160+AD161-AE161,2)</f>
        <v/>
      </c>
      <c r="AG161" s="155">
        <f>D161+G161+J161+M161+P161+S161+V161+Y161+AB161+AE161</f>
        <v/>
      </c>
      <c r="AH161" s="155">
        <f>C161+F161+I161+L161+O161+R161+U161+X161+AA161+AD161</f>
        <v/>
      </c>
      <c r="AI161" s="155">
        <f>E161+H161+K161+N161+Q161+T161+W161+Z161+AC161+AF161</f>
        <v/>
      </c>
    </row>
    <row r="162">
      <c r="A162" s="154" t="n">
        <v>6</v>
      </c>
      <c r="B162" s="156">
        <f>EDATE($B$5,A162-1)</f>
        <v/>
      </c>
      <c r="C162" s="155">
        <f>ROUND(E161*$P$10,2)</f>
        <v/>
      </c>
      <c r="D162" s="155">
        <f>MIN($Q$10,E161+C162)</f>
        <v/>
      </c>
      <c r="E162" s="155">
        <f>ROUND(E161+C162-D162,2)</f>
        <v/>
      </c>
      <c r="F162" s="155">
        <f>ROUND(H161*$P$11,2)</f>
        <v/>
      </c>
      <c r="G162" s="155">
        <f>MIN($Q$11,H161+F162)</f>
        <v/>
      </c>
      <c r="H162" s="155">
        <f>ROUND(H161+F162-G162,2)</f>
        <v/>
      </c>
      <c r="I162" s="155">
        <f>ROUND(K161*$P$12,2)</f>
        <v/>
      </c>
      <c r="J162" s="155">
        <f>MIN($Q$12,K161+I162)</f>
        <v/>
      </c>
      <c r="K162" s="155">
        <f>ROUND(K161+I162-J162,2)</f>
        <v/>
      </c>
      <c r="L162" s="155">
        <f>ROUND(N161*$P$13,2)</f>
        <v/>
      </c>
      <c r="M162" s="155">
        <f>MIN($Q$13,N161+L162)</f>
        <v/>
      </c>
      <c r="N162" s="155">
        <f>ROUND(N161+L162-M162,2)</f>
        <v/>
      </c>
      <c r="O162" s="155">
        <f>ROUND(Q161*$P$14,2)</f>
        <v/>
      </c>
      <c r="P162" s="155">
        <f>MIN($Q$14,Q161+O162)</f>
        <v/>
      </c>
      <c r="Q162" s="155">
        <f>ROUND(Q161+O162-P162,2)</f>
        <v/>
      </c>
      <c r="R162" s="155">
        <f>ROUND(T161*$P$15,2)</f>
        <v/>
      </c>
      <c r="S162" s="155">
        <f>MIN($Q$15,T161+R162)</f>
        <v/>
      </c>
      <c r="T162" s="155">
        <f>ROUND(T161+R162-S162,2)</f>
        <v/>
      </c>
      <c r="U162" s="155">
        <f>ROUND(W161*$P$16,2)</f>
        <v/>
      </c>
      <c r="V162" s="155">
        <f>MIN($Q$16,W161+U162)</f>
        <v/>
      </c>
      <c r="W162" s="155">
        <f>ROUND(W161+U162-V162,2)</f>
        <v/>
      </c>
      <c r="X162" s="155">
        <f>ROUND(Z161*$P$17,2)</f>
        <v/>
      </c>
      <c r="Y162" s="155">
        <f>MIN($Q$17,Z161+X162)</f>
        <v/>
      </c>
      <c r="Z162" s="155">
        <f>ROUND(Z161+X162-Y162,2)</f>
        <v/>
      </c>
      <c r="AA162" s="155">
        <f>ROUND(AC161*$P$18,2)</f>
        <v/>
      </c>
      <c r="AB162" s="155">
        <f>MIN($Q$18,AC161+AA162)</f>
        <v/>
      </c>
      <c r="AC162" s="155">
        <f>ROUND(AC161+AA162-AB162,2)</f>
        <v/>
      </c>
      <c r="AD162" s="155">
        <f>ROUND(AF161*$P$19,2)</f>
        <v/>
      </c>
      <c r="AE162" s="155">
        <f>MIN($Q$19,AF161+AD162)</f>
        <v/>
      </c>
      <c r="AF162" s="155">
        <f>ROUND(AF161+AD162-AE162,2)</f>
        <v/>
      </c>
      <c r="AG162" s="155">
        <f>D162+G162+J162+M162+P162+S162+V162+Y162+AB162+AE162</f>
        <v/>
      </c>
      <c r="AH162" s="155">
        <f>C162+F162+I162+L162+O162+R162+U162+X162+AA162+AD162</f>
        <v/>
      </c>
      <c r="AI162" s="155">
        <f>E162+H162+K162+N162+Q162+T162+W162+Z162+AC162+AF162</f>
        <v/>
      </c>
    </row>
    <row r="163">
      <c r="A163" s="154" t="n">
        <v>7</v>
      </c>
      <c r="B163" s="156">
        <f>EDATE($B$5,A163-1)</f>
        <v/>
      </c>
      <c r="C163" s="155">
        <f>ROUND(E162*$P$10,2)</f>
        <v/>
      </c>
      <c r="D163" s="155">
        <f>MIN($Q$10,E162+C163)</f>
        <v/>
      </c>
      <c r="E163" s="155">
        <f>ROUND(E162+C163-D163,2)</f>
        <v/>
      </c>
      <c r="F163" s="155">
        <f>ROUND(H162*$P$11,2)</f>
        <v/>
      </c>
      <c r="G163" s="155">
        <f>MIN($Q$11,H162+F163)</f>
        <v/>
      </c>
      <c r="H163" s="155">
        <f>ROUND(H162+F163-G163,2)</f>
        <v/>
      </c>
      <c r="I163" s="155">
        <f>ROUND(K162*$P$12,2)</f>
        <v/>
      </c>
      <c r="J163" s="155">
        <f>MIN($Q$12,K162+I163)</f>
        <v/>
      </c>
      <c r="K163" s="155">
        <f>ROUND(K162+I163-J163,2)</f>
        <v/>
      </c>
      <c r="L163" s="155">
        <f>ROUND(N162*$P$13,2)</f>
        <v/>
      </c>
      <c r="M163" s="155">
        <f>MIN($Q$13,N162+L163)</f>
        <v/>
      </c>
      <c r="N163" s="155">
        <f>ROUND(N162+L163-M163,2)</f>
        <v/>
      </c>
      <c r="O163" s="155">
        <f>ROUND(Q162*$P$14,2)</f>
        <v/>
      </c>
      <c r="P163" s="155">
        <f>MIN($Q$14,Q162+O163)</f>
        <v/>
      </c>
      <c r="Q163" s="155">
        <f>ROUND(Q162+O163-P163,2)</f>
        <v/>
      </c>
      <c r="R163" s="155">
        <f>ROUND(T162*$P$15,2)</f>
        <v/>
      </c>
      <c r="S163" s="155">
        <f>MIN($Q$15,T162+R163)</f>
        <v/>
      </c>
      <c r="T163" s="155">
        <f>ROUND(T162+R163-S163,2)</f>
        <v/>
      </c>
      <c r="U163" s="155">
        <f>ROUND(W162*$P$16,2)</f>
        <v/>
      </c>
      <c r="V163" s="155">
        <f>MIN($Q$16,W162+U163)</f>
        <v/>
      </c>
      <c r="W163" s="155">
        <f>ROUND(W162+U163-V163,2)</f>
        <v/>
      </c>
      <c r="X163" s="155">
        <f>ROUND(Z162*$P$17,2)</f>
        <v/>
      </c>
      <c r="Y163" s="155">
        <f>MIN($Q$17,Z162+X163)</f>
        <v/>
      </c>
      <c r="Z163" s="155">
        <f>ROUND(Z162+X163-Y163,2)</f>
        <v/>
      </c>
      <c r="AA163" s="155">
        <f>ROUND(AC162*$P$18,2)</f>
        <v/>
      </c>
      <c r="AB163" s="155">
        <f>MIN($Q$18,AC162+AA163)</f>
        <v/>
      </c>
      <c r="AC163" s="155">
        <f>ROUND(AC162+AA163-AB163,2)</f>
        <v/>
      </c>
      <c r="AD163" s="155">
        <f>ROUND(AF162*$P$19,2)</f>
        <v/>
      </c>
      <c r="AE163" s="155">
        <f>MIN($Q$19,AF162+AD163)</f>
        <v/>
      </c>
      <c r="AF163" s="155">
        <f>ROUND(AF162+AD163-AE163,2)</f>
        <v/>
      </c>
      <c r="AG163" s="155">
        <f>D163+G163+J163+M163+P163+S163+V163+Y163+AB163+AE163</f>
        <v/>
      </c>
      <c r="AH163" s="155">
        <f>C163+F163+I163+L163+O163+R163+U163+X163+AA163+AD163</f>
        <v/>
      </c>
      <c r="AI163" s="155">
        <f>E163+H163+K163+N163+Q163+T163+W163+Z163+AC163+AF163</f>
        <v/>
      </c>
    </row>
    <row r="164">
      <c r="A164" s="154" t="n">
        <v>8</v>
      </c>
      <c r="B164" s="156">
        <f>EDATE($B$5,A164-1)</f>
        <v/>
      </c>
      <c r="C164" s="155">
        <f>ROUND(E163*$P$10,2)</f>
        <v/>
      </c>
      <c r="D164" s="155">
        <f>MIN($Q$10,E163+C164)</f>
        <v/>
      </c>
      <c r="E164" s="155">
        <f>ROUND(E163+C164-D164,2)</f>
        <v/>
      </c>
      <c r="F164" s="155">
        <f>ROUND(H163*$P$11,2)</f>
        <v/>
      </c>
      <c r="G164" s="155">
        <f>MIN($Q$11,H163+F164)</f>
        <v/>
      </c>
      <c r="H164" s="155">
        <f>ROUND(H163+F164-G164,2)</f>
        <v/>
      </c>
      <c r="I164" s="155">
        <f>ROUND(K163*$P$12,2)</f>
        <v/>
      </c>
      <c r="J164" s="155">
        <f>MIN($Q$12,K163+I164)</f>
        <v/>
      </c>
      <c r="K164" s="155">
        <f>ROUND(K163+I164-J164,2)</f>
        <v/>
      </c>
      <c r="L164" s="155">
        <f>ROUND(N163*$P$13,2)</f>
        <v/>
      </c>
      <c r="M164" s="155">
        <f>MIN($Q$13,N163+L164)</f>
        <v/>
      </c>
      <c r="N164" s="155">
        <f>ROUND(N163+L164-M164,2)</f>
        <v/>
      </c>
      <c r="O164" s="155">
        <f>ROUND(Q163*$P$14,2)</f>
        <v/>
      </c>
      <c r="P164" s="155">
        <f>MIN($Q$14,Q163+O164)</f>
        <v/>
      </c>
      <c r="Q164" s="155">
        <f>ROUND(Q163+O164-P164,2)</f>
        <v/>
      </c>
      <c r="R164" s="155">
        <f>ROUND(T163*$P$15,2)</f>
        <v/>
      </c>
      <c r="S164" s="155">
        <f>MIN($Q$15,T163+R164)</f>
        <v/>
      </c>
      <c r="T164" s="155">
        <f>ROUND(T163+R164-S164,2)</f>
        <v/>
      </c>
      <c r="U164" s="155">
        <f>ROUND(W163*$P$16,2)</f>
        <v/>
      </c>
      <c r="V164" s="155">
        <f>MIN($Q$16,W163+U164)</f>
        <v/>
      </c>
      <c r="W164" s="155">
        <f>ROUND(W163+U164-V164,2)</f>
        <v/>
      </c>
      <c r="X164" s="155">
        <f>ROUND(Z163*$P$17,2)</f>
        <v/>
      </c>
      <c r="Y164" s="155">
        <f>MIN($Q$17,Z163+X164)</f>
        <v/>
      </c>
      <c r="Z164" s="155">
        <f>ROUND(Z163+X164-Y164,2)</f>
        <v/>
      </c>
      <c r="AA164" s="155">
        <f>ROUND(AC163*$P$18,2)</f>
        <v/>
      </c>
      <c r="AB164" s="155">
        <f>MIN($Q$18,AC163+AA164)</f>
        <v/>
      </c>
      <c r="AC164" s="155">
        <f>ROUND(AC163+AA164-AB164,2)</f>
        <v/>
      </c>
      <c r="AD164" s="155">
        <f>ROUND(AF163*$P$19,2)</f>
        <v/>
      </c>
      <c r="AE164" s="155">
        <f>MIN($Q$19,AF163+AD164)</f>
        <v/>
      </c>
      <c r="AF164" s="155">
        <f>ROUND(AF163+AD164-AE164,2)</f>
        <v/>
      </c>
      <c r="AG164" s="155">
        <f>D164+G164+J164+M164+P164+S164+V164+Y164+AB164+AE164</f>
        <v/>
      </c>
      <c r="AH164" s="155">
        <f>C164+F164+I164+L164+O164+R164+U164+X164+AA164+AD164</f>
        <v/>
      </c>
      <c r="AI164" s="155">
        <f>E164+H164+K164+N164+Q164+T164+W164+Z164+AC164+AF164</f>
        <v/>
      </c>
    </row>
    <row r="165">
      <c r="A165" s="154" t="n">
        <v>9</v>
      </c>
      <c r="B165" s="156">
        <f>EDATE($B$5,A165-1)</f>
        <v/>
      </c>
      <c r="C165" s="155">
        <f>ROUND(E164*$P$10,2)</f>
        <v/>
      </c>
      <c r="D165" s="155">
        <f>MIN($Q$10,E164+C165)</f>
        <v/>
      </c>
      <c r="E165" s="155">
        <f>ROUND(E164+C165-D165,2)</f>
        <v/>
      </c>
      <c r="F165" s="155">
        <f>ROUND(H164*$P$11,2)</f>
        <v/>
      </c>
      <c r="G165" s="155">
        <f>MIN($Q$11,H164+F165)</f>
        <v/>
      </c>
      <c r="H165" s="155">
        <f>ROUND(H164+F165-G165,2)</f>
        <v/>
      </c>
      <c r="I165" s="155">
        <f>ROUND(K164*$P$12,2)</f>
        <v/>
      </c>
      <c r="J165" s="155">
        <f>MIN($Q$12,K164+I165)</f>
        <v/>
      </c>
      <c r="K165" s="155">
        <f>ROUND(K164+I165-J165,2)</f>
        <v/>
      </c>
      <c r="L165" s="155">
        <f>ROUND(N164*$P$13,2)</f>
        <v/>
      </c>
      <c r="M165" s="155">
        <f>MIN($Q$13,N164+L165)</f>
        <v/>
      </c>
      <c r="N165" s="155">
        <f>ROUND(N164+L165-M165,2)</f>
        <v/>
      </c>
      <c r="O165" s="155">
        <f>ROUND(Q164*$P$14,2)</f>
        <v/>
      </c>
      <c r="P165" s="155">
        <f>MIN($Q$14,Q164+O165)</f>
        <v/>
      </c>
      <c r="Q165" s="155">
        <f>ROUND(Q164+O165-P165,2)</f>
        <v/>
      </c>
      <c r="R165" s="155">
        <f>ROUND(T164*$P$15,2)</f>
        <v/>
      </c>
      <c r="S165" s="155">
        <f>MIN($Q$15,T164+R165)</f>
        <v/>
      </c>
      <c r="T165" s="155">
        <f>ROUND(T164+R165-S165,2)</f>
        <v/>
      </c>
      <c r="U165" s="155">
        <f>ROUND(W164*$P$16,2)</f>
        <v/>
      </c>
      <c r="V165" s="155">
        <f>MIN($Q$16,W164+U165)</f>
        <v/>
      </c>
      <c r="W165" s="155">
        <f>ROUND(W164+U165-V165,2)</f>
        <v/>
      </c>
      <c r="X165" s="155">
        <f>ROUND(Z164*$P$17,2)</f>
        <v/>
      </c>
      <c r="Y165" s="155">
        <f>MIN($Q$17,Z164+X165)</f>
        <v/>
      </c>
      <c r="Z165" s="155">
        <f>ROUND(Z164+X165-Y165,2)</f>
        <v/>
      </c>
      <c r="AA165" s="155">
        <f>ROUND(AC164*$P$18,2)</f>
        <v/>
      </c>
      <c r="AB165" s="155">
        <f>MIN($Q$18,AC164+AA165)</f>
        <v/>
      </c>
      <c r="AC165" s="155">
        <f>ROUND(AC164+AA165-AB165,2)</f>
        <v/>
      </c>
      <c r="AD165" s="155">
        <f>ROUND(AF164*$P$19,2)</f>
        <v/>
      </c>
      <c r="AE165" s="155">
        <f>MIN($Q$19,AF164+AD165)</f>
        <v/>
      </c>
      <c r="AF165" s="155">
        <f>ROUND(AF164+AD165-AE165,2)</f>
        <v/>
      </c>
      <c r="AG165" s="155">
        <f>D165+G165+J165+M165+P165+S165+V165+Y165+AB165+AE165</f>
        <v/>
      </c>
      <c r="AH165" s="155">
        <f>C165+F165+I165+L165+O165+R165+U165+X165+AA165+AD165</f>
        <v/>
      </c>
      <c r="AI165" s="155">
        <f>E165+H165+K165+N165+Q165+T165+W165+Z165+AC165+AF165</f>
        <v/>
      </c>
    </row>
    <row r="166">
      <c r="A166" s="154" t="n">
        <v>10</v>
      </c>
      <c r="B166" s="156">
        <f>EDATE($B$5,A166-1)</f>
        <v/>
      </c>
      <c r="C166" s="155">
        <f>ROUND(E165*$P$10,2)</f>
        <v/>
      </c>
      <c r="D166" s="155">
        <f>MIN($Q$10,E165+C166)</f>
        <v/>
      </c>
      <c r="E166" s="155">
        <f>ROUND(E165+C166-D166,2)</f>
        <v/>
      </c>
      <c r="F166" s="155">
        <f>ROUND(H165*$P$11,2)</f>
        <v/>
      </c>
      <c r="G166" s="155">
        <f>MIN($Q$11,H165+F166)</f>
        <v/>
      </c>
      <c r="H166" s="155">
        <f>ROUND(H165+F166-G166,2)</f>
        <v/>
      </c>
      <c r="I166" s="155">
        <f>ROUND(K165*$P$12,2)</f>
        <v/>
      </c>
      <c r="J166" s="155">
        <f>MIN($Q$12,K165+I166)</f>
        <v/>
      </c>
      <c r="K166" s="155">
        <f>ROUND(K165+I166-J166,2)</f>
        <v/>
      </c>
      <c r="L166" s="155">
        <f>ROUND(N165*$P$13,2)</f>
        <v/>
      </c>
      <c r="M166" s="155">
        <f>MIN($Q$13,N165+L166)</f>
        <v/>
      </c>
      <c r="N166" s="155">
        <f>ROUND(N165+L166-M166,2)</f>
        <v/>
      </c>
      <c r="O166" s="155">
        <f>ROUND(Q165*$P$14,2)</f>
        <v/>
      </c>
      <c r="P166" s="155">
        <f>MIN($Q$14,Q165+O166)</f>
        <v/>
      </c>
      <c r="Q166" s="155">
        <f>ROUND(Q165+O166-P166,2)</f>
        <v/>
      </c>
      <c r="R166" s="155">
        <f>ROUND(T165*$P$15,2)</f>
        <v/>
      </c>
      <c r="S166" s="155">
        <f>MIN($Q$15,T165+R166)</f>
        <v/>
      </c>
      <c r="T166" s="155">
        <f>ROUND(T165+R166-S166,2)</f>
        <v/>
      </c>
      <c r="U166" s="155">
        <f>ROUND(W165*$P$16,2)</f>
        <v/>
      </c>
      <c r="V166" s="155">
        <f>MIN($Q$16,W165+U166)</f>
        <v/>
      </c>
      <c r="W166" s="155">
        <f>ROUND(W165+U166-V166,2)</f>
        <v/>
      </c>
      <c r="X166" s="155">
        <f>ROUND(Z165*$P$17,2)</f>
        <v/>
      </c>
      <c r="Y166" s="155">
        <f>MIN($Q$17,Z165+X166)</f>
        <v/>
      </c>
      <c r="Z166" s="155">
        <f>ROUND(Z165+X166-Y166,2)</f>
        <v/>
      </c>
      <c r="AA166" s="155">
        <f>ROUND(AC165*$P$18,2)</f>
        <v/>
      </c>
      <c r="AB166" s="155">
        <f>MIN($Q$18,AC165+AA166)</f>
        <v/>
      </c>
      <c r="AC166" s="155">
        <f>ROUND(AC165+AA166-AB166,2)</f>
        <v/>
      </c>
      <c r="AD166" s="155">
        <f>ROUND(AF165*$P$19,2)</f>
        <v/>
      </c>
      <c r="AE166" s="155">
        <f>MIN($Q$19,AF165+AD166)</f>
        <v/>
      </c>
      <c r="AF166" s="155">
        <f>ROUND(AF165+AD166-AE166,2)</f>
        <v/>
      </c>
      <c r="AG166" s="155">
        <f>D166+G166+J166+M166+P166+S166+V166+Y166+AB166+AE166</f>
        <v/>
      </c>
      <c r="AH166" s="155">
        <f>C166+F166+I166+L166+O166+R166+U166+X166+AA166+AD166</f>
        <v/>
      </c>
      <c r="AI166" s="155">
        <f>E166+H166+K166+N166+Q166+T166+W166+Z166+AC166+AF166</f>
        <v/>
      </c>
    </row>
    <row r="167">
      <c r="A167" s="154" t="n">
        <v>11</v>
      </c>
      <c r="B167" s="156">
        <f>EDATE($B$5,A167-1)</f>
        <v/>
      </c>
      <c r="C167" s="155">
        <f>ROUND(E166*$P$10,2)</f>
        <v/>
      </c>
      <c r="D167" s="155">
        <f>MIN($Q$10,E166+C167)</f>
        <v/>
      </c>
      <c r="E167" s="155">
        <f>ROUND(E166+C167-D167,2)</f>
        <v/>
      </c>
      <c r="F167" s="155">
        <f>ROUND(H166*$P$11,2)</f>
        <v/>
      </c>
      <c r="G167" s="155">
        <f>MIN($Q$11,H166+F167)</f>
        <v/>
      </c>
      <c r="H167" s="155">
        <f>ROUND(H166+F167-G167,2)</f>
        <v/>
      </c>
      <c r="I167" s="155">
        <f>ROUND(K166*$P$12,2)</f>
        <v/>
      </c>
      <c r="J167" s="155">
        <f>MIN($Q$12,K166+I167)</f>
        <v/>
      </c>
      <c r="K167" s="155">
        <f>ROUND(K166+I167-J167,2)</f>
        <v/>
      </c>
      <c r="L167" s="155">
        <f>ROUND(N166*$P$13,2)</f>
        <v/>
      </c>
      <c r="M167" s="155">
        <f>MIN($Q$13,N166+L167)</f>
        <v/>
      </c>
      <c r="N167" s="155">
        <f>ROUND(N166+L167-M167,2)</f>
        <v/>
      </c>
      <c r="O167" s="155">
        <f>ROUND(Q166*$P$14,2)</f>
        <v/>
      </c>
      <c r="P167" s="155">
        <f>MIN($Q$14,Q166+O167)</f>
        <v/>
      </c>
      <c r="Q167" s="155">
        <f>ROUND(Q166+O167-P167,2)</f>
        <v/>
      </c>
      <c r="R167" s="155">
        <f>ROUND(T166*$P$15,2)</f>
        <v/>
      </c>
      <c r="S167" s="155">
        <f>MIN($Q$15,T166+R167)</f>
        <v/>
      </c>
      <c r="T167" s="155">
        <f>ROUND(T166+R167-S167,2)</f>
        <v/>
      </c>
      <c r="U167" s="155">
        <f>ROUND(W166*$P$16,2)</f>
        <v/>
      </c>
      <c r="V167" s="155">
        <f>MIN($Q$16,W166+U167)</f>
        <v/>
      </c>
      <c r="W167" s="155">
        <f>ROUND(W166+U167-V167,2)</f>
        <v/>
      </c>
      <c r="X167" s="155">
        <f>ROUND(Z166*$P$17,2)</f>
        <v/>
      </c>
      <c r="Y167" s="155">
        <f>MIN($Q$17,Z166+X167)</f>
        <v/>
      </c>
      <c r="Z167" s="155">
        <f>ROUND(Z166+X167-Y167,2)</f>
        <v/>
      </c>
      <c r="AA167" s="155">
        <f>ROUND(AC166*$P$18,2)</f>
        <v/>
      </c>
      <c r="AB167" s="155">
        <f>MIN($Q$18,AC166+AA167)</f>
        <v/>
      </c>
      <c r="AC167" s="155">
        <f>ROUND(AC166+AA167-AB167,2)</f>
        <v/>
      </c>
      <c r="AD167" s="155">
        <f>ROUND(AF166*$P$19,2)</f>
        <v/>
      </c>
      <c r="AE167" s="155">
        <f>MIN($Q$19,AF166+AD167)</f>
        <v/>
      </c>
      <c r="AF167" s="155">
        <f>ROUND(AF166+AD167-AE167,2)</f>
        <v/>
      </c>
      <c r="AG167" s="155">
        <f>D167+G167+J167+M167+P167+S167+V167+Y167+AB167+AE167</f>
        <v/>
      </c>
      <c r="AH167" s="155">
        <f>C167+F167+I167+L167+O167+R167+U167+X167+AA167+AD167</f>
        <v/>
      </c>
      <c r="AI167" s="155">
        <f>E167+H167+K167+N167+Q167+T167+W167+Z167+AC167+AF167</f>
        <v/>
      </c>
    </row>
    <row r="168">
      <c r="A168" s="154" t="n">
        <v>12</v>
      </c>
      <c r="B168" s="156">
        <f>EDATE($B$5,A168-1)</f>
        <v/>
      </c>
      <c r="C168" s="155">
        <f>ROUND(E167*$P$10,2)</f>
        <v/>
      </c>
      <c r="D168" s="155">
        <f>MIN($Q$10,E167+C168)</f>
        <v/>
      </c>
      <c r="E168" s="155">
        <f>ROUND(E167+C168-D168,2)</f>
        <v/>
      </c>
      <c r="F168" s="155">
        <f>ROUND(H167*$P$11,2)</f>
        <v/>
      </c>
      <c r="G168" s="155">
        <f>MIN($Q$11,H167+F168)</f>
        <v/>
      </c>
      <c r="H168" s="155">
        <f>ROUND(H167+F168-G168,2)</f>
        <v/>
      </c>
      <c r="I168" s="155">
        <f>ROUND(K167*$P$12,2)</f>
        <v/>
      </c>
      <c r="J168" s="155">
        <f>MIN($Q$12,K167+I168)</f>
        <v/>
      </c>
      <c r="K168" s="155">
        <f>ROUND(K167+I168-J168,2)</f>
        <v/>
      </c>
      <c r="L168" s="155">
        <f>ROUND(N167*$P$13,2)</f>
        <v/>
      </c>
      <c r="M168" s="155">
        <f>MIN($Q$13,N167+L168)</f>
        <v/>
      </c>
      <c r="N168" s="155">
        <f>ROUND(N167+L168-M168,2)</f>
        <v/>
      </c>
      <c r="O168" s="155">
        <f>ROUND(Q167*$P$14,2)</f>
        <v/>
      </c>
      <c r="P168" s="155">
        <f>MIN($Q$14,Q167+O168)</f>
        <v/>
      </c>
      <c r="Q168" s="155">
        <f>ROUND(Q167+O168-P168,2)</f>
        <v/>
      </c>
      <c r="R168" s="155">
        <f>ROUND(T167*$P$15,2)</f>
        <v/>
      </c>
      <c r="S168" s="155">
        <f>MIN($Q$15,T167+R168)</f>
        <v/>
      </c>
      <c r="T168" s="155">
        <f>ROUND(T167+R168-S168,2)</f>
        <v/>
      </c>
      <c r="U168" s="155">
        <f>ROUND(W167*$P$16,2)</f>
        <v/>
      </c>
      <c r="V168" s="155">
        <f>MIN($Q$16,W167+U168)</f>
        <v/>
      </c>
      <c r="W168" s="155">
        <f>ROUND(W167+U168-V168,2)</f>
        <v/>
      </c>
      <c r="X168" s="155">
        <f>ROUND(Z167*$P$17,2)</f>
        <v/>
      </c>
      <c r="Y168" s="155">
        <f>MIN($Q$17,Z167+X168)</f>
        <v/>
      </c>
      <c r="Z168" s="155">
        <f>ROUND(Z167+X168-Y168,2)</f>
        <v/>
      </c>
      <c r="AA168" s="155">
        <f>ROUND(AC167*$P$18,2)</f>
        <v/>
      </c>
      <c r="AB168" s="155">
        <f>MIN($Q$18,AC167+AA168)</f>
        <v/>
      </c>
      <c r="AC168" s="155">
        <f>ROUND(AC167+AA168-AB168,2)</f>
        <v/>
      </c>
      <c r="AD168" s="155">
        <f>ROUND(AF167*$P$19,2)</f>
        <v/>
      </c>
      <c r="AE168" s="155">
        <f>MIN($Q$19,AF167+AD168)</f>
        <v/>
      </c>
      <c r="AF168" s="155">
        <f>ROUND(AF167+AD168-AE168,2)</f>
        <v/>
      </c>
      <c r="AG168" s="155">
        <f>D168+G168+J168+M168+P168+S168+V168+Y168+AB168+AE168</f>
        <v/>
      </c>
      <c r="AH168" s="155">
        <f>C168+F168+I168+L168+O168+R168+U168+X168+AA168+AD168</f>
        <v/>
      </c>
      <c r="AI168" s="155">
        <f>E168+H168+K168+N168+Q168+T168+W168+Z168+AC168+AF168</f>
        <v/>
      </c>
    </row>
    <row r="169">
      <c r="A169" s="154" t="n">
        <v>13</v>
      </c>
      <c r="B169" s="156">
        <f>EDATE($B$5,A169-1)</f>
        <v/>
      </c>
      <c r="C169" s="155">
        <f>ROUND(E168*$P$10,2)</f>
        <v/>
      </c>
      <c r="D169" s="155">
        <f>MIN($Q$10,E168+C169)</f>
        <v/>
      </c>
      <c r="E169" s="155">
        <f>ROUND(E168+C169-D169,2)</f>
        <v/>
      </c>
      <c r="F169" s="155">
        <f>ROUND(H168*$P$11,2)</f>
        <v/>
      </c>
      <c r="G169" s="155">
        <f>MIN($Q$11,H168+F169)</f>
        <v/>
      </c>
      <c r="H169" s="155">
        <f>ROUND(H168+F169-G169,2)</f>
        <v/>
      </c>
      <c r="I169" s="155">
        <f>ROUND(K168*$P$12,2)</f>
        <v/>
      </c>
      <c r="J169" s="155">
        <f>MIN($Q$12,K168+I169)</f>
        <v/>
      </c>
      <c r="K169" s="155">
        <f>ROUND(K168+I169-J169,2)</f>
        <v/>
      </c>
      <c r="L169" s="155">
        <f>ROUND(N168*$P$13,2)</f>
        <v/>
      </c>
      <c r="M169" s="155">
        <f>MIN($Q$13,N168+L169)</f>
        <v/>
      </c>
      <c r="N169" s="155">
        <f>ROUND(N168+L169-M169,2)</f>
        <v/>
      </c>
      <c r="O169" s="155">
        <f>ROUND(Q168*$P$14,2)</f>
        <v/>
      </c>
      <c r="P169" s="155">
        <f>MIN($Q$14,Q168+O169)</f>
        <v/>
      </c>
      <c r="Q169" s="155">
        <f>ROUND(Q168+O169-P169,2)</f>
        <v/>
      </c>
      <c r="R169" s="155">
        <f>ROUND(T168*$P$15,2)</f>
        <v/>
      </c>
      <c r="S169" s="155">
        <f>MIN($Q$15,T168+R169)</f>
        <v/>
      </c>
      <c r="T169" s="155">
        <f>ROUND(T168+R169-S169,2)</f>
        <v/>
      </c>
      <c r="U169" s="155">
        <f>ROUND(W168*$P$16,2)</f>
        <v/>
      </c>
      <c r="V169" s="155">
        <f>MIN($Q$16,W168+U169)</f>
        <v/>
      </c>
      <c r="W169" s="155">
        <f>ROUND(W168+U169-V169,2)</f>
        <v/>
      </c>
      <c r="X169" s="155">
        <f>ROUND(Z168*$P$17,2)</f>
        <v/>
      </c>
      <c r="Y169" s="155">
        <f>MIN($Q$17,Z168+X169)</f>
        <v/>
      </c>
      <c r="Z169" s="155">
        <f>ROUND(Z168+X169-Y169,2)</f>
        <v/>
      </c>
      <c r="AA169" s="155">
        <f>ROUND(AC168*$P$18,2)</f>
        <v/>
      </c>
      <c r="AB169" s="155">
        <f>MIN($Q$18,AC168+AA169)</f>
        <v/>
      </c>
      <c r="AC169" s="155">
        <f>ROUND(AC168+AA169-AB169,2)</f>
        <v/>
      </c>
      <c r="AD169" s="155">
        <f>ROUND(AF168*$P$19,2)</f>
        <v/>
      </c>
      <c r="AE169" s="155">
        <f>MIN($Q$19,AF168+AD169)</f>
        <v/>
      </c>
      <c r="AF169" s="155">
        <f>ROUND(AF168+AD169-AE169,2)</f>
        <v/>
      </c>
      <c r="AG169" s="155">
        <f>D169+G169+J169+M169+P169+S169+V169+Y169+AB169+AE169</f>
        <v/>
      </c>
      <c r="AH169" s="155">
        <f>C169+F169+I169+L169+O169+R169+U169+X169+AA169+AD169</f>
        <v/>
      </c>
      <c r="AI169" s="155">
        <f>E169+H169+K169+N169+Q169+T169+W169+Z169+AC169+AF169</f>
        <v/>
      </c>
    </row>
    <row r="170">
      <c r="A170" s="154" t="n">
        <v>14</v>
      </c>
      <c r="B170" s="156">
        <f>EDATE($B$5,A170-1)</f>
        <v/>
      </c>
      <c r="C170" s="155">
        <f>ROUND(E169*$P$10,2)</f>
        <v/>
      </c>
      <c r="D170" s="155">
        <f>MIN($Q$10,E169+C170)</f>
        <v/>
      </c>
      <c r="E170" s="155">
        <f>ROUND(E169+C170-D170,2)</f>
        <v/>
      </c>
      <c r="F170" s="155">
        <f>ROUND(H169*$P$11,2)</f>
        <v/>
      </c>
      <c r="G170" s="155">
        <f>MIN($Q$11,H169+F170)</f>
        <v/>
      </c>
      <c r="H170" s="155">
        <f>ROUND(H169+F170-G170,2)</f>
        <v/>
      </c>
      <c r="I170" s="155">
        <f>ROUND(K169*$P$12,2)</f>
        <v/>
      </c>
      <c r="J170" s="155">
        <f>MIN($Q$12,K169+I170)</f>
        <v/>
      </c>
      <c r="K170" s="155">
        <f>ROUND(K169+I170-J170,2)</f>
        <v/>
      </c>
      <c r="L170" s="155">
        <f>ROUND(N169*$P$13,2)</f>
        <v/>
      </c>
      <c r="M170" s="155">
        <f>MIN($Q$13,N169+L170)</f>
        <v/>
      </c>
      <c r="N170" s="155">
        <f>ROUND(N169+L170-M170,2)</f>
        <v/>
      </c>
      <c r="O170" s="155">
        <f>ROUND(Q169*$P$14,2)</f>
        <v/>
      </c>
      <c r="P170" s="155">
        <f>MIN($Q$14,Q169+O170)</f>
        <v/>
      </c>
      <c r="Q170" s="155">
        <f>ROUND(Q169+O170-P170,2)</f>
        <v/>
      </c>
      <c r="R170" s="155">
        <f>ROUND(T169*$P$15,2)</f>
        <v/>
      </c>
      <c r="S170" s="155">
        <f>MIN($Q$15,T169+R170)</f>
        <v/>
      </c>
      <c r="T170" s="155">
        <f>ROUND(T169+R170-S170,2)</f>
        <v/>
      </c>
      <c r="U170" s="155">
        <f>ROUND(W169*$P$16,2)</f>
        <v/>
      </c>
      <c r="V170" s="155">
        <f>MIN($Q$16,W169+U170)</f>
        <v/>
      </c>
      <c r="W170" s="155">
        <f>ROUND(W169+U170-V170,2)</f>
        <v/>
      </c>
      <c r="X170" s="155">
        <f>ROUND(Z169*$P$17,2)</f>
        <v/>
      </c>
      <c r="Y170" s="155">
        <f>MIN($Q$17,Z169+X170)</f>
        <v/>
      </c>
      <c r="Z170" s="155">
        <f>ROUND(Z169+X170-Y170,2)</f>
        <v/>
      </c>
      <c r="AA170" s="155">
        <f>ROUND(AC169*$P$18,2)</f>
        <v/>
      </c>
      <c r="AB170" s="155">
        <f>MIN($Q$18,AC169+AA170)</f>
        <v/>
      </c>
      <c r="AC170" s="155">
        <f>ROUND(AC169+AA170-AB170,2)</f>
        <v/>
      </c>
      <c r="AD170" s="155">
        <f>ROUND(AF169*$P$19,2)</f>
        <v/>
      </c>
      <c r="AE170" s="155">
        <f>MIN($Q$19,AF169+AD170)</f>
        <v/>
      </c>
      <c r="AF170" s="155">
        <f>ROUND(AF169+AD170-AE170,2)</f>
        <v/>
      </c>
      <c r="AG170" s="155">
        <f>D170+G170+J170+M170+P170+S170+V170+Y170+AB170+AE170</f>
        <v/>
      </c>
      <c r="AH170" s="155">
        <f>C170+F170+I170+L170+O170+R170+U170+X170+AA170+AD170</f>
        <v/>
      </c>
      <c r="AI170" s="155">
        <f>E170+H170+K170+N170+Q170+T170+W170+Z170+AC170+AF170</f>
        <v/>
      </c>
    </row>
    <row r="171">
      <c r="A171" s="154" t="n">
        <v>15</v>
      </c>
      <c r="B171" s="156">
        <f>EDATE($B$5,A171-1)</f>
        <v/>
      </c>
      <c r="C171" s="155">
        <f>ROUND(E170*$P$10,2)</f>
        <v/>
      </c>
      <c r="D171" s="155">
        <f>MIN($Q$10,E170+C171)</f>
        <v/>
      </c>
      <c r="E171" s="155">
        <f>ROUND(E170+C171-D171,2)</f>
        <v/>
      </c>
      <c r="F171" s="155">
        <f>ROUND(H170*$P$11,2)</f>
        <v/>
      </c>
      <c r="G171" s="155">
        <f>MIN($Q$11,H170+F171)</f>
        <v/>
      </c>
      <c r="H171" s="155">
        <f>ROUND(H170+F171-G171,2)</f>
        <v/>
      </c>
      <c r="I171" s="155">
        <f>ROUND(K170*$P$12,2)</f>
        <v/>
      </c>
      <c r="J171" s="155">
        <f>MIN($Q$12,K170+I171)</f>
        <v/>
      </c>
      <c r="K171" s="155">
        <f>ROUND(K170+I171-J171,2)</f>
        <v/>
      </c>
      <c r="L171" s="155">
        <f>ROUND(N170*$P$13,2)</f>
        <v/>
      </c>
      <c r="M171" s="155">
        <f>MIN($Q$13,N170+L171)</f>
        <v/>
      </c>
      <c r="N171" s="155">
        <f>ROUND(N170+L171-M171,2)</f>
        <v/>
      </c>
      <c r="O171" s="155">
        <f>ROUND(Q170*$P$14,2)</f>
        <v/>
      </c>
      <c r="P171" s="155">
        <f>MIN($Q$14,Q170+O171)</f>
        <v/>
      </c>
      <c r="Q171" s="155">
        <f>ROUND(Q170+O171-P171,2)</f>
        <v/>
      </c>
      <c r="R171" s="155">
        <f>ROUND(T170*$P$15,2)</f>
        <v/>
      </c>
      <c r="S171" s="155">
        <f>MIN($Q$15,T170+R171)</f>
        <v/>
      </c>
      <c r="T171" s="155">
        <f>ROUND(T170+R171-S171,2)</f>
        <v/>
      </c>
      <c r="U171" s="155">
        <f>ROUND(W170*$P$16,2)</f>
        <v/>
      </c>
      <c r="V171" s="155">
        <f>MIN($Q$16,W170+U171)</f>
        <v/>
      </c>
      <c r="W171" s="155">
        <f>ROUND(W170+U171-V171,2)</f>
        <v/>
      </c>
      <c r="X171" s="155">
        <f>ROUND(Z170*$P$17,2)</f>
        <v/>
      </c>
      <c r="Y171" s="155">
        <f>MIN($Q$17,Z170+X171)</f>
        <v/>
      </c>
      <c r="Z171" s="155">
        <f>ROUND(Z170+X171-Y171,2)</f>
        <v/>
      </c>
      <c r="AA171" s="155">
        <f>ROUND(AC170*$P$18,2)</f>
        <v/>
      </c>
      <c r="AB171" s="155">
        <f>MIN($Q$18,AC170+AA171)</f>
        <v/>
      </c>
      <c r="AC171" s="155">
        <f>ROUND(AC170+AA171-AB171,2)</f>
        <v/>
      </c>
      <c r="AD171" s="155">
        <f>ROUND(AF170*$P$19,2)</f>
        <v/>
      </c>
      <c r="AE171" s="155">
        <f>MIN($Q$19,AF170+AD171)</f>
        <v/>
      </c>
      <c r="AF171" s="155">
        <f>ROUND(AF170+AD171-AE171,2)</f>
        <v/>
      </c>
      <c r="AG171" s="155">
        <f>D171+G171+J171+M171+P171+S171+V171+Y171+AB171+AE171</f>
        <v/>
      </c>
      <c r="AH171" s="155">
        <f>C171+F171+I171+L171+O171+R171+U171+X171+AA171+AD171</f>
        <v/>
      </c>
      <c r="AI171" s="155">
        <f>E171+H171+K171+N171+Q171+T171+W171+Z171+AC171+AF171</f>
        <v/>
      </c>
    </row>
    <row r="172">
      <c r="A172" s="154" t="n">
        <v>16</v>
      </c>
      <c r="B172" s="156">
        <f>EDATE($B$5,A172-1)</f>
        <v/>
      </c>
      <c r="C172" s="155">
        <f>ROUND(E171*$P$10,2)</f>
        <v/>
      </c>
      <c r="D172" s="155">
        <f>MIN($Q$10,E171+C172)</f>
        <v/>
      </c>
      <c r="E172" s="155">
        <f>ROUND(E171+C172-D172,2)</f>
        <v/>
      </c>
      <c r="F172" s="155">
        <f>ROUND(H171*$P$11,2)</f>
        <v/>
      </c>
      <c r="G172" s="155">
        <f>MIN($Q$11,H171+F172)</f>
        <v/>
      </c>
      <c r="H172" s="155">
        <f>ROUND(H171+F172-G172,2)</f>
        <v/>
      </c>
      <c r="I172" s="155">
        <f>ROUND(K171*$P$12,2)</f>
        <v/>
      </c>
      <c r="J172" s="155">
        <f>MIN($Q$12,K171+I172)</f>
        <v/>
      </c>
      <c r="K172" s="155">
        <f>ROUND(K171+I172-J172,2)</f>
        <v/>
      </c>
      <c r="L172" s="155">
        <f>ROUND(N171*$P$13,2)</f>
        <v/>
      </c>
      <c r="M172" s="155">
        <f>MIN($Q$13,N171+L172)</f>
        <v/>
      </c>
      <c r="N172" s="155">
        <f>ROUND(N171+L172-M172,2)</f>
        <v/>
      </c>
      <c r="O172" s="155">
        <f>ROUND(Q171*$P$14,2)</f>
        <v/>
      </c>
      <c r="P172" s="155">
        <f>MIN($Q$14,Q171+O172)</f>
        <v/>
      </c>
      <c r="Q172" s="155">
        <f>ROUND(Q171+O172-P172,2)</f>
        <v/>
      </c>
      <c r="R172" s="155">
        <f>ROUND(T171*$P$15,2)</f>
        <v/>
      </c>
      <c r="S172" s="155">
        <f>MIN($Q$15,T171+R172)</f>
        <v/>
      </c>
      <c r="T172" s="155">
        <f>ROUND(T171+R172-S172,2)</f>
        <v/>
      </c>
      <c r="U172" s="155">
        <f>ROUND(W171*$P$16,2)</f>
        <v/>
      </c>
      <c r="V172" s="155">
        <f>MIN($Q$16,W171+U172)</f>
        <v/>
      </c>
      <c r="W172" s="155">
        <f>ROUND(W171+U172-V172,2)</f>
        <v/>
      </c>
      <c r="X172" s="155">
        <f>ROUND(Z171*$P$17,2)</f>
        <v/>
      </c>
      <c r="Y172" s="155">
        <f>MIN($Q$17,Z171+X172)</f>
        <v/>
      </c>
      <c r="Z172" s="155">
        <f>ROUND(Z171+X172-Y172,2)</f>
        <v/>
      </c>
      <c r="AA172" s="155">
        <f>ROUND(AC171*$P$18,2)</f>
        <v/>
      </c>
      <c r="AB172" s="155">
        <f>MIN($Q$18,AC171+AA172)</f>
        <v/>
      </c>
      <c r="AC172" s="155">
        <f>ROUND(AC171+AA172-AB172,2)</f>
        <v/>
      </c>
      <c r="AD172" s="155">
        <f>ROUND(AF171*$P$19,2)</f>
        <v/>
      </c>
      <c r="AE172" s="155">
        <f>MIN($Q$19,AF171+AD172)</f>
        <v/>
      </c>
      <c r="AF172" s="155">
        <f>ROUND(AF171+AD172-AE172,2)</f>
        <v/>
      </c>
      <c r="AG172" s="155">
        <f>D172+G172+J172+M172+P172+S172+V172+Y172+AB172+AE172</f>
        <v/>
      </c>
      <c r="AH172" s="155">
        <f>C172+F172+I172+L172+O172+R172+U172+X172+AA172+AD172</f>
        <v/>
      </c>
      <c r="AI172" s="155">
        <f>E172+H172+K172+N172+Q172+T172+W172+Z172+AC172+AF172</f>
        <v/>
      </c>
    </row>
    <row r="173">
      <c r="A173" s="154" t="n">
        <v>17</v>
      </c>
      <c r="B173" s="156">
        <f>EDATE($B$5,A173-1)</f>
        <v/>
      </c>
      <c r="C173" s="155">
        <f>ROUND(E172*$P$10,2)</f>
        <v/>
      </c>
      <c r="D173" s="155">
        <f>MIN($Q$10,E172+C173)</f>
        <v/>
      </c>
      <c r="E173" s="155">
        <f>ROUND(E172+C173-D173,2)</f>
        <v/>
      </c>
      <c r="F173" s="155">
        <f>ROUND(H172*$P$11,2)</f>
        <v/>
      </c>
      <c r="G173" s="155">
        <f>MIN($Q$11,H172+F173)</f>
        <v/>
      </c>
      <c r="H173" s="155">
        <f>ROUND(H172+F173-G173,2)</f>
        <v/>
      </c>
      <c r="I173" s="155">
        <f>ROUND(K172*$P$12,2)</f>
        <v/>
      </c>
      <c r="J173" s="155">
        <f>MIN($Q$12,K172+I173)</f>
        <v/>
      </c>
      <c r="K173" s="155">
        <f>ROUND(K172+I173-J173,2)</f>
        <v/>
      </c>
      <c r="L173" s="155">
        <f>ROUND(N172*$P$13,2)</f>
        <v/>
      </c>
      <c r="M173" s="155">
        <f>MIN($Q$13,N172+L173)</f>
        <v/>
      </c>
      <c r="N173" s="155">
        <f>ROUND(N172+L173-M173,2)</f>
        <v/>
      </c>
      <c r="O173" s="155">
        <f>ROUND(Q172*$P$14,2)</f>
        <v/>
      </c>
      <c r="P173" s="155">
        <f>MIN($Q$14,Q172+O173)</f>
        <v/>
      </c>
      <c r="Q173" s="155">
        <f>ROUND(Q172+O173-P173,2)</f>
        <v/>
      </c>
      <c r="R173" s="155">
        <f>ROUND(T172*$P$15,2)</f>
        <v/>
      </c>
      <c r="S173" s="155">
        <f>MIN($Q$15,T172+R173)</f>
        <v/>
      </c>
      <c r="T173" s="155">
        <f>ROUND(T172+R173-S173,2)</f>
        <v/>
      </c>
      <c r="U173" s="155">
        <f>ROUND(W172*$P$16,2)</f>
        <v/>
      </c>
      <c r="V173" s="155">
        <f>MIN($Q$16,W172+U173)</f>
        <v/>
      </c>
      <c r="W173" s="155">
        <f>ROUND(W172+U173-V173,2)</f>
        <v/>
      </c>
      <c r="X173" s="155">
        <f>ROUND(Z172*$P$17,2)</f>
        <v/>
      </c>
      <c r="Y173" s="155">
        <f>MIN($Q$17,Z172+X173)</f>
        <v/>
      </c>
      <c r="Z173" s="155">
        <f>ROUND(Z172+X173-Y173,2)</f>
        <v/>
      </c>
      <c r="AA173" s="155">
        <f>ROUND(AC172*$P$18,2)</f>
        <v/>
      </c>
      <c r="AB173" s="155">
        <f>MIN($Q$18,AC172+AA173)</f>
        <v/>
      </c>
      <c r="AC173" s="155">
        <f>ROUND(AC172+AA173-AB173,2)</f>
        <v/>
      </c>
      <c r="AD173" s="155">
        <f>ROUND(AF172*$P$19,2)</f>
        <v/>
      </c>
      <c r="AE173" s="155">
        <f>MIN($Q$19,AF172+AD173)</f>
        <v/>
      </c>
      <c r="AF173" s="155">
        <f>ROUND(AF172+AD173-AE173,2)</f>
        <v/>
      </c>
      <c r="AG173" s="155">
        <f>D173+G173+J173+M173+P173+S173+V173+Y173+AB173+AE173</f>
        <v/>
      </c>
      <c r="AH173" s="155">
        <f>C173+F173+I173+L173+O173+R173+U173+X173+AA173+AD173</f>
        <v/>
      </c>
      <c r="AI173" s="155">
        <f>E173+H173+K173+N173+Q173+T173+W173+Z173+AC173+AF173</f>
        <v/>
      </c>
    </row>
    <row r="174">
      <c r="A174" s="154" t="n">
        <v>18</v>
      </c>
      <c r="B174" s="156">
        <f>EDATE($B$5,A174-1)</f>
        <v/>
      </c>
      <c r="C174" s="155">
        <f>ROUND(E173*$P$10,2)</f>
        <v/>
      </c>
      <c r="D174" s="155">
        <f>MIN($Q$10,E173+C174)</f>
        <v/>
      </c>
      <c r="E174" s="155">
        <f>ROUND(E173+C174-D174,2)</f>
        <v/>
      </c>
      <c r="F174" s="155">
        <f>ROUND(H173*$P$11,2)</f>
        <v/>
      </c>
      <c r="G174" s="155">
        <f>MIN($Q$11,H173+F174)</f>
        <v/>
      </c>
      <c r="H174" s="155">
        <f>ROUND(H173+F174-G174,2)</f>
        <v/>
      </c>
      <c r="I174" s="155">
        <f>ROUND(K173*$P$12,2)</f>
        <v/>
      </c>
      <c r="J174" s="155">
        <f>MIN($Q$12,K173+I174)</f>
        <v/>
      </c>
      <c r="K174" s="155">
        <f>ROUND(K173+I174-J174,2)</f>
        <v/>
      </c>
      <c r="L174" s="155">
        <f>ROUND(N173*$P$13,2)</f>
        <v/>
      </c>
      <c r="M174" s="155">
        <f>MIN($Q$13,N173+L174)</f>
        <v/>
      </c>
      <c r="N174" s="155">
        <f>ROUND(N173+L174-M174,2)</f>
        <v/>
      </c>
      <c r="O174" s="155">
        <f>ROUND(Q173*$P$14,2)</f>
        <v/>
      </c>
      <c r="P174" s="155">
        <f>MIN($Q$14,Q173+O174)</f>
        <v/>
      </c>
      <c r="Q174" s="155">
        <f>ROUND(Q173+O174-P174,2)</f>
        <v/>
      </c>
      <c r="R174" s="155">
        <f>ROUND(T173*$P$15,2)</f>
        <v/>
      </c>
      <c r="S174" s="155">
        <f>MIN($Q$15,T173+R174)</f>
        <v/>
      </c>
      <c r="T174" s="155">
        <f>ROUND(T173+R174-S174,2)</f>
        <v/>
      </c>
      <c r="U174" s="155">
        <f>ROUND(W173*$P$16,2)</f>
        <v/>
      </c>
      <c r="V174" s="155">
        <f>MIN($Q$16,W173+U174)</f>
        <v/>
      </c>
      <c r="W174" s="155">
        <f>ROUND(W173+U174-V174,2)</f>
        <v/>
      </c>
      <c r="X174" s="155">
        <f>ROUND(Z173*$P$17,2)</f>
        <v/>
      </c>
      <c r="Y174" s="155">
        <f>MIN($Q$17,Z173+X174)</f>
        <v/>
      </c>
      <c r="Z174" s="155">
        <f>ROUND(Z173+X174-Y174,2)</f>
        <v/>
      </c>
      <c r="AA174" s="155">
        <f>ROUND(AC173*$P$18,2)</f>
        <v/>
      </c>
      <c r="AB174" s="155">
        <f>MIN($Q$18,AC173+AA174)</f>
        <v/>
      </c>
      <c r="AC174" s="155">
        <f>ROUND(AC173+AA174-AB174,2)</f>
        <v/>
      </c>
      <c r="AD174" s="155">
        <f>ROUND(AF173*$P$19,2)</f>
        <v/>
      </c>
      <c r="AE174" s="155">
        <f>MIN($Q$19,AF173+AD174)</f>
        <v/>
      </c>
      <c r="AF174" s="155">
        <f>ROUND(AF173+AD174-AE174,2)</f>
        <v/>
      </c>
      <c r="AG174" s="155">
        <f>D174+G174+J174+M174+P174+S174+V174+Y174+AB174+AE174</f>
        <v/>
      </c>
      <c r="AH174" s="155">
        <f>C174+F174+I174+L174+O174+R174+U174+X174+AA174+AD174</f>
        <v/>
      </c>
      <c r="AI174" s="155">
        <f>E174+H174+K174+N174+Q174+T174+W174+Z174+AC174+AF174</f>
        <v/>
      </c>
    </row>
    <row r="175">
      <c r="A175" s="154" t="n">
        <v>19</v>
      </c>
      <c r="B175" s="156">
        <f>EDATE($B$5,A175-1)</f>
        <v/>
      </c>
      <c r="C175" s="155">
        <f>ROUND(E174*$P$10,2)</f>
        <v/>
      </c>
      <c r="D175" s="155">
        <f>MIN($Q$10,E174+C175)</f>
        <v/>
      </c>
      <c r="E175" s="155">
        <f>ROUND(E174+C175-D175,2)</f>
        <v/>
      </c>
      <c r="F175" s="155">
        <f>ROUND(H174*$P$11,2)</f>
        <v/>
      </c>
      <c r="G175" s="155">
        <f>MIN($Q$11,H174+F175)</f>
        <v/>
      </c>
      <c r="H175" s="155">
        <f>ROUND(H174+F175-G175,2)</f>
        <v/>
      </c>
      <c r="I175" s="155">
        <f>ROUND(K174*$P$12,2)</f>
        <v/>
      </c>
      <c r="J175" s="155">
        <f>MIN($Q$12,K174+I175)</f>
        <v/>
      </c>
      <c r="K175" s="155">
        <f>ROUND(K174+I175-J175,2)</f>
        <v/>
      </c>
      <c r="L175" s="155">
        <f>ROUND(N174*$P$13,2)</f>
        <v/>
      </c>
      <c r="M175" s="155">
        <f>MIN($Q$13,N174+L175)</f>
        <v/>
      </c>
      <c r="N175" s="155">
        <f>ROUND(N174+L175-M175,2)</f>
        <v/>
      </c>
      <c r="O175" s="155">
        <f>ROUND(Q174*$P$14,2)</f>
        <v/>
      </c>
      <c r="P175" s="155">
        <f>MIN($Q$14,Q174+O175)</f>
        <v/>
      </c>
      <c r="Q175" s="155">
        <f>ROUND(Q174+O175-P175,2)</f>
        <v/>
      </c>
      <c r="R175" s="155">
        <f>ROUND(T174*$P$15,2)</f>
        <v/>
      </c>
      <c r="S175" s="155">
        <f>MIN($Q$15,T174+R175)</f>
        <v/>
      </c>
      <c r="T175" s="155">
        <f>ROUND(T174+R175-S175,2)</f>
        <v/>
      </c>
      <c r="U175" s="155">
        <f>ROUND(W174*$P$16,2)</f>
        <v/>
      </c>
      <c r="V175" s="155">
        <f>MIN($Q$16,W174+U175)</f>
        <v/>
      </c>
      <c r="W175" s="155">
        <f>ROUND(W174+U175-V175,2)</f>
        <v/>
      </c>
      <c r="X175" s="155">
        <f>ROUND(Z174*$P$17,2)</f>
        <v/>
      </c>
      <c r="Y175" s="155">
        <f>MIN($Q$17,Z174+X175)</f>
        <v/>
      </c>
      <c r="Z175" s="155">
        <f>ROUND(Z174+X175-Y175,2)</f>
        <v/>
      </c>
      <c r="AA175" s="155">
        <f>ROUND(AC174*$P$18,2)</f>
        <v/>
      </c>
      <c r="AB175" s="155">
        <f>MIN($Q$18,AC174+AA175)</f>
        <v/>
      </c>
      <c r="AC175" s="155">
        <f>ROUND(AC174+AA175-AB175,2)</f>
        <v/>
      </c>
      <c r="AD175" s="155">
        <f>ROUND(AF174*$P$19,2)</f>
        <v/>
      </c>
      <c r="AE175" s="155">
        <f>MIN($Q$19,AF174+AD175)</f>
        <v/>
      </c>
      <c r="AF175" s="155">
        <f>ROUND(AF174+AD175-AE175,2)</f>
        <v/>
      </c>
      <c r="AG175" s="155">
        <f>D175+G175+J175+M175+P175+S175+V175+Y175+AB175+AE175</f>
        <v/>
      </c>
      <c r="AH175" s="155">
        <f>C175+F175+I175+L175+O175+R175+U175+X175+AA175+AD175</f>
        <v/>
      </c>
      <c r="AI175" s="155">
        <f>E175+H175+K175+N175+Q175+T175+W175+Z175+AC175+AF175</f>
        <v/>
      </c>
    </row>
    <row r="176">
      <c r="A176" s="154" t="n">
        <v>20</v>
      </c>
      <c r="B176" s="156">
        <f>EDATE($B$5,A176-1)</f>
        <v/>
      </c>
      <c r="C176" s="155">
        <f>ROUND(E175*$P$10,2)</f>
        <v/>
      </c>
      <c r="D176" s="155">
        <f>MIN($Q$10,E175+C176)</f>
        <v/>
      </c>
      <c r="E176" s="155">
        <f>ROUND(E175+C176-D176,2)</f>
        <v/>
      </c>
      <c r="F176" s="155">
        <f>ROUND(H175*$P$11,2)</f>
        <v/>
      </c>
      <c r="G176" s="155">
        <f>MIN($Q$11,H175+F176)</f>
        <v/>
      </c>
      <c r="H176" s="155">
        <f>ROUND(H175+F176-G176,2)</f>
        <v/>
      </c>
      <c r="I176" s="155">
        <f>ROUND(K175*$P$12,2)</f>
        <v/>
      </c>
      <c r="J176" s="155">
        <f>MIN($Q$12,K175+I176)</f>
        <v/>
      </c>
      <c r="K176" s="155">
        <f>ROUND(K175+I176-J176,2)</f>
        <v/>
      </c>
      <c r="L176" s="155">
        <f>ROUND(N175*$P$13,2)</f>
        <v/>
      </c>
      <c r="M176" s="155">
        <f>MIN($Q$13,N175+L176)</f>
        <v/>
      </c>
      <c r="N176" s="155">
        <f>ROUND(N175+L176-M176,2)</f>
        <v/>
      </c>
      <c r="O176" s="155">
        <f>ROUND(Q175*$P$14,2)</f>
        <v/>
      </c>
      <c r="P176" s="155">
        <f>MIN($Q$14,Q175+O176)</f>
        <v/>
      </c>
      <c r="Q176" s="155">
        <f>ROUND(Q175+O176-P176,2)</f>
        <v/>
      </c>
      <c r="R176" s="155">
        <f>ROUND(T175*$P$15,2)</f>
        <v/>
      </c>
      <c r="S176" s="155">
        <f>MIN($Q$15,T175+R176)</f>
        <v/>
      </c>
      <c r="T176" s="155">
        <f>ROUND(T175+R176-S176,2)</f>
        <v/>
      </c>
      <c r="U176" s="155">
        <f>ROUND(W175*$P$16,2)</f>
        <v/>
      </c>
      <c r="V176" s="155">
        <f>MIN($Q$16,W175+U176)</f>
        <v/>
      </c>
      <c r="W176" s="155">
        <f>ROUND(W175+U176-V176,2)</f>
        <v/>
      </c>
      <c r="X176" s="155">
        <f>ROUND(Z175*$P$17,2)</f>
        <v/>
      </c>
      <c r="Y176" s="155">
        <f>MIN($Q$17,Z175+X176)</f>
        <v/>
      </c>
      <c r="Z176" s="155">
        <f>ROUND(Z175+X176-Y176,2)</f>
        <v/>
      </c>
      <c r="AA176" s="155">
        <f>ROUND(AC175*$P$18,2)</f>
        <v/>
      </c>
      <c r="AB176" s="155">
        <f>MIN($Q$18,AC175+AA176)</f>
        <v/>
      </c>
      <c r="AC176" s="155">
        <f>ROUND(AC175+AA176-AB176,2)</f>
        <v/>
      </c>
      <c r="AD176" s="155">
        <f>ROUND(AF175*$P$19,2)</f>
        <v/>
      </c>
      <c r="AE176" s="155">
        <f>MIN($Q$19,AF175+AD176)</f>
        <v/>
      </c>
      <c r="AF176" s="155">
        <f>ROUND(AF175+AD176-AE176,2)</f>
        <v/>
      </c>
      <c r="AG176" s="155">
        <f>D176+G176+J176+M176+P176+S176+V176+Y176+AB176+AE176</f>
        <v/>
      </c>
      <c r="AH176" s="155">
        <f>C176+F176+I176+L176+O176+R176+U176+X176+AA176+AD176</f>
        <v/>
      </c>
      <c r="AI176" s="155">
        <f>E176+H176+K176+N176+Q176+T176+W176+Z176+AC176+AF176</f>
        <v/>
      </c>
    </row>
    <row r="177">
      <c r="A177" s="154" t="n">
        <v>21</v>
      </c>
      <c r="B177" s="156">
        <f>EDATE($B$5,A177-1)</f>
        <v/>
      </c>
      <c r="C177" s="155">
        <f>ROUND(E176*$P$10,2)</f>
        <v/>
      </c>
      <c r="D177" s="155">
        <f>MIN($Q$10,E176+C177)</f>
        <v/>
      </c>
      <c r="E177" s="155">
        <f>ROUND(E176+C177-D177,2)</f>
        <v/>
      </c>
      <c r="F177" s="155">
        <f>ROUND(H176*$P$11,2)</f>
        <v/>
      </c>
      <c r="G177" s="155">
        <f>MIN($Q$11,H176+F177)</f>
        <v/>
      </c>
      <c r="H177" s="155">
        <f>ROUND(H176+F177-G177,2)</f>
        <v/>
      </c>
      <c r="I177" s="155">
        <f>ROUND(K176*$P$12,2)</f>
        <v/>
      </c>
      <c r="J177" s="155">
        <f>MIN($Q$12,K176+I177)</f>
        <v/>
      </c>
      <c r="K177" s="155">
        <f>ROUND(K176+I177-J177,2)</f>
        <v/>
      </c>
      <c r="L177" s="155">
        <f>ROUND(N176*$P$13,2)</f>
        <v/>
      </c>
      <c r="M177" s="155">
        <f>MIN($Q$13,N176+L177)</f>
        <v/>
      </c>
      <c r="N177" s="155">
        <f>ROUND(N176+L177-M177,2)</f>
        <v/>
      </c>
      <c r="O177" s="155">
        <f>ROUND(Q176*$P$14,2)</f>
        <v/>
      </c>
      <c r="P177" s="155">
        <f>MIN($Q$14,Q176+O177)</f>
        <v/>
      </c>
      <c r="Q177" s="155">
        <f>ROUND(Q176+O177-P177,2)</f>
        <v/>
      </c>
      <c r="R177" s="155">
        <f>ROUND(T176*$P$15,2)</f>
        <v/>
      </c>
      <c r="S177" s="155">
        <f>MIN($Q$15,T176+R177)</f>
        <v/>
      </c>
      <c r="T177" s="155">
        <f>ROUND(T176+R177-S177,2)</f>
        <v/>
      </c>
      <c r="U177" s="155">
        <f>ROUND(W176*$P$16,2)</f>
        <v/>
      </c>
      <c r="V177" s="155">
        <f>MIN($Q$16,W176+U177)</f>
        <v/>
      </c>
      <c r="W177" s="155">
        <f>ROUND(W176+U177-V177,2)</f>
        <v/>
      </c>
      <c r="X177" s="155">
        <f>ROUND(Z176*$P$17,2)</f>
        <v/>
      </c>
      <c r="Y177" s="155">
        <f>MIN($Q$17,Z176+X177)</f>
        <v/>
      </c>
      <c r="Z177" s="155">
        <f>ROUND(Z176+X177-Y177,2)</f>
        <v/>
      </c>
      <c r="AA177" s="155">
        <f>ROUND(AC176*$P$18,2)</f>
        <v/>
      </c>
      <c r="AB177" s="155">
        <f>MIN($Q$18,AC176+AA177)</f>
        <v/>
      </c>
      <c r="AC177" s="155">
        <f>ROUND(AC176+AA177-AB177,2)</f>
        <v/>
      </c>
      <c r="AD177" s="155">
        <f>ROUND(AF176*$P$19,2)</f>
        <v/>
      </c>
      <c r="AE177" s="155">
        <f>MIN($Q$19,AF176+AD177)</f>
        <v/>
      </c>
      <c r="AF177" s="155">
        <f>ROUND(AF176+AD177-AE177,2)</f>
        <v/>
      </c>
      <c r="AG177" s="155">
        <f>D177+G177+J177+M177+P177+S177+V177+Y177+AB177+AE177</f>
        <v/>
      </c>
      <c r="AH177" s="155">
        <f>C177+F177+I177+L177+O177+R177+U177+X177+AA177+AD177</f>
        <v/>
      </c>
      <c r="AI177" s="155">
        <f>E177+H177+K177+N177+Q177+T177+W177+Z177+AC177+AF177</f>
        <v/>
      </c>
    </row>
    <row r="178">
      <c r="A178" s="154" t="n">
        <v>22</v>
      </c>
      <c r="B178" s="156">
        <f>EDATE($B$5,A178-1)</f>
        <v/>
      </c>
      <c r="C178" s="155">
        <f>ROUND(E177*$P$10,2)</f>
        <v/>
      </c>
      <c r="D178" s="155">
        <f>MIN($Q$10,E177+C178)</f>
        <v/>
      </c>
      <c r="E178" s="155">
        <f>ROUND(E177+C178-D178,2)</f>
        <v/>
      </c>
      <c r="F178" s="155">
        <f>ROUND(H177*$P$11,2)</f>
        <v/>
      </c>
      <c r="G178" s="155">
        <f>MIN($Q$11,H177+F178)</f>
        <v/>
      </c>
      <c r="H178" s="155">
        <f>ROUND(H177+F178-G178,2)</f>
        <v/>
      </c>
      <c r="I178" s="155">
        <f>ROUND(K177*$P$12,2)</f>
        <v/>
      </c>
      <c r="J178" s="155">
        <f>MIN($Q$12,K177+I178)</f>
        <v/>
      </c>
      <c r="K178" s="155">
        <f>ROUND(K177+I178-J178,2)</f>
        <v/>
      </c>
      <c r="L178" s="155">
        <f>ROUND(N177*$P$13,2)</f>
        <v/>
      </c>
      <c r="M178" s="155">
        <f>MIN($Q$13,N177+L178)</f>
        <v/>
      </c>
      <c r="N178" s="155">
        <f>ROUND(N177+L178-M178,2)</f>
        <v/>
      </c>
      <c r="O178" s="155">
        <f>ROUND(Q177*$P$14,2)</f>
        <v/>
      </c>
      <c r="P178" s="155">
        <f>MIN($Q$14,Q177+O178)</f>
        <v/>
      </c>
      <c r="Q178" s="155">
        <f>ROUND(Q177+O178-P178,2)</f>
        <v/>
      </c>
      <c r="R178" s="155">
        <f>ROUND(T177*$P$15,2)</f>
        <v/>
      </c>
      <c r="S178" s="155">
        <f>MIN($Q$15,T177+R178)</f>
        <v/>
      </c>
      <c r="T178" s="155">
        <f>ROUND(T177+R178-S178,2)</f>
        <v/>
      </c>
      <c r="U178" s="155">
        <f>ROUND(W177*$P$16,2)</f>
        <v/>
      </c>
      <c r="V178" s="155">
        <f>MIN($Q$16,W177+U178)</f>
        <v/>
      </c>
      <c r="W178" s="155">
        <f>ROUND(W177+U178-V178,2)</f>
        <v/>
      </c>
      <c r="X178" s="155">
        <f>ROUND(Z177*$P$17,2)</f>
        <v/>
      </c>
      <c r="Y178" s="155">
        <f>MIN($Q$17,Z177+X178)</f>
        <v/>
      </c>
      <c r="Z178" s="155">
        <f>ROUND(Z177+X178-Y178,2)</f>
        <v/>
      </c>
      <c r="AA178" s="155">
        <f>ROUND(AC177*$P$18,2)</f>
        <v/>
      </c>
      <c r="AB178" s="155">
        <f>MIN($Q$18,AC177+AA178)</f>
        <v/>
      </c>
      <c r="AC178" s="155">
        <f>ROUND(AC177+AA178-AB178,2)</f>
        <v/>
      </c>
      <c r="AD178" s="155">
        <f>ROUND(AF177*$P$19,2)</f>
        <v/>
      </c>
      <c r="AE178" s="155">
        <f>MIN($Q$19,AF177+AD178)</f>
        <v/>
      </c>
      <c r="AF178" s="155">
        <f>ROUND(AF177+AD178-AE178,2)</f>
        <v/>
      </c>
      <c r="AG178" s="155">
        <f>D178+G178+J178+M178+P178+S178+V178+Y178+AB178+AE178</f>
        <v/>
      </c>
      <c r="AH178" s="155">
        <f>C178+F178+I178+L178+O178+R178+U178+X178+AA178+AD178</f>
        <v/>
      </c>
      <c r="AI178" s="155">
        <f>E178+H178+K178+N178+Q178+T178+W178+Z178+AC178+AF178</f>
        <v/>
      </c>
    </row>
    <row r="179">
      <c r="A179" s="154" t="n">
        <v>23</v>
      </c>
      <c r="B179" s="156">
        <f>EDATE($B$5,A179-1)</f>
        <v/>
      </c>
      <c r="C179" s="155">
        <f>ROUND(E178*$P$10,2)</f>
        <v/>
      </c>
      <c r="D179" s="155">
        <f>MIN($Q$10,E178+C179)</f>
        <v/>
      </c>
      <c r="E179" s="155">
        <f>ROUND(E178+C179-D179,2)</f>
        <v/>
      </c>
      <c r="F179" s="155">
        <f>ROUND(H178*$P$11,2)</f>
        <v/>
      </c>
      <c r="G179" s="155">
        <f>MIN($Q$11,H178+F179)</f>
        <v/>
      </c>
      <c r="H179" s="155">
        <f>ROUND(H178+F179-G179,2)</f>
        <v/>
      </c>
      <c r="I179" s="155">
        <f>ROUND(K178*$P$12,2)</f>
        <v/>
      </c>
      <c r="J179" s="155">
        <f>MIN($Q$12,K178+I179)</f>
        <v/>
      </c>
      <c r="K179" s="155">
        <f>ROUND(K178+I179-J179,2)</f>
        <v/>
      </c>
      <c r="L179" s="155">
        <f>ROUND(N178*$P$13,2)</f>
        <v/>
      </c>
      <c r="M179" s="155">
        <f>MIN($Q$13,N178+L179)</f>
        <v/>
      </c>
      <c r="N179" s="155">
        <f>ROUND(N178+L179-M179,2)</f>
        <v/>
      </c>
      <c r="O179" s="155">
        <f>ROUND(Q178*$P$14,2)</f>
        <v/>
      </c>
      <c r="P179" s="155">
        <f>MIN($Q$14,Q178+O179)</f>
        <v/>
      </c>
      <c r="Q179" s="155">
        <f>ROUND(Q178+O179-P179,2)</f>
        <v/>
      </c>
      <c r="R179" s="155">
        <f>ROUND(T178*$P$15,2)</f>
        <v/>
      </c>
      <c r="S179" s="155">
        <f>MIN($Q$15,T178+R179)</f>
        <v/>
      </c>
      <c r="T179" s="155">
        <f>ROUND(T178+R179-S179,2)</f>
        <v/>
      </c>
      <c r="U179" s="155">
        <f>ROUND(W178*$P$16,2)</f>
        <v/>
      </c>
      <c r="V179" s="155">
        <f>MIN($Q$16,W178+U179)</f>
        <v/>
      </c>
      <c r="W179" s="155">
        <f>ROUND(W178+U179-V179,2)</f>
        <v/>
      </c>
      <c r="X179" s="155">
        <f>ROUND(Z178*$P$17,2)</f>
        <v/>
      </c>
      <c r="Y179" s="155">
        <f>MIN($Q$17,Z178+X179)</f>
        <v/>
      </c>
      <c r="Z179" s="155">
        <f>ROUND(Z178+X179-Y179,2)</f>
        <v/>
      </c>
      <c r="AA179" s="155">
        <f>ROUND(AC178*$P$18,2)</f>
        <v/>
      </c>
      <c r="AB179" s="155">
        <f>MIN($Q$18,AC178+AA179)</f>
        <v/>
      </c>
      <c r="AC179" s="155">
        <f>ROUND(AC178+AA179-AB179,2)</f>
        <v/>
      </c>
      <c r="AD179" s="155">
        <f>ROUND(AF178*$P$19,2)</f>
        <v/>
      </c>
      <c r="AE179" s="155">
        <f>MIN($Q$19,AF178+AD179)</f>
        <v/>
      </c>
      <c r="AF179" s="155">
        <f>ROUND(AF178+AD179-AE179,2)</f>
        <v/>
      </c>
      <c r="AG179" s="155">
        <f>D179+G179+J179+M179+P179+S179+V179+Y179+AB179+AE179</f>
        <v/>
      </c>
      <c r="AH179" s="155">
        <f>C179+F179+I179+L179+O179+R179+U179+X179+AA179+AD179</f>
        <v/>
      </c>
      <c r="AI179" s="155">
        <f>E179+H179+K179+N179+Q179+T179+W179+Z179+AC179+AF179</f>
        <v/>
      </c>
    </row>
    <row r="180">
      <c r="A180" s="154" t="n">
        <v>24</v>
      </c>
      <c r="B180" s="156">
        <f>EDATE($B$5,A180-1)</f>
        <v/>
      </c>
      <c r="C180" s="155">
        <f>ROUND(E179*$P$10,2)</f>
        <v/>
      </c>
      <c r="D180" s="155">
        <f>MIN($Q$10,E179+C180)</f>
        <v/>
      </c>
      <c r="E180" s="155">
        <f>ROUND(E179+C180-D180,2)</f>
        <v/>
      </c>
      <c r="F180" s="155">
        <f>ROUND(H179*$P$11,2)</f>
        <v/>
      </c>
      <c r="G180" s="155">
        <f>MIN($Q$11,H179+F180)</f>
        <v/>
      </c>
      <c r="H180" s="155">
        <f>ROUND(H179+F180-G180,2)</f>
        <v/>
      </c>
      <c r="I180" s="155">
        <f>ROUND(K179*$P$12,2)</f>
        <v/>
      </c>
      <c r="J180" s="155">
        <f>MIN($Q$12,K179+I180)</f>
        <v/>
      </c>
      <c r="K180" s="155">
        <f>ROUND(K179+I180-J180,2)</f>
        <v/>
      </c>
      <c r="L180" s="155">
        <f>ROUND(N179*$P$13,2)</f>
        <v/>
      </c>
      <c r="M180" s="155">
        <f>MIN($Q$13,N179+L180)</f>
        <v/>
      </c>
      <c r="N180" s="155">
        <f>ROUND(N179+L180-M180,2)</f>
        <v/>
      </c>
      <c r="O180" s="155">
        <f>ROUND(Q179*$P$14,2)</f>
        <v/>
      </c>
      <c r="P180" s="155">
        <f>MIN($Q$14,Q179+O180)</f>
        <v/>
      </c>
      <c r="Q180" s="155">
        <f>ROUND(Q179+O180-P180,2)</f>
        <v/>
      </c>
      <c r="R180" s="155">
        <f>ROUND(T179*$P$15,2)</f>
        <v/>
      </c>
      <c r="S180" s="155">
        <f>MIN($Q$15,T179+R180)</f>
        <v/>
      </c>
      <c r="T180" s="155">
        <f>ROUND(T179+R180-S180,2)</f>
        <v/>
      </c>
      <c r="U180" s="155">
        <f>ROUND(W179*$P$16,2)</f>
        <v/>
      </c>
      <c r="V180" s="155">
        <f>MIN($Q$16,W179+U180)</f>
        <v/>
      </c>
      <c r="W180" s="155">
        <f>ROUND(W179+U180-V180,2)</f>
        <v/>
      </c>
      <c r="X180" s="155">
        <f>ROUND(Z179*$P$17,2)</f>
        <v/>
      </c>
      <c r="Y180" s="155">
        <f>MIN($Q$17,Z179+X180)</f>
        <v/>
      </c>
      <c r="Z180" s="155">
        <f>ROUND(Z179+X180-Y180,2)</f>
        <v/>
      </c>
      <c r="AA180" s="155">
        <f>ROUND(AC179*$P$18,2)</f>
        <v/>
      </c>
      <c r="AB180" s="155">
        <f>MIN($Q$18,AC179+AA180)</f>
        <v/>
      </c>
      <c r="AC180" s="155">
        <f>ROUND(AC179+AA180-AB180,2)</f>
        <v/>
      </c>
      <c r="AD180" s="155">
        <f>ROUND(AF179*$P$19,2)</f>
        <v/>
      </c>
      <c r="AE180" s="155">
        <f>MIN($Q$19,AF179+AD180)</f>
        <v/>
      </c>
      <c r="AF180" s="155">
        <f>ROUND(AF179+AD180-AE180,2)</f>
        <v/>
      </c>
      <c r="AG180" s="155">
        <f>D180+G180+J180+M180+P180+S180+V180+Y180+AB180+AE180</f>
        <v/>
      </c>
      <c r="AH180" s="155">
        <f>C180+F180+I180+L180+O180+R180+U180+X180+AA180+AD180</f>
        <v/>
      </c>
      <c r="AI180" s="155">
        <f>E180+H180+K180+N180+Q180+T180+W180+Z180+AC180+AF180</f>
        <v/>
      </c>
    </row>
    <row r="181">
      <c r="A181" s="154" t="n">
        <v>25</v>
      </c>
      <c r="B181" s="156">
        <f>EDATE($B$5,A181-1)</f>
        <v/>
      </c>
      <c r="C181" s="155">
        <f>ROUND(E180*$P$10,2)</f>
        <v/>
      </c>
      <c r="D181" s="155">
        <f>MIN($Q$10,E180+C181)</f>
        <v/>
      </c>
      <c r="E181" s="155">
        <f>ROUND(E180+C181-D181,2)</f>
        <v/>
      </c>
      <c r="F181" s="155">
        <f>ROUND(H180*$P$11,2)</f>
        <v/>
      </c>
      <c r="G181" s="155">
        <f>MIN($Q$11,H180+F181)</f>
        <v/>
      </c>
      <c r="H181" s="155">
        <f>ROUND(H180+F181-G181,2)</f>
        <v/>
      </c>
      <c r="I181" s="155">
        <f>ROUND(K180*$P$12,2)</f>
        <v/>
      </c>
      <c r="J181" s="155">
        <f>MIN($Q$12,K180+I181)</f>
        <v/>
      </c>
      <c r="K181" s="155">
        <f>ROUND(K180+I181-J181,2)</f>
        <v/>
      </c>
      <c r="L181" s="155">
        <f>ROUND(N180*$P$13,2)</f>
        <v/>
      </c>
      <c r="M181" s="155">
        <f>MIN($Q$13,N180+L181)</f>
        <v/>
      </c>
      <c r="N181" s="155">
        <f>ROUND(N180+L181-M181,2)</f>
        <v/>
      </c>
      <c r="O181" s="155">
        <f>ROUND(Q180*$P$14,2)</f>
        <v/>
      </c>
      <c r="P181" s="155">
        <f>MIN($Q$14,Q180+O181)</f>
        <v/>
      </c>
      <c r="Q181" s="155">
        <f>ROUND(Q180+O181-P181,2)</f>
        <v/>
      </c>
      <c r="R181" s="155">
        <f>ROUND(T180*$P$15,2)</f>
        <v/>
      </c>
      <c r="S181" s="155">
        <f>MIN($Q$15,T180+R181)</f>
        <v/>
      </c>
      <c r="T181" s="155">
        <f>ROUND(T180+R181-S181,2)</f>
        <v/>
      </c>
      <c r="U181" s="155">
        <f>ROUND(W180*$P$16,2)</f>
        <v/>
      </c>
      <c r="V181" s="155">
        <f>MIN($Q$16,W180+U181)</f>
        <v/>
      </c>
      <c r="W181" s="155">
        <f>ROUND(W180+U181-V181,2)</f>
        <v/>
      </c>
      <c r="X181" s="155">
        <f>ROUND(Z180*$P$17,2)</f>
        <v/>
      </c>
      <c r="Y181" s="155">
        <f>MIN($Q$17,Z180+X181)</f>
        <v/>
      </c>
      <c r="Z181" s="155">
        <f>ROUND(Z180+X181-Y181,2)</f>
        <v/>
      </c>
      <c r="AA181" s="155">
        <f>ROUND(AC180*$P$18,2)</f>
        <v/>
      </c>
      <c r="AB181" s="155">
        <f>MIN($Q$18,AC180+AA181)</f>
        <v/>
      </c>
      <c r="AC181" s="155">
        <f>ROUND(AC180+AA181-AB181,2)</f>
        <v/>
      </c>
      <c r="AD181" s="155">
        <f>ROUND(AF180*$P$19,2)</f>
        <v/>
      </c>
      <c r="AE181" s="155">
        <f>MIN($Q$19,AF180+AD181)</f>
        <v/>
      </c>
      <c r="AF181" s="155">
        <f>ROUND(AF180+AD181-AE181,2)</f>
        <v/>
      </c>
      <c r="AG181" s="155">
        <f>D181+G181+J181+M181+P181+S181+V181+Y181+AB181+AE181</f>
        <v/>
      </c>
      <c r="AH181" s="155">
        <f>C181+F181+I181+L181+O181+R181+U181+X181+AA181+AD181</f>
        <v/>
      </c>
      <c r="AI181" s="155">
        <f>E181+H181+K181+N181+Q181+T181+W181+Z181+AC181+AF181</f>
        <v/>
      </c>
    </row>
    <row r="182">
      <c r="A182" s="154" t="n">
        <v>26</v>
      </c>
      <c r="B182" s="156">
        <f>EDATE($B$5,A182-1)</f>
        <v/>
      </c>
      <c r="C182" s="155">
        <f>ROUND(E181*$P$10,2)</f>
        <v/>
      </c>
      <c r="D182" s="155">
        <f>MIN($Q$10,E181+C182)</f>
        <v/>
      </c>
      <c r="E182" s="155">
        <f>ROUND(E181+C182-D182,2)</f>
        <v/>
      </c>
      <c r="F182" s="155">
        <f>ROUND(H181*$P$11,2)</f>
        <v/>
      </c>
      <c r="G182" s="155">
        <f>MIN($Q$11,H181+F182)</f>
        <v/>
      </c>
      <c r="H182" s="155">
        <f>ROUND(H181+F182-G182,2)</f>
        <v/>
      </c>
      <c r="I182" s="155">
        <f>ROUND(K181*$P$12,2)</f>
        <v/>
      </c>
      <c r="J182" s="155">
        <f>MIN($Q$12,K181+I182)</f>
        <v/>
      </c>
      <c r="K182" s="155">
        <f>ROUND(K181+I182-J182,2)</f>
        <v/>
      </c>
      <c r="L182" s="155">
        <f>ROUND(N181*$P$13,2)</f>
        <v/>
      </c>
      <c r="M182" s="155">
        <f>MIN($Q$13,N181+L182)</f>
        <v/>
      </c>
      <c r="N182" s="155">
        <f>ROUND(N181+L182-M182,2)</f>
        <v/>
      </c>
      <c r="O182" s="155">
        <f>ROUND(Q181*$P$14,2)</f>
        <v/>
      </c>
      <c r="P182" s="155">
        <f>MIN($Q$14,Q181+O182)</f>
        <v/>
      </c>
      <c r="Q182" s="155">
        <f>ROUND(Q181+O182-P182,2)</f>
        <v/>
      </c>
      <c r="R182" s="155">
        <f>ROUND(T181*$P$15,2)</f>
        <v/>
      </c>
      <c r="S182" s="155">
        <f>MIN($Q$15,T181+R182)</f>
        <v/>
      </c>
      <c r="T182" s="155">
        <f>ROUND(T181+R182-S182,2)</f>
        <v/>
      </c>
      <c r="U182" s="155">
        <f>ROUND(W181*$P$16,2)</f>
        <v/>
      </c>
      <c r="V182" s="155">
        <f>MIN($Q$16,W181+U182)</f>
        <v/>
      </c>
      <c r="W182" s="155">
        <f>ROUND(W181+U182-V182,2)</f>
        <v/>
      </c>
      <c r="X182" s="155">
        <f>ROUND(Z181*$P$17,2)</f>
        <v/>
      </c>
      <c r="Y182" s="155">
        <f>MIN($Q$17,Z181+X182)</f>
        <v/>
      </c>
      <c r="Z182" s="155">
        <f>ROUND(Z181+X182-Y182,2)</f>
        <v/>
      </c>
      <c r="AA182" s="155">
        <f>ROUND(AC181*$P$18,2)</f>
        <v/>
      </c>
      <c r="AB182" s="155">
        <f>MIN($Q$18,AC181+AA182)</f>
        <v/>
      </c>
      <c r="AC182" s="155">
        <f>ROUND(AC181+AA182-AB182,2)</f>
        <v/>
      </c>
      <c r="AD182" s="155">
        <f>ROUND(AF181*$P$19,2)</f>
        <v/>
      </c>
      <c r="AE182" s="155">
        <f>MIN($Q$19,AF181+AD182)</f>
        <v/>
      </c>
      <c r="AF182" s="155">
        <f>ROUND(AF181+AD182-AE182,2)</f>
        <v/>
      </c>
      <c r="AG182" s="155">
        <f>D182+G182+J182+M182+P182+S182+V182+Y182+AB182+AE182</f>
        <v/>
      </c>
      <c r="AH182" s="155">
        <f>C182+F182+I182+L182+O182+R182+U182+X182+AA182+AD182</f>
        <v/>
      </c>
      <c r="AI182" s="155">
        <f>E182+H182+K182+N182+Q182+T182+W182+Z182+AC182+AF182</f>
        <v/>
      </c>
    </row>
    <row r="183">
      <c r="A183" s="154" t="n">
        <v>27</v>
      </c>
      <c r="B183" s="156">
        <f>EDATE($B$5,A183-1)</f>
        <v/>
      </c>
      <c r="C183" s="155">
        <f>ROUND(E182*$P$10,2)</f>
        <v/>
      </c>
      <c r="D183" s="155">
        <f>MIN($Q$10,E182+C183)</f>
        <v/>
      </c>
      <c r="E183" s="155">
        <f>ROUND(E182+C183-D183,2)</f>
        <v/>
      </c>
      <c r="F183" s="155">
        <f>ROUND(H182*$P$11,2)</f>
        <v/>
      </c>
      <c r="G183" s="155">
        <f>MIN($Q$11,H182+F183)</f>
        <v/>
      </c>
      <c r="H183" s="155">
        <f>ROUND(H182+F183-G183,2)</f>
        <v/>
      </c>
      <c r="I183" s="155">
        <f>ROUND(K182*$P$12,2)</f>
        <v/>
      </c>
      <c r="J183" s="155">
        <f>MIN($Q$12,K182+I183)</f>
        <v/>
      </c>
      <c r="K183" s="155">
        <f>ROUND(K182+I183-J183,2)</f>
        <v/>
      </c>
      <c r="L183" s="155">
        <f>ROUND(N182*$P$13,2)</f>
        <v/>
      </c>
      <c r="M183" s="155">
        <f>MIN($Q$13,N182+L183)</f>
        <v/>
      </c>
      <c r="N183" s="155">
        <f>ROUND(N182+L183-M183,2)</f>
        <v/>
      </c>
      <c r="O183" s="155">
        <f>ROUND(Q182*$P$14,2)</f>
        <v/>
      </c>
      <c r="P183" s="155">
        <f>MIN($Q$14,Q182+O183)</f>
        <v/>
      </c>
      <c r="Q183" s="155">
        <f>ROUND(Q182+O183-P183,2)</f>
        <v/>
      </c>
      <c r="R183" s="155">
        <f>ROUND(T182*$P$15,2)</f>
        <v/>
      </c>
      <c r="S183" s="155">
        <f>MIN($Q$15,T182+R183)</f>
        <v/>
      </c>
      <c r="T183" s="155">
        <f>ROUND(T182+R183-S183,2)</f>
        <v/>
      </c>
      <c r="U183" s="155">
        <f>ROUND(W182*$P$16,2)</f>
        <v/>
      </c>
      <c r="V183" s="155">
        <f>MIN($Q$16,W182+U183)</f>
        <v/>
      </c>
      <c r="W183" s="155">
        <f>ROUND(W182+U183-V183,2)</f>
        <v/>
      </c>
      <c r="X183" s="155">
        <f>ROUND(Z182*$P$17,2)</f>
        <v/>
      </c>
      <c r="Y183" s="155">
        <f>MIN($Q$17,Z182+X183)</f>
        <v/>
      </c>
      <c r="Z183" s="155">
        <f>ROUND(Z182+X183-Y183,2)</f>
        <v/>
      </c>
      <c r="AA183" s="155">
        <f>ROUND(AC182*$P$18,2)</f>
        <v/>
      </c>
      <c r="AB183" s="155">
        <f>MIN($Q$18,AC182+AA183)</f>
        <v/>
      </c>
      <c r="AC183" s="155">
        <f>ROUND(AC182+AA183-AB183,2)</f>
        <v/>
      </c>
      <c r="AD183" s="155">
        <f>ROUND(AF182*$P$19,2)</f>
        <v/>
      </c>
      <c r="AE183" s="155">
        <f>MIN($Q$19,AF182+AD183)</f>
        <v/>
      </c>
      <c r="AF183" s="155">
        <f>ROUND(AF182+AD183-AE183,2)</f>
        <v/>
      </c>
      <c r="AG183" s="155">
        <f>D183+G183+J183+M183+P183+S183+V183+Y183+AB183+AE183</f>
        <v/>
      </c>
      <c r="AH183" s="155">
        <f>C183+F183+I183+L183+O183+R183+U183+X183+AA183+AD183</f>
        <v/>
      </c>
      <c r="AI183" s="155">
        <f>E183+H183+K183+N183+Q183+T183+W183+Z183+AC183+AF183</f>
        <v/>
      </c>
    </row>
    <row r="184">
      <c r="A184" s="154" t="n">
        <v>28</v>
      </c>
      <c r="B184" s="156">
        <f>EDATE($B$5,A184-1)</f>
        <v/>
      </c>
      <c r="C184" s="155">
        <f>ROUND(E183*$P$10,2)</f>
        <v/>
      </c>
      <c r="D184" s="155">
        <f>MIN($Q$10,E183+C184)</f>
        <v/>
      </c>
      <c r="E184" s="155">
        <f>ROUND(E183+C184-D184,2)</f>
        <v/>
      </c>
      <c r="F184" s="155">
        <f>ROUND(H183*$P$11,2)</f>
        <v/>
      </c>
      <c r="G184" s="155">
        <f>MIN($Q$11,H183+F184)</f>
        <v/>
      </c>
      <c r="H184" s="155">
        <f>ROUND(H183+F184-G184,2)</f>
        <v/>
      </c>
      <c r="I184" s="155">
        <f>ROUND(K183*$P$12,2)</f>
        <v/>
      </c>
      <c r="J184" s="155">
        <f>MIN($Q$12,K183+I184)</f>
        <v/>
      </c>
      <c r="K184" s="155">
        <f>ROUND(K183+I184-J184,2)</f>
        <v/>
      </c>
      <c r="L184" s="155">
        <f>ROUND(N183*$P$13,2)</f>
        <v/>
      </c>
      <c r="M184" s="155">
        <f>MIN($Q$13,N183+L184)</f>
        <v/>
      </c>
      <c r="N184" s="155">
        <f>ROUND(N183+L184-M184,2)</f>
        <v/>
      </c>
      <c r="O184" s="155">
        <f>ROUND(Q183*$P$14,2)</f>
        <v/>
      </c>
      <c r="P184" s="155">
        <f>MIN($Q$14,Q183+O184)</f>
        <v/>
      </c>
      <c r="Q184" s="155">
        <f>ROUND(Q183+O184-P184,2)</f>
        <v/>
      </c>
      <c r="R184" s="155">
        <f>ROUND(T183*$P$15,2)</f>
        <v/>
      </c>
      <c r="S184" s="155">
        <f>MIN($Q$15,T183+R184)</f>
        <v/>
      </c>
      <c r="T184" s="155">
        <f>ROUND(T183+R184-S184,2)</f>
        <v/>
      </c>
      <c r="U184" s="155">
        <f>ROUND(W183*$P$16,2)</f>
        <v/>
      </c>
      <c r="V184" s="155">
        <f>MIN($Q$16,W183+U184)</f>
        <v/>
      </c>
      <c r="W184" s="155">
        <f>ROUND(W183+U184-V184,2)</f>
        <v/>
      </c>
      <c r="X184" s="155">
        <f>ROUND(Z183*$P$17,2)</f>
        <v/>
      </c>
      <c r="Y184" s="155">
        <f>MIN($Q$17,Z183+X184)</f>
        <v/>
      </c>
      <c r="Z184" s="155">
        <f>ROUND(Z183+X184-Y184,2)</f>
        <v/>
      </c>
      <c r="AA184" s="155">
        <f>ROUND(AC183*$P$18,2)</f>
        <v/>
      </c>
      <c r="AB184" s="155">
        <f>MIN($Q$18,AC183+AA184)</f>
        <v/>
      </c>
      <c r="AC184" s="155">
        <f>ROUND(AC183+AA184-AB184,2)</f>
        <v/>
      </c>
      <c r="AD184" s="155">
        <f>ROUND(AF183*$P$19,2)</f>
        <v/>
      </c>
      <c r="AE184" s="155">
        <f>MIN($Q$19,AF183+AD184)</f>
        <v/>
      </c>
      <c r="AF184" s="155">
        <f>ROUND(AF183+AD184-AE184,2)</f>
        <v/>
      </c>
      <c r="AG184" s="155">
        <f>D184+G184+J184+M184+P184+S184+V184+Y184+AB184+AE184</f>
        <v/>
      </c>
      <c r="AH184" s="155">
        <f>C184+F184+I184+L184+O184+R184+U184+X184+AA184+AD184</f>
        <v/>
      </c>
      <c r="AI184" s="155">
        <f>E184+H184+K184+N184+Q184+T184+W184+Z184+AC184+AF184</f>
        <v/>
      </c>
    </row>
    <row r="185">
      <c r="A185" s="154" t="n">
        <v>29</v>
      </c>
      <c r="B185" s="156">
        <f>EDATE($B$5,A185-1)</f>
        <v/>
      </c>
      <c r="C185" s="155">
        <f>ROUND(E184*$P$10,2)</f>
        <v/>
      </c>
      <c r="D185" s="155">
        <f>MIN($Q$10,E184+C185)</f>
        <v/>
      </c>
      <c r="E185" s="155">
        <f>ROUND(E184+C185-D185,2)</f>
        <v/>
      </c>
      <c r="F185" s="155">
        <f>ROUND(H184*$P$11,2)</f>
        <v/>
      </c>
      <c r="G185" s="155">
        <f>MIN($Q$11,H184+F185)</f>
        <v/>
      </c>
      <c r="H185" s="155">
        <f>ROUND(H184+F185-G185,2)</f>
        <v/>
      </c>
      <c r="I185" s="155">
        <f>ROUND(K184*$P$12,2)</f>
        <v/>
      </c>
      <c r="J185" s="155">
        <f>MIN($Q$12,K184+I185)</f>
        <v/>
      </c>
      <c r="K185" s="155">
        <f>ROUND(K184+I185-J185,2)</f>
        <v/>
      </c>
      <c r="L185" s="155">
        <f>ROUND(N184*$P$13,2)</f>
        <v/>
      </c>
      <c r="M185" s="155">
        <f>MIN($Q$13,N184+L185)</f>
        <v/>
      </c>
      <c r="N185" s="155">
        <f>ROUND(N184+L185-M185,2)</f>
        <v/>
      </c>
      <c r="O185" s="155">
        <f>ROUND(Q184*$P$14,2)</f>
        <v/>
      </c>
      <c r="P185" s="155">
        <f>MIN($Q$14,Q184+O185)</f>
        <v/>
      </c>
      <c r="Q185" s="155">
        <f>ROUND(Q184+O185-P185,2)</f>
        <v/>
      </c>
      <c r="R185" s="155">
        <f>ROUND(T184*$P$15,2)</f>
        <v/>
      </c>
      <c r="S185" s="155">
        <f>MIN($Q$15,T184+R185)</f>
        <v/>
      </c>
      <c r="T185" s="155">
        <f>ROUND(T184+R185-S185,2)</f>
        <v/>
      </c>
      <c r="U185" s="155">
        <f>ROUND(W184*$P$16,2)</f>
        <v/>
      </c>
      <c r="V185" s="155">
        <f>MIN($Q$16,W184+U185)</f>
        <v/>
      </c>
      <c r="W185" s="155">
        <f>ROUND(W184+U185-V185,2)</f>
        <v/>
      </c>
      <c r="X185" s="155">
        <f>ROUND(Z184*$P$17,2)</f>
        <v/>
      </c>
      <c r="Y185" s="155">
        <f>MIN($Q$17,Z184+X185)</f>
        <v/>
      </c>
      <c r="Z185" s="155">
        <f>ROUND(Z184+X185-Y185,2)</f>
        <v/>
      </c>
      <c r="AA185" s="155">
        <f>ROUND(AC184*$P$18,2)</f>
        <v/>
      </c>
      <c r="AB185" s="155">
        <f>MIN($Q$18,AC184+AA185)</f>
        <v/>
      </c>
      <c r="AC185" s="155">
        <f>ROUND(AC184+AA185-AB185,2)</f>
        <v/>
      </c>
      <c r="AD185" s="155">
        <f>ROUND(AF184*$P$19,2)</f>
        <v/>
      </c>
      <c r="AE185" s="155">
        <f>MIN($Q$19,AF184+AD185)</f>
        <v/>
      </c>
      <c r="AF185" s="155">
        <f>ROUND(AF184+AD185-AE185,2)</f>
        <v/>
      </c>
      <c r="AG185" s="155">
        <f>D185+G185+J185+M185+P185+S185+V185+Y185+AB185+AE185</f>
        <v/>
      </c>
      <c r="AH185" s="155">
        <f>C185+F185+I185+L185+O185+R185+U185+X185+AA185+AD185</f>
        <v/>
      </c>
      <c r="AI185" s="155">
        <f>E185+H185+K185+N185+Q185+T185+W185+Z185+AC185+AF185</f>
        <v/>
      </c>
    </row>
    <row r="186">
      <c r="A186" s="154" t="n">
        <v>30</v>
      </c>
      <c r="B186" s="156">
        <f>EDATE($B$5,A186-1)</f>
        <v/>
      </c>
      <c r="C186" s="155">
        <f>ROUND(E185*$P$10,2)</f>
        <v/>
      </c>
      <c r="D186" s="155">
        <f>MIN($Q$10,E185+C186)</f>
        <v/>
      </c>
      <c r="E186" s="155">
        <f>ROUND(E185+C186-D186,2)</f>
        <v/>
      </c>
      <c r="F186" s="155">
        <f>ROUND(H185*$P$11,2)</f>
        <v/>
      </c>
      <c r="G186" s="155">
        <f>MIN($Q$11,H185+F186)</f>
        <v/>
      </c>
      <c r="H186" s="155">
        <f>ROUND(H185+F186-G186,2)</f>
        <v/>
      </c>
      <c r="I186" s="155">
        <f>ROUND(K185*$P$12,2)</f>
        <v/>
      </c>
      <c r="J186" s="155">
        <f>MIN($Q$12,K185+I186)</f>
        <v/>
      </c>
      <c r="K186" s="155">
        <f>ROUND(K185+I186-J186,2)</f>
        <v/>
      </c>
      <c r="L186" s="155">
        <f>ROUND(N185*$P$13,2)</f>
        <v/>
      </c>
      <c r="M186" s="155">
        <f>MIN($Q$13,N185+L186)</f>
        <v/>
      </c>
      <c r="N186" s="155">
        <f>ROUND(N185+L186-M186,2)</f>
        <v/>
      </c>
      <c r="O186" s="155">
        <f>ROUND(Q185*$P$14,2)</f>
        <v/>
      </c>
      <c r="P186" s="155">
        <f>MIN($Q$14,Q185+O186)</f>
        <v/>
      </c>
      <c r="Q186" s="155">
        <f>ROUND(Q185+O186-P186,2)</f>
        <v/>
      </c>
      <c r="R186" s="155">
        <f>ROUND(T185*$P$15,2)</f>
        <v/>
      </c>
      <c r="S186" s="155">
        <f>MIN($Q$15,T185+R186)</f>
        <v/>
      </c>
      <c r="T186" s="155">
        <f>ROUND(T185+R186-S186,2)</f>
        <v/>
      </c>
      <c r="U186" s="155">
        <f>ROUND(W185*$P$16,2)</f>
        <v/>
      </c>
      <c r="V186" s="155">
        <f>MIN($Q$16,W185+U186)</f>
        <v/>
      </c>
      <c r="W186" s="155">
        <f>ROUND(W185+U186-V186,2)</f>
        <v/>
      </c>
      <c r="X186" s="155">
        <f>ROUND(Z185*$P$17,2)</f>
        <v/>
      </c>
      <c r="Y186" s="155">
        <f>MIN($Q$17,Z185+X186)</f>
        <v/>
      </c>
      <c r="Z186" s="155">
        <f>ROUND(Z185+X186-Y186,2)</f>
        <v/>
      </c>
      <c r="AA186" s="155">
        <f>ROUND(AC185*$P$18,2)</f>
        <v/>
      </c>
      <c r="AB186" s="155">
        <f>MIN($Q$18,AC185+AA186)</f>
        <v/>
      </c>
      <c r="AC186" s="155">
        <f>ROUND(AC185+AA186-AB186,2)</f>
        <v/>
      </c>
      <c r="AD186" s="155">
        <f>ROUND(AF185*$P$19,2)</f>
        <v/>
      </c>
      <c r="AE186" s="155">
        <f>MIN($Q$19,AF185+AD186)</f>
        <v/>
      </c>
      <c r="AF186" s="155">
        <f>ROUND(AF185+AD186-AE186,2)</f>
        <v/>
      </c>
      <c r="AG186" s="155">
        <f>D186+G186+J186+M186+P186+S186+V186+Y186+AB186+AE186</f>
        <v/>
      </c>
      <c r="AH186" s="155">
        <f>C186+F186+I186+L186+O186+R186+U186+X186+AA186+AD186</f>
        <v/>
      </c>
      <c r="AI186" s="155">
        <f>E186+H186+K186+N186+Q186+T186+W186+Z186+AC186+AF186</f>
        <v/>
      </c>
    </row>
    <row r="187">
      <c r="A187" s="154" t="n">
        <v>31</v>
      </c>
      <c r="B187" s="156">
        <f>EDATE($B$5,A187-1)</f>
        <v/>
      </c>
      <c r="C187" s="155">
        <f>ROUND(E186*$P$10,2)</f>
        <v/>
      </c>
      <c r="D187" s="155">
        <f>MIN($Q$10,E186+C187)</f>
        <v/>
      </c>
      <c r="E187" s="155">
        <f>ROUND(E186+C187-D187,2)</f>
        <v/>
      </c>
      <c r="F187" s="155">
        <f>ROUND(H186*$P$11,2)</f>
        <v/>
      </c>
      <c r="G187" s="155">
        <f>MIN($Q$11,H186+F187)</f>
        <v/>
      </c>
      <c r="H187" s="155">
        <f>ROUND(H186+F187-G187,2)</f>
        <v/>
      </c>
      <c r="I187" s="155">
        <f>ROUND(K186*$P$12,2)</f>
        <v/>
      </c>
      <c r="J187" s="155">
        <f>MIN($Q$12,K186+I187)</f>
        <v/>
      </c>
      <c r="K187" s="155">
        <f>ROUND(K186+I187-J187,2)</f>
        <v/>
      </c>
      <c r="L187" s="155">
        <f>ROUND(N186*$P$13,2)</f>
        <v/>
      </c>
      <c r="M187" s="155">
        <f>MIN($Q$13,N186+L187)</f>
        <v/>
      </c>
      <c r="N187" s="155">
        <f>ROUND(N186+L187-M187,2)</f>
        <v/>
      </c>
      <c r="O187" s="155">
        <f>ROUND(Q186*$P$14,2)</f>
        <v/>
      </c>
      <c r="P187" s="155">
        <f>MIN($Q$14,Q186+O187)</f>
        <v/>
      </c>
      <c r="Q187" s="155">
        <f>ROUND(Q186+O187-P187,2)</f>
        <v/>
      </c>
      <c r="R187" s="155">
        <f>ROUND(T186*$P$15,2)</f>
        <v/>
      </c>
      <c r="S187" s="155">
        <f>MIN($Q$15,T186+R187)</f>
        <v/>
      </c>
      <c r="T187" s="155">
        <f>ROUND(T186+R187-S187,2)</f>
        <v/>
      </c>
      <c r="U187" s="155">
        <f>ROUND(W186*$P$16,2)</f>
        <v/>
      </c>
      <c r="V187" s="155">
        <f>MIN($Q$16,W186+U187)</f>
        <v/>
      </c>
      <c r="W187" s="155">
        <f>ROUND(W186+U187-V187,2)</f>
        <v/>
      </c>
      <c r="X187" s="155">
        <f>ROUND(Z186*$P$17,2)</f>
        <v/>
      </c>
      <c r="Y187" s="155">
        <f>MIN($Q$17,Z186+X187)</f>
        <v/>
      </c>
      <c r="Z187" s="155">
        <f>ROUND(Z186+X187-Y187,2)</f>
        <v/>
      </c>
      <c r="AA187" s="155">
        <f>ROUND(AC186*$P$18,2)</f>
        <v/>
      </c>
      <c r="AB187" s="155">
        <f>MIN($Q$18,AC186+AA187)</f>
        <v/>
      </c>
      <c r="AC187" s="155">
        <f>ROUND(AC186+AA187-AB187,2)</f>
        <v/>
      </c>
      <c r="AD187" s="155">
        <f>ROUND(AF186*$P$19,2)</f>
        <v/>
      </c>
      <c r="AE187" s="155">
        <f>MIN($Q$19,AF186+AD187)</f>
        <v/>
      </c>
      <c r="AF187" s="155">
        <f>ROUND(AF186+AD187-AE187,2)</f>
        <v/>
      </c>
      <c r="AG187" s="155">
        <f>D187+G187+J187+M187+P187+S187+V187+Y187+AB187+AE187</f>
        <v/>
      </c>
      <c r="AH187" s="155">
        <f>C187+F187+I187+L187+O187+R187+U187+X187+AA187+AD187</f>
        <v/>
      </c>
      <c r="AI187" s="155">
        <f>E187+H187+K187+N187+Q187+T187+W187+Z187+AC187+AF187</f>
        <v/>
      </c>
    </row>
    <row r="188">
      <c r="A188" s="154" t="n">
        <v>32</v>
      </c>
      <c r="B188" s="156">
        <f>EDATE($B$5,A188-1)</f>
        <v/>
      </c>
      <c r="C188" s="155">
        <f>ROUND(E187*$P$10,2)</f>
        <v/>
      </c>
      <c r="D188" s="155">
        <f>MIN($Q$10,E187+C188)</f>
        <v/>
      </c>
      <c r="E188" s="155">
        <f>ROUND(E187+C188-D188,2)</f>
        <v/>
      </c>
      <c r="F188" s="155">
        <f>ROUND(H187*$P$11,2)</f>
        <v/>
      </c>
      <c r="G188" s="155">
        <f>MIN($Q$11,H187+F188)</f>
        <v/>
      </c>
      <c r="H188" s="155">
        <f>ROUND(H187+F188-G188,2)</f>
        <v/>
      </c>
      <c r="I188" s="155">
        <f>ROUND(K187*$P$12,2)</f>
        <v/>
      </c>
      <c r="J188" s="155">
        <f>MIN($Q$12,K187+I188)</f>
        <v/>
      </c>
      <c r="K188" s="155">
        <f>ROUND(K187+I188-J188,2)</f>
        <v/>
      </c>
      <c r="L188" s="155">
        <f>ROUND(N187*$P$13,2)</f>
        <v/>
      </c>
      <c r="M188" s="155">
        <f>MIN($Q$13,N187+L188)</f>
        <v/>
      </c>
      <c r="N188" s="155">
        <f>ROUND(N187+L188-M188,2)</f>
        <v/>
      </c>
      <c r="O188" s="155">
        <f>ROUND(Q187*$P$14,2)</f>
        <v/>
      </c>
      <c r="P188" s="155">
        <f>MIN($Q$14,Q187+O188)</f>
        <v/>
      </c>
      <c r="Q188" s="155">
        <f>ROUND(Q187+O188-P188,2)</f>
        <v/>
      </c>
      <c r="R188" s="155">
        <f>ROUND(T187*$P$15,2)</f>
        <v/>
      </c>
      <c r="S188" s="155">
        <f>MIN($Q$15,T187+R188)</f>
        <v/>
      </c>
      <c r="T188" s="155">
        <f>ROUND(T187+R188-S188,2)</f>
        <v/>
      </c>
      <c r="U188" s="155">
        <f>ROUND(W187*$P$16,2)</f>
        <v/>
      </c>
      <c r="V188" s="155">
        <f>MIN($Q$16,W187+U188)</f>
        <v/>
      </c>
      <c r="W188" s="155">
        <f>ROUND(W187+U188-V188,2)</f>
        <v/>
      </c>
      <c r="X188" s="155">
        <f>ROUND(Z187*$P$17,2)</f>
        <v/>
      </c>
      <c r="Y188" s="155">
        <f>MIN($Q$17,Z187+X188)</f>
        <v/>
      </c>
      <c r="Z188" s="155">
        <f>ROUND(Z187+X188-Y188,2)</f>
        <v/>
      </c>
      <c r="AA188" s="155">
        <f>ROUND(AC187*$P$18,2)</f>
        <v/>
      </c>
      <c r="AB188" s="155">
        <f>MIN($Q$18,AC187+AA188)</f>
        <v/>
      </c>
      <c r="AC188" s="155">
        <f>ROUND(AC187+AA188-AB188,2)</f>
        <v/>
      </c>
      <c r="AD188" s="155">
        <f>ROUND(AF187*$P$19,2)</f>
        <v/>
      </c>
      <c r="AE188" s="155">
        <f>MIN($Q$19,AF187+AD188)</f>
        <v/>
      </c>
      <c r="AF188" s="155">
        <f>ROUND(AF187+AD188-AE188,2)</f>
        <v/>
      </c>
      <c r="AG188" s="155">
        <f>D188+G188+J188+M188+P188+S188+V188+Y188+AB188+AE188</f>
        <v/>
      </c>
      <c r="AH188" s="155">
        <f>C188+F188+I188+L188+O188+R188+U188+X188+AA188+AD188</f>
        <v/>
      </c>
      <c r="AI188" s="155">
        <f>E188+H188+K188+N188+Q188+T188+W188+Z188+AC188+AF188</f>
        <v/>
      </c>
    </row>
    <row r="189">
      <c r="A189" s="154" t="n">
        <v>33</v>
      </c>
      <c r="B189" s="156">
        <f>EDATE($B$5,A189-1)</f>
        <v/>
      </c>
      <c r="C189" s="155">
        <f>ROUND(E188*$P$10,2)</f>
        <v/>
      </c>
      <c r="D189" s="155">
        <f>MIN($Q$10,E188+C189)</f>
        <v/>
      </c>
      <c r="E189" s="155">
        <f>ROUND(E188+C189-D189,2)</f>
        <v/>
      </c>
      <c r="F189" s="155">
        <f>ROUND(H188*$P$11,2)</f>
        <v/>
      </c>
      <c r="G189" s="155">
        <f>MIN($Q$11,H188+F189)</f>
        <v/>
      </c>
      <c r="H189" s="155">
        <f>ROUND(H188+F189-G189,2)</f>
        <v/>
      </c>
      <c r="I189" s="155">
        <f>ROUND(K188*$P$12,2)</f>
        <v/>
      </c>
      <c r="J189" s="155">
        <f>MIN($Q$12,K188+I189)</f>
        <v/>
      </c>
      <c r="K189" s="155">
        <f>ROUND(K188+I189-J189,2)</f>
        <v/>
      </c>
      <c r="L189" s="155">
        <f>ROUND(N188*$P$13,2)</f>
        <v/>
      </c>
      <c r="M189" s="155">
        <f>MIN($Q$13,N188+L189)</f>
        <v/>
      </c>
      <c r="N189" s="155">
        <f>ROUND(N188+L189-M189,2)</f>
        <v/>
      </c>
      <c r="O189" s="155">
        <f>ROUND(Q188*$P$14,2)</f>
        <v/>
      </c>
      <c r="P189" s="155">
        <f>MIN($Q$14,Q188+O189)</f>
        <v/>
      </c>
      <c r="Q189" s="155">
        <f>ROUND(Q188+O189-P189,2)</f>
        <v/>
      </c>
      <c r="R189" s="155">
        <f>ROUND(T188*$P$15,2)</f>
        <v/>
      </c>
      <c r="S189" s="155">
        <f>MIN($Q$15,T188+R189)</f>
        <v/>
      </c>
      <c r="T189" s="155">
        <f>ROUND(T188+R189-S189,2)</f>
        <v/>
      </c>
      <c r="U189" s="155">
        <f>ROUND(W188*$P$16,2)</f>
        <v/>
      </c>
      <c r="V189" s="155">
        <f>MIN($Q$16,W188+U189)</f>
        <v/>
      </c>
      <c r="W189" s="155">
        <f>ROUND(W188+U189-V189,2)</f>
        <v/>
      </c>
      <c r="X189" s="155">
        <f>ROUND(Z188*$P$17,2)</f>
        <v/>
      </c>
      <c r="Y189" s="155">
        <f>MIN($Q$17,Z188+X189)</f>
        <v/>
      </c>
      <c r="Z189" s="155">
        <f>ROUND(Z188+X189-Y189,2)</f>
        <v/>
      </c>
      <c r="AA189" s="155">
        <f>ROUND(AC188*$P$18,2)</f>
        <v/>
      </c>
      <c r="AB189" s="155">
        <f>MIN($Q$18,AC188+AA189)</f>
        <v/>
      </c>
      <c r="AC189" s="155">
        <f>ROUND(AC188+AA189-AB189,2)</f>
        <v/>
      </c>
      <c r="AD189" s="155">
        <f>ROUND(AF188*$P$19,2)</f>
        <v/>
      </c>
      <c r="AE189" s="155">
        <f>MIN($Q$19,AF188+AD189)</f>
        <v/>
      </c>
      <c r="AF189" s="155">
        <f>ROUND(AF188+AD189-AE189,2)</f>
        <v/>
      </c>
      <c r="AG189" s="155">
        <f>D189+G189+J189+M189+P189+S189+V189+Y189+AB189+AE189</f>
        <v/>
      </c>
      <c r="AH189" s="155">
        <f>C189+F189+I189+L189+O189+R189+U189+X189+AA189+AD189</f>
        <v/>
      </c>
      <c r="AI189" s="155">
        <f>E189+H189+K189+N189+Q189+T189+W189+Z189+AC189+AF189</f>
        <v/>
      </c>
    </row>
    <row r="190">
      <c r="A190" s="154" t="n">
        <v>34</v>
      </c>
      <c r="B190" s="156">
        <f>EDATE($B$5,A190-1)</f>
        <v/>
      </c>
      <c r="C190" s="155">
        <f>ROUND(E189*$P$10,2)</f>
        <v/>
      </c>
      <c r="D190" s="155">
        <f>MIN($Q$10,E189+C190)</f>
        <v/>
      </c>
      <c r="E190" s="155">
        <f>ROUND(E189+C190-D190,2)</f>
        <v/>
      </c>
      <c r="F190" s="155">
        <f>ROUND(H189*$P$11,2)</f>
        <v/>
      </c>
      <c r="G190" s="155">
        <f>MIN($Q$11,H189+F190)</f>
        <v/>
      </c>
      <c r="H190" s="155">
        <f>ROUND(H189+F190-G190,2)</f>
        <v/>
      </c>
      <c r="I190" s="155">
        <f>ROUND(K189*$P$12,2)</f>
        <v/>
      </c>
      <c r="J190" s="155">
        <f>MIN($Q$12,K189+I190)</f>
        <v/>
      </c>
      <c r="K190" s="155">
        <f>ROUND(K189+I190-J190,2)</f>
        <v/>
      </c>
      <c r="L190" s="155">
        <f>ROUND(N189*$P$13,2)</f>
        <v/>
      </c>
      <c r="M190" s="155">
        <f>MIN($Q$13,N189+L190)</f>
        <v/>
      </c>
      <c r="N190" s="155">
        <f>ROUND(N189+L190-M190,2)</f>
        <v/>
      </c>
      <c r="O190" s="155">
        <f>ROUND(Q189*$P$14,2)</f>
        <v/>
      </c>
      <c r="P190" s="155">
        <f>MIN($Q$14,Q189+O190)</f>
        <v/>
      </c>
      <c r="Q190" s="155">
        <f>ROUND(Q189+O190-P190,2)</f>
        <v/>
      </c>
      <c r="R190" s="155">
        <f>ROUND(T189*$P$15,2)</f>
        <v/>
      </c>
      <c r="S190" s="155">
        <f>MIN($Q$15,T189+R190)</f>
        <v/>
      </c>
      <c r="T190" s="155">
        <f>ROUND(T189+R190-S190,2)</f>
        <v/>
      </c>
      <c r="U190" s="155">
        <f>ROUND(W189*$P$16,2)</f>
        <v/>
      </c>
      <c r="V190" s="155">
        <f>MIN($Q$16,W189+U190)</f>
        <v/>
      </c>
      <c r="W190" s="155">
        <f>ROUND(W189+U190-V190,2)</f>
        <v/>
      </c>
      <c r="X190" s="155">
        <f>ROUND(Z189*$P$17,2)</f>
        <v/>
      </c>
      <c r="Y190" s="155">
        <f>MIN($Q$17,Z189+X190)</f>
        <v/>
      </c>
      <c r="Z190" s="155">
        <f>ROUND(Z189+X190-Y190,2)</f>
        <v/>
      </c>
      <c r="AA190" s="155">
        <f>ROUND(AC189*$P$18,2)</f>
        <v/>
      </c>
      <c r="AB190" s="155">
        <f>MIN($Q$18,AC189+AA190)</f>
        <v/>
      </c>
      <c r="AC190" s="155">
        <f>ROUND(AC189+AA190-AB190,2)</f>
        <v/>
      </c>
      <c r="AD190" s="155">
        <f>ROUND(AF189*$P$19,2)</f>
        <v/>
      </c>
      <c r="AE190" s="155">
        <f>MIN($Q$19,AF189+AD190)</f>
        <v/>
      </c>
      <c r="AF190" s="155">
        <f>ROUND(AF189+AD190-AE190,2)</f>
        <v/>
      </c>
      <c r="AG190" s="155">
        <f>D190+G190+J190+M190+P190+S190+V190+Y190+AB190+AE190</f>
        <v/>
      </c>
      <c r="AH190" s="155">
        <f>C190+F190+I190+L190+O190+R190+U190+X190+AA190+AD190</f>
        <v/>
      </c>
      <c r="AI190" s="155">
        <f>E190+H190+K190+N190+Q190+T190+W190+Z190+AC190+AF190</f>
        <v/>
      </c>
    </row>
    <row r="191">
      <c r="A191" s="154" t="n">
        <v>35</v>
      </c>
      <c r="B191" s="156">
        <f>EDATE($B$5,A191-1)</f>
        <v/>
      </c>
      <c r="C191" s="155">
        <f>ROUND(E190*$P$10,2)</f>
        <v/>
      </c>
      <c r="D191" s="155">
        <f>MIN($Q$10,E190+C191)</f>
        <v/>
      </c>
      <c r="E191" s="155">
        <f>ROUND(E190+C191-D191,2)</f>
        <v/>
      </c>
      <c r="F191" s="155">
        <f>ROUND(H190*$P$11,2)</f>
        <v/>
      </c>
      <c r="G191" s="155">
        <f>MIN($Q$11,H190+F191)</f>
        <v/>
      </c>
      <c r="H191" s="155">
        <f>ROUND(H190+F191-G191,2)</f>
        <v/>
      </c>
      <c r="I191" s="155">
        <f>ROUND(K190*$P$12,2)</f>
        <v/>
      </c>
      <c r="J191" s="155">
        <f>MIN($Q$12,K190+I191)</f>
        <v/>
      </c>
      <c r="K191" s="155">
        <f>ROUND(K190+I191-J191,2)</f>
        <v/>
      </c>
      <c r="L191" s="155">
        <f>ROUND(N190*$P$13,2)</f>
        <v/>
      </c>
      <c r="M191" s="155">
        <f>MIN($Q$13,N190+L191)</f>
        <v/>
      </c>
      <c r="N191" s="155">
        <f>ROUND(N190+L191-M191,2)</f>
        <v/>
      </c>
      <c r="O191" s="155">
        <f>ROUND(Q190*$P$14,2)</f>
        <v/>
      </c>
      <c r="P191" s="155">
        <f>MIN($Q$14,Q190+O191)</f>
        <v/>
      </c>
      <c r="Q191" s="155">
        <f>ROUND(Q190+O191-P191,2)</f>
        <v/>
      </c>
      <c r="R191" s="155">
        <f>ROUND(T190*$P$15,2)</f>
        <v/>
      </c>
      <c r="S191" s="155">
        <f>MIN($Q$15,T190+R191)</f>
        <v/>
      </c>
      <c r="T191" s="155">
        <f>ROUND(T190+R191-S191,2)</f>
        <v/>
      </c>
      <c r="U191" s="155">
        <f>ROUND(W190*$P$16,2)</f>
        <v/>
      </c>
      <c r="V191" s="155">
        <f>MIN($Q$16,W190+U191)</f>
        <v/>
      </c>
      <c r="W191" s="155">
        <f>ROUND(W190+U191-V191,2)</f>
        <v/>
      </c>
      <c r="X191" s="155">
        <f>ROUND(Z190*$P$17,2)</f>
        <v/>
      </c>
      <c r="Y191" s="155">
        <f>MIN($Q$17,Z190+X191)</f>
        <v/>
      </c>
      <c r="Z191" s="155">
        <f>ROUND(Z190+X191-Y191,2)</f>
        <v/>
      </c>
      <c r="AA191" s="155">
        <f>ROUND(AC190*$P$18,2)</f>
        <v/>
      </c>
      <c r="AB191" s="155">
        <f>MIN($Q$18,AC190+AA191)</f>
        <v/>
      </c>
      <c r="AC191" s="155">
        <f>ROUND(AC190+AA191-AB191,2)</f>
        <v/>
      </c>
      <c r="AD191" s="155">
        <f>ROUND(AF190*$P$19,2)</f>
        <v/>
      </c>
      <c r="AE191" s="155">
        <f>MIN($Q$19,AF190+AD191)</f>
        <v/>
      </c>
      <c r="AF191" s="155">
        <f>ROUND(AF190+AD191-AE191,2)</f>
        <v/>
      </c>
      <c r="AG191" s="155">
        <f>D191+G191+J191+M191+P191+S191+V191+Y191+AB191+AE191</f>
        <v/>
      </c>
      <c r="AH191" s="155">
        <f>C191+F191+I191+L191+O191+R191+U191+X191+AA191+AD191</f>
        <v/>
      </c>
      <c r="AI191" s="155">
        <f>E191+H191+K191+N191+Q191+T191+W191+Z191+AC191+AF191</f>
        <v/>
      </c>
    </row>
    <row r="192">
      <c r="A192" s="154" t="n">
        <v>36</v>
      </c>
      <c r="B192" s="156">
        <f>EDATE($B$5,A192-1)</f>
        <v/>
      </c>
      <c r="C192" s="155">
        <f>ROUND(E191*$P$10,2)</f>
        <v/>
      </c>
      <c r="D192" s="155">
        <f>MIN($Q$10,E191+C192)</f>
        <v/>
      </c>
      <c r="E192" s="155">
        <f>ROUND(E191+C192-D192,2)</f>
        <v/>
      </c>
      <c r="F192" s="155">
        <f>ROUND(H191*$P$11,2)</f>
        <v/>
      </c>
      <c r="G192" s="155">
        <f>MIN($Q$11,H191+F192)</f>
        <v/>
      </c>
      <c r="H192" s="155">
        <f>ROUND(H191+F192-G192,2)</f>
        <v/>
      </c>
      <c r="I192" s="155">
        <f>ROUND(K191*$P$12,2)</f>
        <v/>
      </c>
      <c r="J192" s="155">
        <f>MIN($Q$12,K191+I192)</f>
        <v/>
      </c>
      <c r="K192" s="155">
        <f>ROUND(K191+I192-J192,2)</f>
        <v/>
      </c>
      <c r="L192" s="155">
        <f>ROUND(N191*$P$13,2)</f>
        <v/>
      </c>
      <c r="M192" s="155">
        <f>MIN($Q$13,N191+L192)</f>
        <v/>
      </c>
      <c r="N192" s="155">
        <f>ROUND(N191+L192-M192,2)</f>
        <v/>
      </c>
      <c r="O192" s="155">
        <f>ROUND(Q191*$P$14,2)</f>
        <v/>
      </c>
      <c r="P192" s="155">
        <f>MIN($Q$14,Q191+O192)</f>
        <v/>
      </c>
      <c r="Q192" s="155">
        <f>ROUND(Q191+O192-P192,2)</f>
        <v/>
      </c>
      <c r="R192" s="155">
        <f>ROUND(T191*$P$15,2)</f>
        <v/>
      </c>
      <c r="S192" s="155">
        <f>MIN($Q$15,T191+R192)</f>
        <v/>
      </c>
      <c r="T192" s="155">
        <f>ROUND(T191+R192-S192,2)</f>
        <v/>
      </c>
      <c r="U192" s="155">
        <f>ROUND(W191*$P$16,2)</f>
        <v/>
      </c>
      <c r="V192" s="155">
        <f>MIN($Q$16,W191+U192)</f>
        <v/>
      </c>
      <c r="W192" s="155">
        <f>ROUND(W191+U192-V192,2)</f>
        <v/>
      </c>
      <c r="X192" s="155">
        <f>ROUND(Z191*$P$17,2)</f>
        <v/>
      </c>
      <c r="Y192" s="155">
        <f>MIN($Q$17,Z191+X192)</f>
        <v/>
      </c>
      <c r="Z192" s="155">
        <f>ROUND(Z191+X192-Y192,2)</f>
        <v/>
      </c>
      <c r="AA192" s="155">
        <f>ROUND(AC191*$P$18,2)</f>
        <v/>
      </c>
      <c r="AB192" s="155">
        <f>MIN($Q$18,AC191+AA192)</f>
        <v/>
      </c>
      <c r="AC192" s="155">
        <f>ROUND(AC191+AA192-AB192,2)</f>
        <v/>
      </c>
      <c r="AD192" s="155">
        <f>ROUND(AF191*$P$19,2)</f>
        <v/>
      </c>
      <c r="AE192" s="155">
        <f>MIN($Q$19,AF191+AD192)</f>
        <v/>
      </c>
      <c r="AF192" s="155">
        <f>ROUND(AF191+AD192-AE192,2)</f>
        <v/>
      </c>
      <c r="AG192" s="155">
        <f>D192+G192+J192+M192+P192+S192+V192+Y192+AB192+AE192</f>
        <v/>
      </c>
      <c r="AH192" s="155">
        <f>C192+F192+I192+L192+O192+R192+U192+X192+AA192+AD192</f>
        <v/>
      </c>
      <c r="AI192" s="155">
        <f>E192+H192+K192+N192+Q192+T192+W192+Z192+AC192+AF192</f>
        <v/>
      </c>
    </row>
    <row r="193">
      <c r="A193" s="154" t="n">
        <v>37</v>
      </c>
      <c r="B193" s="156">
        <f>EDATE($B$5,A193-1)</f>
        <v/>
      </c>
      <c r="C193" s="155">
        <f>ROUND(E192*$P$10,2)</f>
        <v/>
      </c>
      <c r="D193" s="155">
        <f>MIN($Q$10,E192+C193)</f>
        <v/>
      </c>
      <c r="E193" s="155">
        <f>ROUND(E192+C193-D193,2)</f>
        <v/>
      </c>
      <c r="F193" s="155">
        <f>ROUND(H192*$P$11,2)</f>
        <v/>
      </c>
      <c r="G193" s="155">
        <f>MIN($Q$11,H192+F193)</f>
        <v/>
      </c>
      <c r="H193" s="155">
        <f>ROUND(H192+F193-G193,2)</f>
        <v/>
      </c>
      <c r="I193" s="155">
        <f>ROUND(K192*$P$12,2)</f>
        <v/>
      </c>
      <c r="J193" s="155">
        <f>MIN($Q$12,K192+I193)</f>
        <v/>
      </c>
      <c r="K193" s="155">
        <f>ROUND(K192+I193-J193,2)</f>
        <v/>
      </c>
      <c r="L193" s="155">
        <f>ROUND(N192*$P$13,2)</f>
        <v/>
      </c>
      <c r="M193" s="155">
        <f>MIN($Q$13,N192+L193)</f>
        <v/>
      </c>
      <c r="N193" s="155">
        <f>ROUND(N192+L193-M193,2)</f>
        <v/>
      </c>
      <c r="O193" s="155">
        <f>ROUND(Q192*$P$14,2)</f>
        <v/>
      </c>
      <c r="P193" s="155">
        <f>MIN($Q$14,Q192+O193)</f>
        <v/>
      </c>
      <c r="Q193" s="155">
        <f>ROUND(Q192+O193-P193,2)</f>
        <v/>
      </c>
      <c r="R193" s="155">
        <f>ROUND(T192*$P$15,2)</f>
        <v/>
      </c>
      <c r="S193" s="155">
        <f>MIN($Q$15,T192+R193)</f>
        <v/>
      </c>
      <c r="T193" s="155">
        <f>ROUND(T192+R193-S193,2)</f>
        <v/>
      </c>
      <c r="U193" s="155">
        <f>ROUND(W192*$P$16,2)</f>
        <v/>
      </c>
      <c r="V193" s="155">
        <f>MIN($Q$16,W192+U193)</f>
        <v/>
      </c>
      <c r="W193" s="155">
        <f>ROUND(W192+U193-V193,2)</f>
        <v/>
      </c>
      <c r="X193" s="155">
        <f>ROUND(Z192*$P$17,2)</f>
        <v/>
      </c>
      <c r="Y193" s="155">
        <f>MIN($Q$17,Z192+X193)</f>
        <v/>
      </c>
      <c r="Z193" s="155">
        <f>ROUND(Z192+X193-Y193,2)</f>
        <v/>
      </c>
      <c r="AA193" s="155">
        <f>ROUND(AC192*$P$18,2)</f>
        <v/>
      </c>
      <c r="AB193" s="155">
        <f>MIN($Q$18,AC192+AA193)</f>
        <v/>
      </c>
      <c r="AC193" s="155">
        <f>ROUND(AC192+AA193-AB193,2)</f>
        <v/>
      </c>
      <c r="AD193" s="155">
        <f>ROUND(AF192*$P$19,2)</f>
        <v/>
      </c>
      <c r="AE193" s="155">
        <f>MIN($Q$19,AF192+AD193)</f>
        <v/>
      </c>
      <c r="AF193" s="155">
        <f>ROUND(AF192+AD193-AE193,2)</f>
        <v/>
      </c>
      <c r="AG193" s="155">
        <f>D193+G193+J193+M193+P193+S193+V193+Y193+AB193+AE193</f>
        <v/>
      </c>
      <c r="AH193" s="155">
        <f>C193+F193+I193+L193+O193+R193+U193+X193+AA193+AD193</f>
        <v/>
      </c>
      <c r="AI193" s="155">
        <f>E193+H193+K193+N193+Q193+T193+W193+Z193+AC193+AF193</f>
        <v/>
      </c>
    </row>
    <row r="194">
      <c r="A194" s="154" t="n">
        <v>38</v>
      </c>
      <c r="B194" s="156">
        <f>EDATE($B$5,A194-1)</f>
        <v/>
      </c>
      <c r="C194" s="155">
        <f>ROUND(E193*$P$10,2)</f>
        <v/>
      </c>
      <c r="D194" s="155">
        <f>MIN($Q$10,E193+C194)</f>
        <v/>
      </c>
      <c r="E194" s="155">
        <f>ROUND(E193+C194-D194,2)</f>
        <v/>
      </c>
      <c r="F194" s="155">
        <f>ROUND(H193*$P$11,2)</f>
        <v/>
      </c>
      <c r="G194" s="155">
        <f>MIN($Q$11,H193+F194)</f>
        <v/>
      </c>
      <c r="H194" s="155">
        <f>ROUND(H193+F194-G194,2)</f>
        <v/>
      </c>
      <c r="I194" s="155">
        <f>ROUND(K193*$P$12,2)</f>
        <v/>
      </c>
      <c r="J194" s="155">
        <f>MIN($Q$12,K193+I194)</f>
        <v/>
      </c>
      <c r="K194" s="155">
        <f>ROUND(K193+I194-J194,2)</f>
        <v/>
      </c>
      <c r="L194" s="155">
        <f>ROUND(N193*$P$13,2)</f>
        <v/>
      </c>
      <c r="M194" s="155">
        <f>MIN($Q$13,N193+L194)</f>
        <v/>
      </c>
      <c r="N194" s="155">
        <f>ROUND(N193+L194-M194,2)</f>
        <v/>
      </c>
      <c r="O194" s="155">
        <f>ROUND(Q193*$P$14,2)</f>
        <v/>
      </c>
      <c r="P194" s="155">
        <f>MIN($Q$14,Q193+O194)</f>
        <v/>
      </c>
      <c r="Q194" s="155">
        <f>ROUND(Q193+O194-P194,2)</f>
        <v/>
      </c>
      <c r="R194" s="155">
        <f>ROUND(T193*$P$15,2)</f>
        <v/>
      </c>
      <c r="S194" s="155">
        <f>MIN($Q$15,T193+R194)</f>
        <v/>
      </c>
      <c r="T194" s="155">
        <f>ROUND(T193+R194-S194,2)</f>
        <v/>
      </c>
      <c r="U194" s="155">
        <f>ROUND(W193*$P$16,2)</f>
        <v/>
      </c>
      <c r="V194" s="155">
        <f>MIN($Q$16,W193+U194)</f>
        <v/>
      </c>
      <c r="W194" s="155">
        <f>ROUND(W193+U194-V194,2)</f>
        <v/>
      </c>
      <c r="X194" s="155">
        <f>ROUND(Z193*$P$17,2)</f>
        <v/>
      </c>
      <c r="Y194" s="155">
        <f>MIN($Q$17,Z193+X194)</f>
        <v/>
      </c>
      <c r="Z194" s="155">
        <f>ROUND(Z193+X194-Y194,2)</f>
        <v/>
      </c>
      <c r="AA194" s="155">
        <f>ROUND(AC193*$P$18,2)</f>
        <v/>
      </c>
      <c r="AB194" s="155">
        <f>MIN($Q$18,AC193+AA194)</f>
        <v/>
      </c>
      <c r="AC194" s="155">
        <f>ROUND(AC193+AA194-AB194,2)</f>
        <v/>
      </c>
      <c r="AD194" s="155">
        <f>ROUND(AF193*$P$19,2)</f>
        <v/>
      </c>
      <c r="AE194" s="155">
        <f>MIN($Q$19,AF193+AD194)</f>
        <v/>
      </c>
      <c r="AF194" s="155">
        <f>ROUND(AF193+AD194-AE194,2)</f>
        <v/>
      </c>
      <c r="AG194" s="155">
        <f>D194+G194+J194+M194+P194+S194+V194+Y194+AB194+AE194</f>
        <v/>
      </c>
      <c r="AH194" s="155">
        <f>C194+F194+I194+L194+O194+R194+U194+X194+AA194+AD194</f>
        <v/>
      </c>
      <c r="AI194" s="155">
        <f>E194+H194+K194+N194+Q194+T194+W194+Z194+AC194+AF194</f>
        <v/>
      </c>
    </row>
    <row r="195">
      <c r="A195" s="154" t="n">
        <v>39</v>
      </c>
      <c r="B195" s="156">
        <f>EDATE($B$5,A195-1)</f>
        <v/>
      </c>
      <c r="C195" s="155">
        <f>ROUND(E194*$P$10,2)</f>
        <v/>
      </c>
      <c r="D195" s="155">
        <f>MIN($Q$10,E194+C195)</f>
        <v/>
      </c>
      <c r="E195" s="155">
        <f>ROUND(E194+C195-D195,2)</f>
        <v/>
      </c>
      <c r="F195" s="155">
        <f>ROUND(H194*$P$11,2)</f>
        <v/>
      </c>
      <c r="G195" s="155">
        <f>MIN($Q$11,H194+F195)</f>
        <v/>
      </c>
      <c r="H195" s="155">
        <f>ROUND(H194+F195-G195,2)</f>
        <v/>
      </c>
      <c r="I195" s="155">
        <f>ROUND(K194*$P$12,2)</f>
        <v/>
      </c>
      <c r="J195" s="155">
        <f>MIN($Q$12,K194+I195)</f>
        <v/>
      </c>
      <c r="K195" s="155">
        <f>ROUND(K194+I195-J195,2)</f>
        <v/>
      </c>
      <c r="L195" s="155">
        <f>ROUND(N194*$P$13,2)</f>
        <v/>
      </c>
      <c r="M195" s="155">
        <f>MIN($Q$13,N194+L195)</f>
        <v/>
      </c>
      <c r="N195" s="155">
        <f>ROUND(N194+L195-M195,2)</f>
        <v/>
      </c>
      <c r="O195" s="155">
        <f>ROUND(Q194*$P$14,2)</f>
        <v/>
      </c>
      <c r="P195" s="155">
        <f>MIN($Q$14,Q194+O195)</f>
        <v/>
      </c>
      <c r="Q195" s="155">
        <f>ROUND(Q194+O195-P195,2)</f>
        <v/>
      </c>
      <c r="R195" s="155">
        <f>ROUND(T194*$P$15,2)</f>
        <v/>
      </c>
      <c r="S195" s="155">
        <f>MIN($Q$15,T194+R195)</f>
        <v/>
      </c>
      <c r="T195" s="155">
        <f>ROUND(T194+R195-S195,2)</f>
        <v/>
      </c>
      <c r="U195" s="155">
        <f>ROUND(W194*$P$16,2)</f>
        <v/>
      </c>
      <c r="V195" s="155">
        <f>MIN($Q$16,W194+U195)</f>
        <v/>
      </c>
      <c r="W195" s="155">
        <f>ROUND(W194+U195-V195,2)</f>
        <v/>
      </c>
      <c r="X195" s="155">
        <f>ROUND(Z194*$P$17,2)</f>
        <v/>
      </c>
      <c r="Y195" s="155">
        <f>MIN($Q$17,Z194+X195)</f>
        <v/>
      </c>
      <c r="Z195" s="155">
        <f>ROUND(Z194+X195-Y195,2)</f>
        <v/>
      </c>
      <c r="AA195" s="155">
        <f>ROUND(AC194*$P$18,2)</f>
        <v/>
      </c>
      <c r="AB195" s="155">
        <f>MIN($Q$18,AC194+AA195)</f>
        <v/>
      </c>
      <c r="AC195" s="155">
        <f>ROUND(AC194+AA195-AB195,2)</f>
        <v/>
      </c>
      <c r="AD195" s="155">
        <f>ROUND(AF194*$P$19,2)</f>
        <v/>
      </c>
      <c r="AE195" s="155">
        <f>MIN($Q$19,AF194+AD195)</f>
        <v/>
      </c>
      <c r="AF195" s="155">
        <f>ROUND(AF194+AD195-AE195,2)</f>
        <v/>
      </c>
      <c r="AG195" s="155">
        <f>D195+G195+J195+M195+P195+S195+V195+Y195+AB195+AE195</f>
        <v/>
      </c>
      <c r="AH195" s="155">
        <f>C195+F195+I195+L195+O195+R195+U195+X195+AA195+AD195</f>
        <v/>
      </c>
      <c r="AI195" s="155">
        <f>E195+H195+K195+N195+Q195+T195+W195+Z195+AC195+AF195</f>
        <v/>
      </c>
    </row>
    <row r="196">
      <c r="A196" s="154" t="n">
        <v>40</v>
      </c>
      <c r="B196" s="156">
        <f>EDATE($B$5,A196-1)</f>
        <v/>
      </c>
      <c r="C196" s="155">
        <f>ROUND(E195*$P$10,2)</f>
        <v/>
      </c>
      <c r="D196" s="155">
        <f>MIN($Q$10,E195+C196)</f>
        <v/>
      </c>
      <c r="E196" s="155">
        <f>ROUND(E195+C196-D196,2)</f>
        <v/>
      </c>
      <c r="F196" s="155">
        <f>ROUND(H195*$P$11,2)</f>
        <v/>
      </c>
      <c r="G196" s="155">
        <f>MIN($Q$11,H195+F196)</f>
        <v/>
      </c>
      <c r="H196" s="155">
        <f>ROUND(H195+F196-G196,2)</f>
        <v/>
      </c>
      <c r="I196" s="155">
        <f>ROUND(K195*$P$12,2)</f>
        <v/>
      </c>
      <c r="J196" s="155">
        <f>MIN($Q$12,K195+I196)</f>
        <v/>
      </c>
      <c r="K196" s="155">
        <f>ROUND(K195+I196-J196,2)</f>
        <v/>
      </c>
      <c r="L196" s="155">
        <f>ROUND(N195*$P$13,2)</f>
        <v/>
      </c>
      <c r="M196" s="155">
        <f>MIN($Q$13,N195+L196)</f>
        <v/>
      </c>
      <c r="N196" s="155">
        <f>ROUND(N195+L196-M196,2)</f>
        <v/>
      </c>
      <c r="O196" s="155">
        <f>ROUND(Q195*$P$14,2)</f>
        <v/>
      </c>
      <c r="P196" s="155">
        <f>MIN($Q$14,Q195+O196)</f>
        <v/>
      </c>
      <c r="Q196" s="155">
        <f>ROUND(Q195+O196-P196,2)</f>
        <v/>
      </c>
      <c r="R196" s="155">
        <f>ROUND(T195*$P$15,2)</f>
        <v/>
      </c>
      <c r="S196" s="155">
        <f>MIN($Q$15,T195+R196)</f>
        <v/>
      </c>
      <c r="T196" s="155">
        <f>ROUND(T195+R196-S196,2)</f>
        <v/>
      </c>
      <c r="U196" s="155">
        <f>ROUND(W195*$P$16,2)</f>
        <v/>
      </c>
      <c r="V196" s="155">
        <f>MIN($Q$16,W195+U196)</f>
        <v/>
      </c>
      <c r="W196" s="155">
        <f>ROUND(W195+U196-V196,2)</f>
        <v/>
      </c>
      <c r="X196" s="155">
        <f>ROUND(Z195*$P$17,2)</f>
        <v/>
      </c>
      <c r="Y196" s="155">
        <f>MIN($Q$17,Z195+X196)</f>
        <v/>
      </c>
      <c r="Z196" s="155">
        <f>ROUND(Z195+X196-Y196,2)</f>
        <v/>
      </c>
      <c r="AA196" s="155">
        <f>ROUND(AC195*$P$18,2)</f>
        <v/>
      </c>
      <c r="AB196" s="155">
        <f>MIN($Q$18,AC195+AA196)</f>
        <v/>
      </c>
      <c r="AC196" s="155">
        <f>ROUND(AC195+AA196-AB196,2)</f>
        <v/>
      </c>
      <c r="AD196" s="155">
        <f>ROUND(AF195*$P$19,2)</f>
        <v/>
      </c>
      <c r="AE196" s="155">
        <f>MIN($Q$19,AF195+AD196)</f>
        <v/>
      </c>
      <c r="AF196" s="155">
        <f>ROUND(AF195+AD196-AE196,2)</f>
        <v/>
      </c>
      <c r="AG196" s="155">
        <f>D196+G196+J196+M196+P196+S196+V196+Y196+AB196+AE196</f>
        <v/>
      </c>
      <c r="AH196" s="155">
        <f>C196+F196+I196+L196+O196+R196+U196+X196+AA196+AD196</f>
        <v/>
      </c>
      <c r="AI196" s="155">
        <f>E196+H196+K196+N196+Q196+T196+W196+Z196+AC196+AF196</f>
        <v/>
      </c>
    </row>
    <row r="197">
      <c r="A197" s="154" t="n">
        <v>41</v>
      </c>
      <c r="B197" s="156">
        <f>EDATE($B$5,A197-1)</f>
        <v/>
      </c>
      <c r="C197" s="155">
        <f>ROUND(E196*$P$10,2)</f>
        <v/>
      </c>
      <c r="D197" s="155">
        <f>MIN($Q$10,E196+C197)</f>
        <v/>
      </c>
      <c r="E197" s="155">
        <f>ROUND(E196+C197-D197,2)</f>
        <v/>
      </c>
      <c r="F197" s="155">
        <f>ROUND(H196*$P$11,2)</f>
        <v/>
      </c>
      <c r="G197" s="155">
        <f>MIN($Q$11,H196+F197)</f>
        <v/>
      </c>
      <c r="H197" s="155">
        <f>ROUND(H196+F197-G197,2)</f>
        <v/>
      </c>
      <c r="I197" s="155">
        <f>ROUND(K196*$P$12,2)</f>
        <v/>
      </c>
      <c r="J197" s="155">
        <f>MIN($Q$12,K196+I197)</f>
        <v/>
      </c>
      <c r="K197" s="155">
        <f>ROUND(K196+I197-J197,2)</f>
        <v/>
      </c>
      <c r="L197" s="155">
        <f>ROUND(N196*$P$13,2)</f>
        <v/>
      </c>
      <c r="M197" s="155">
        <f>MIN($Q$13,N196+L197)</f>
        <v/>
      </c>
      <c r="N197" s="155">
        <f>ROUND(N196+L197-M197,2)</f>
        <v/>
      </c>
      <c r="O197" s="155">
        <f>ROUND(Q196*$P$14,2)</f>
        <v/>
      </c>
      <c r="P197" s="155">
        <f>MIN($Q$14,Q196+O197)</f>
        <v/>
      </c>
      <c r="Q197" s="155">
        <f>ROUND(Q196+O197-P197,2)</f>
        <v/>
      </c>
      <c r="R197" s="155">
        <f>ROUND(T196*$P$15,2)</f>
        <v/>
      </c>
      <c r="S197" s="155">
        <f>MIN($Q$15,T196+R197)</f>
        <v/>
      </c>
      <c r="T197" s="155">
        <f>ROUND(T196+R197-S197,2)</f>
        <v/>
      </c>
      <c r="U197" s="155">
        <f>ROUND(W196*$P$16,2)</f>
        <v/>
      </c>
      <c r="V197" s="155">
        <f>MIN($Q$16,W196+U197)</f>
        <v/>
      </c>
      <c r="W197" s="155">
        <f>ROUND(W196+U197-V197,2)</f>
        <v/>
      </c>
      <c r="X197" s="155">
        <f>ROUND(Z196*$P$17,2)</f>
        <v/>
      </c>
      <c r="Y197" s="155">
        <f>MIN($Q$17,Z196+X197)</f>
        <v/>
      </c>
      <c r="Z197" s="155">
        <f>ROUND(Z196+X197-Y197,2)</f>
        <v/>
      </c>
      <c r="AA197" s="155">
        <f>ROUND(AC196*$P$18,2)</f>
        <v/>
      </c>
      <c r="AB197" s="155">
        <f>MIN($Q$18,AC196+AA197)</f>
        <v/>
      </c>
      <c r="AC197" s="155">
        <f>ROUND(AC196+AA197-AB197,2)</f>
        <v/>
      </c>
      <c r="AD197" s="155">
        <f>ROUND(AF196*$P$19,2)</f>
        <v/>
      </c>
      <c r="AE197" s="155">
        <f>MIN($Q$19,AF196+AD197)</f>
        <v/>
      </c>
      <c r="AF197" s="155">
        <f>ROUND(AF196+AD197-AE197,2)</f>
        <v/>
      </c>
      <c r="AG197" s="155">
        <f>D197+G197+J197+M197+P197+S197+V197+Y197+AB197+AE197</f>
        <v/>
      </c>
      <c r="AH197" s="155">
        <f>C197+F197+I197+L197+O197+R197+U197+X197+AA197+AD197</f>
        <v/>
      </c>
      <c r="AI197" s="155">
        <f>E197+H197+K197+N197+Q197+T197+W197+Z197+AC197+AF197</f>
        <v/>
      </c>
    </row>
    <row r="198">
      <c r="A198" s="154" t="n">
        <v>42</v>
      </c>
      <c r="B198" s="156">
        <f>EDATE($B$5,A198-1)</f>
        <v/>
      </c>
      <c r="C198" s="155">
        <f>ROUND(E197*$P$10,2)</f>
        <v/>
      </c>
      <c r="D198" s="155">
        <f>MIN($Q$10,E197+C198)</f>
        <v/>
      </c>
      <c r="E198" s="155">
        <f>ROUND(E197+C198-D198,2)</f>
        <v/>
      </c>
      <c r="F198" s="155">
        <f>ROUND(H197*$P$11,2)</f>
        <v/>
      </c>
      <c r="G198" s="155">
        <f>MIN($Q$11,H197+F198)</f>
        <v/>
      </c>
      <c r="H198" s="155">
        <f>ROUND(H197+F198-G198,2)</f>
        <v/>
      </c>
      <c r="I198" s="155">
        <f>ROUND(K197*$P$12,2)</f>
        <v/>
      </c>
      <c r="J198" s="155">
        <f>MIN($Q$12,K197+I198)</f>
        <v/>
      </c>
      <c r="K198" s="155">
        <f>ROUND(K197+I198-J198,2)</f>
        <v/>
      </c>
      <c r="L198" s="155">
        <f>ROUND(N197*$P$13,2)</f>
        <v/>
      </c>
      <c r="M198" s="155">
        <f>MIN($Q$13,N197+L198)</f>
        <v/>
      </c>
      <c r="N198" s="155">
        <f>ROUND(N197+L198-M198,2)</f>
        <v/>
      </c>
      <c r="O198" s="155">
        <f>ROUND(Q197*$P$14,2)</f>
        <v/>
      </c>
      <c r="P198" s="155">
        <f>MIN($Q$14,Q197+O198)</f>
        <v/>
      </c>
      <c r="Q198" s="155">
        <f>ROUND(Q197+O198-P198,2)</f>
        <v/>
      </c>
      <c r="R198" s="155">
        <f>ROUND(T197*$P$15,2)</f>
        <v/>
      </c>
      <c r="S198" s="155">
        <f>MIN($Q$15,T197+R198)</f>
        <v/>
      </c>
      <c r="T198" s="155">
        <f>ROUND(T197+R198-S198,2)</f>
        <v/>
      </c>
      <c r="U198" s="155">
        <f>ROUND(W197*$P$16,2)</f>
        <v/>
      </c>
      <c r="V198" s="155">
        <f>MIN($Q$16,W197+U198)</f>
        <v/>
      </c>
      <c r="W198" s="155">
        <f>ROUND(W197+U198-V198,2)</f>
        <v/>
      </c>
      <c r="X198" s="155">
        <f>ROUND(Z197*$P$17,2)</f>
        <v/>
      </c>
      <c r="Y198" s="155">
        <f>MIN($Q$17,Z197+X198)</f>
        <v/>
      </c>
      <c r="Z198" s="155">
        <f>ROUND(Z197+X198-Y198,2)</f>
        <v/>
      </c>
      <c r="AA198" s="155">
        <f>ROUND(AC197*$P$18,2)</f>
        <v/>
      </c>
      <c r="AB198" s="155">
        <f>MIN($Q$18,AC197+AA198)</f>
        <v/>
      </c>
      <c r="AC198" s="155">
        <f>ROUND(AC197+AA198-AB198,2)</f>
        <v/>
      </c>
      <c r="AD198" s="155">
        <f>ROUND(AF197*$P$19,2)</f>
        <v/>
      </c>
      <c r="AE198" s="155">
        <f>MIN($Q$19,AF197+AD198)</f>
        <v/>
      </c>
      <c r="AF198" s="155">
        <f>ROUND(AF197+AD198-AE198,2)</f>
        <v/>
      </c>
      <c r="AG198" s="155">
        <f>D198+G198+J198+M198+P198+S198+V198+Y198+AB198+AE198</f>
        <v/>
      </c>
      <c r="AH198" s="155">
        <f>C198+F198+I198+L198+O198+R198+U198+X198+AA198+AD198</f>
        <v/>
      </c>
      <c r="AI198" s="155">
        <f>E198+H198+K198+N198+Q198+T198+W198+Z198+AC198+AF198</f>
        <v/>
      </c>
    </row>
    <row r="199">
      <c r="A199" s="154" t="n">
        <v>43</v>
      </c>
      <c r="B199" s="156">
        <f>EDATE($B$5,A199-1)</f>
        <v/>
      </c>
      <c r="C199" s="155">
        <f>ROUND(E198*$P$10,2)</f>
        <v/>
      </c>
      <c r="D199" s="155">
        <f>MIN($Q$10,E198+C199)</f>
        <v/>
      </c>
      <c r="E199" s="155">
        <f>ROUND(E198+C199-D199,2)</f>
        <v/>
      </c>
      <c r="F199" s="155">
        <f>ROUND(H198*$P$11,2)</f>
        <v/>
      </c>
      <c r="G199" s="155">
        <f>MIN($Q$11,H198+F199)</f>
        <v/>
      </c>
      <c r="H199" s="155">
        <f>ROUND(H198+F199-G199,2)</f>
        <v/>
      </c>
      <c r="I199" s="155">
        <f>ROUND(K198*$P$12,2)</f>
        <v/>
      </c>
      <c r="J199" s="155">
        <f>MIN($Q$12,K198+I199)</f>
        <v/>
      </c>
      <c r="K199" s="155">
        <f>ROUND(K198+I199-J199,2)</f>
        <v/>
      </c>
      <c r="L199" s="155">
        <f>ROUND(N198*$P$13,2)</f>
        <v/>
      </c>
      <c r="M199" s="155">
        <f>MIN($Q$13,N198+L199)</f>
        <v/>
      </c>
      <c r="N199" s="155">
        <f>ROUND(N198+L199-M199,2)</f>
        <v/>
      </c>
      <c r="O199" s="155">
        <f>ROUND(Q198*$P$14,2)</f>
        <v/>
      </c>
      <c r="P199" s="155">
        <f>MIN($Q$14,Q198+O199)</f>
        <v/>
      </c>
      <c r="Q199" s="155">
        <f>ROUND(Q198+O199-P199,2)</f>
        <v/>
      </c>
      <c r="R199" s="155">
        <f>ROUND(T198*$P$15,2)</f>
        <v/>
      </c>
      <c r="S199" s="155">
        <f>MIN($Q$15,T198+R199)</f>
        <v/>
      </c>
      <c r="T199" s="155">
        <f>ROUND(T198+R199-S199,2)</f>
        <v/>
      </c>
      <c r="U199" s="155">
        <f>ROUND(W198*$P$16,2)</f>
        <v/>
      </c>
      <c r="V199" s="155">
        <f>MIN($Q$16,W198+U199)</f>
        <v/>
      </c>
      <c r="W199" s="155">
        <f>ROUND(W198+U199-V199,2)</f>
        <v/>
      </c>
      <c r="X199" s="155">
        <f>ROUND(Z198*$P$17,2)</f>
        <v/>
      </c>
      <c r="Y199" s="155">
        <f>MIN($Q$17,Z198+X199)</f>
        <v/>
      </c>
      <c r="Z199" s="155">
        <f>ROUND(Z198+X199-Y199,2)</f>
        <v/>
      </c>
      <c r="AA199" s="155">
        <f>ROUND(AC198*$P$18,2)</f>
        <v/>
      </c>
      <c r="AB199" s="155">
        <f>MIN($Q$18,AC198+AA199)</f>
        <v/>
      </c>
      <c r="AC199" s="155">
        <f>ROUND(AC198+AA199-AB199,2)</f>
        <v/>
      </c>
      <c r="AD199" s="155">
        <f>ROUND(AF198*$P$19,2)</f>
        <v/>
      </c>
      <c r="AE199" s="155">
        <f>MIN($Q$19,AF198+AD199)</f>
        <v/>
      </c>
      <c r="AF199" s="155">
        <f>ROUND(AF198+AD199-AE199,2)</f>
        <v/>
      </c>
      <c r="AG199" s="155">
        <f>D199+G199+J199+M199+P199+S199+V199+Y199+AB199+AE199</f>
        <v/>
      </c>
      <c r="AH199" s="155">
        <f>C199+F199+I199+L199+O199+R199+U199+X199+AA199+AD199</f>
        <v/>
      </c>
      <c r="AI199" s="155">
        <f>E199+H199+K199+N199+Q199+T199+W199+Z199+AC199+AF199</f>
        <v/>
      </c>
    </row>
    <row r="200">
      <c r="A200" s="154" t="n">
        <v>44</v>
      </c>
      <c r="B200" s="156">
        <f>EDATE($B$5,A200-1)</f>
        <v/>
      </c>
      <c r="C200" s="155">
        <f>ROUND(E199*$P$10,2)</f>
        <v/>
      </c>
      <c r="D200" s="155">
        <f>MIN($Q$10,E199+C200)</f>
        <v/>
      </c>
      <c r="E200" s="155">
        <f>ROUND(E199+C200-D200,2)</f>
        <v/>
      </c>
      <c r="F200" s="155">
        <f>ROUND(H199*$P$11,2)</f>
        <v/>
      </c>
      <c r="G200" s="155">
        <f>MIN($Q$11,H199+F200)</f>
        <v/>
      </c>
      <c r="H200" s="155">
        <f>ROUND(H199+F200-G200,2)</f>
        <v/>
      </c>
      <c r="I200" s="155">
        <f>ROUND(K199*$P$12,2)</f>
        <v/>
      </c>
      <c r="J200" s="155">
        <f>MIN($Q$12,K199+I200)</f>
        <v/>
      </c>
      <c r="K200" s="155">
        <f>ROUND(K199+I200-J200,2)</f>
        <v/>
      </c>
      <c r="L200" s="155">
        <f>ROUND(N199*$P$13,2)</f>
        <v/>
      </c>
      <c r="M200" s="155">
        <f>MIN($Q$13,N199+L200)</f>
        <v/>
      </c>
      <c r="N200" s="155">
        <f>ROUND(N199+L200-M200,2)</f>
        <v/>
      </c>
      <c r="O200" s="155">
        <f>ROUND(Q199*$P$14,2)</f>
        <v/>
      </c>
      <c r="P200" s="155">
        <f>MIN($Q$14,Q199+O200)</f>
        <v/>
      </c>
      <c r="Q200" s="155">
        <f>ROUND(Q199+O200-P200,2)</f>
        <v/>
      </c>
      <c r="R200" s="155">
        <f>ROUND(T199*$P$15,2)</f>
        <v/>
      </c>
      <c r="S200" s="155">
        <f>MIN($Q$15,T199+R200)</f>
        <v/>
      </c>
      <c r="T200" s="155">
        <f>ROUND(T199+R200-S200,2)</f>
        <v/>
      </c>
      <c r="U200" s="155">
        <f>ROUND(W199*$P$16,2)</f>
        <v/>
      </c>
      <c r="V200" s="155">
        <f>MIN($Q$16,W199+U200)</f>
        <v/>
      </c>
      <c r="W200" s="155">
        <f>ROUND(W199+U200-V200,2)</f>
        <v/>
      </c>
      <c r="X200" s="155">
        <f>ROUND(Z199*$P$17,2)</f>
        <v/>
      </c>
      <c r="Y200" s="155">
        <f>MIN($Q$17,Z199+X200)</f>
        <v/>
      </c>
      <c r="Z200" s="155">
        <f>ROUND(Z199+X200-Y200,2)</f>
        <v/>
      </c>
      <c r="AA200" s="155">
        <f>ROUND(AC199*$P$18,2)</f>
        <v/>
      </c>
      <c r="AB200" s="155">
        <f>MIN($Q$18,AC199+AA200)</f>
        <v/>
      </c>
      <c r="AC200" s="155">
        <f>ROUND(AC199+AA200-AB200,2)</f>
        <v/>
      </c>
      <c r="AD200" s="155">
        <f>ROUND(AF199*$P$19,2)</f>
        <v/>
      </c>
      <c r="AE200" s="155">
        <f>MIN($Q$19,AF199+AD200)</f>
        <v/>
      </c>
      <c r="AF200" s="155">
        <f>ROUND(AF199+AD200-AE200,2)</f>
        <v/>
      </c>
      <c r="AG200" s="155">
        <f>D200+G200+J200+M200+P200+S200+V200+Y200+AB200+AE200</f>
        <v/>
      </c>
      <c r="AH200" s="155">
        <f>C200+F200+I200+L200+O200+R200+U200+X200+AA200+AD200</f>
        <v/>
      </c>
      <c r="AI200" s="155">
        <f>E200+H200+K200+N200+Q200+T200+W200+Z200+AC200+AF200</f>
        <v/>
      </c>
    </row>
    <row r="201">
      <c r="A201" s="154" t="n">
        <v>45</v>
      </c>
      <c r="B201" s="156">
        <f>EDATE($B$5,A201-1)</f>
        <v/>
      </c>
      <c r="C201" s="155">
        <f>ROUND(E200*$P$10,2)</f>
        <v/>
      </c>
      <c r="D201" s="155">
        <f>MIN($Q$10,E200+C201)</f>
        <v/>
      </c>
      <c r="E201" s="155">
        <f>ROUND(E200+C201-D201,2)</f>
        <v/>
      </c>
      <c r="F201" s="155">
        <f>ROUND(H200*$P$11,2)</f>
        <v/>
      </c>
      <c r="G201" s="155">
        <f>MIN($Q$11,H200+F201)</f>
        <v/>
      </c>
      <c r="H201" s="155">
        <f>ROUND(H200+F201-G201,2)</f>
        <v/>
      </c>
      <c r="I201" s="155">
        <f>ROUND(K200*$P$12,2)</f>
        <v/>
      </c>
      <c r="J201" s="155">
        <f>MIN($Q$12,K200+I201)</f>
        <v/>
      </c>
      <c r="K201" s="155">
        <f>ROUND(K200+I201-J201,2)</f>
        <v/>
      </c>
      <c r="L201" s="155">
        <f>ROUND(N200*$P$13,2)</f>
        <v/>
      </c>
      <c r="M201" s="155">
        <f>MIN($Q$13,N200+L201)</f>
        <v/>
      </c>
      <c r="N201" s="155">
        <f>ROUND(N200+L201-M201,2)</f>
        <v/>
      </c>
      <c r="O201" s="155">
        <f>ROUND(Q200*$P$14,2)</f>
        <v/>
      </c>
      <c r="P201" s="155">
        <f>MIN($Q$14,Q200+O201)</f>
        <v/>
      </c>
      <c r="Q201" s="155">
        <f>ROUND(Q200+O201-P201,2)</f>
        <v/>
      </c>
      <c r="R201" s="155">
        <f>ROUND(T200*$P$15,2)</f>
        <v/>
      </c>
      <c r="S201" s="155">
        <f>MIN($Q$15,T200+R201)</f>
        <v/>
      </c>
      <c r="T201" s="155">
        <f>ROUND(T200+R201-S201,2)</f>
        <v/>
      </c>
      <c r="U201" s="155">
        <f>ROUND(W200*$P$16,2)</f>
        <v/>
      </c>
      <c r="V201" s="155">
        <f>MIN($Q$16,W200+U201)</f>
        <v/>
      </c>
      <c r="W201" s="155">
        <f>ROUND(W200+U201-V201,2)</f>
        <v/>
      </c>
      <c r="X201" s="155">
        <f>ROUND(Z200*$P$17,2)</f>
        <v/>
      </c>
      <c r="Y201" s="155">
        <f>MIN($Q$17,Z200+X201)</f>
        <v/>
      </c>
      <c r="Z201" s="155">
        <f>ROUND(Z200+X201-Y201,2)</f>
        <v/>
      </c>
      <c r="AA201" s="155">
        <f>ROUND(AC200*$P$18,2)</f>
        <v/>
      </c>
      <c r="AB201" s="155">
        <f>MIN($Q$18,AC200+AA201)</f>
        <v/>
      </c>
      <c r="AC201" s="155">
        <f>ROUND(AC200+AA201-AB201,2)</f>
        <v/>
      </c>
      <c r="AD201" s="155">
        <f>ROUND(AF200*$P$19,2)</f>
        <v/>
      </c>
      <c r="AE201" s="155">
        <f>MIN($Q$19,AF200+AD201)</f>
        <v/>
      </c>
      <c r="AF201" s="155">
        <f>ROUND(AF200+AD201-AE201,2)</f>
        <v/>
      </c>
      <c r="AG201" s="155">
        <f>D201+G201+J201+M201+P201+S201+V201+Y201+AB201+AE201</f>
        <v/>
      </c>
      <c r="AH201" s="155">
        <f>C201+F201+I201+L201+O201+R201+U201+X201+AA201+AD201</f>
        <v/>
      </c>
      <c r="AI201" s="155">
        <f>E201+H201+K201+N201+Q201+T201+W201+Z201+AC201+AF201</f>
        <v/>
      </c>
    </row>
    <row r="202">
      <c r="A202" s="154" t="n">
        <v>46</v>
      </c>
      <c r="B202" s="156">
        <f>EDATE($B$5,A202-1)</f>
        <v/>
      </c>
      <c r="C202" s="155">
        <f>ROUND(E201*$P$10,2)</f>
        <v/>
      </c>
      <c r="D202" s="155">
        <f>MIN($Q$10,E201+C202)</f>
        <v/>
      </c>
      <c r="E202" s="155">
        <f>ROUND(E201+C202-D202,2)</f>
        <v/>
      </c>
      <c r="F202" s="155">
        <f>ROUND(H201*$P$11,2)</f>
        <v/>
      </c>
      <c r="G202" s="155">
        <f>MIN($Q$11,H201+F202)</f>
        <v/>
      </c>
      <c r="H202" s="155">
        <f>ROUND(H201+F202-G202,2)</f>
        <v/>
      </c>
      <c r="I202" s="155">
        <f>ROUND(K201*$P$12,2)</f>
        <v/>
      </c>
      <c r="J202" s="155">
        <f>MIN($Q$12,K201+I202)</f>
        <v/>
      </c>
      <c r="K202" s="155">
        <f>ROUND(K201+I202-J202,2)</f>
        <v/>
      </c>
      <c r="L202" s="155">
        <f>ROUND(N201*$P$13,2)</f>
        <v/>
      </c>
      <c r="M202" s="155">
        <f>MIN($Q$13,N201+L202)</f>
        <v/>
      </c>
      <c r="N202" s="155">
        <f>ROUND(N201+L202-M202,2)</f>
        <v/>
      </c>
      <c r="O202" s="155">
        <f>ROUND(Q201*$P$14,2)</f>
        <v/>
      </c>
      <c r="P202" s="155">
        <f>MIN($Q$14,Q201+O202)</f>
        <v/>
      </c>
      <c r="Q202" s="155">
        <f>ROUND(Q201+O202-P202,2)</f>
        <v/>
      </c>
      <c r="R202" s="155">
        <f>ROUND(T201*$P$15,2)</f>
        <v/>
      </c>
      <c r="S202" s="155">
        <f>MIN($Q$15,T201+R202)</f>
        <v/>
      </c>
      <c r="T202" s="155">
        <f>ROUND(T201+R202-S202,2)</f>
        <v/>
      </c>
      <c r="U202" s="155">
        <f>ROUND(W201*$P$16,2)</f>
        <v/>
      </c>
      <c r="V202" s="155">
        <f>MIN($Q$16,W201+U202)</f>
        <v/>
      </c>
      <c r="W202" s="155">
        <f>ROUND(W201+U202-V202,2)</f>
        <v/>
      </c>
      <c r="X202" s="155">
        <f>ROUND(Z201*$P$17,2)</f>
        <v/>
      </c>
      <c r="Y202" s="155">
        <f>MIN($Q$17,Z201+X202)</f>
        <v/>
      </c>
      <c r="Z202" s="155">
        <f>ROUND(Z201+X202-Y202,2)</f>
        <v/>
      </c>
      <c r="AA202" s="155">
        <f>ROUND(AC201*$P$18,2)</f>
        <v/>
      </c>
      <c r="AB202" s="155">
        <f>MIN($Q$18,AC201+AA202)</f>
        <v/>
      </c>
      <c r="AC202" s="155">
        <f>ROUND(AC201+AA202-AB202,2)</f>
        <v/>
      </c>
      <c r="AD202" s="155">
        <f>ROUND(AF201*$P$19,2)</f>
        <v/>
      </c>
      <c r="AE202" s="155">
        <f>MIN($Q$19,AF201+AD202)</f>
        <v/>
      </c>
      <c r="AF202" s="155">
        <f>ROUND(AF201+AD202-AE202,2)</f>
        <v/>
      </c>
      <c r="AG202" s="155">
        <f>D202+G202+J202+M202+P202+S202+V202+Y202+AB202+AE202</f>
        <v/>
      </c>
      <c r="AH202" s="155">
        <f>C202+F202+I202+L202+O202+R202+U202+X202+AA202+AD202</f>
        <v/>
      </c>
      <c r="AI202" s="155">
        <f>E202+H202+K202+N202+Q202+T202+W202+Z202+AC202+AF202</f>
        <v/>
      </c>
    </row>
    <row r="203">
      <c r="A203" s="154" t="n">
        <v>47</v>
      </c>
      <c r="B203" s="156">
        <f>EDATE($B$5,A203-1)</f>
        <v/>
      </c>
      <c r="C203" s="155">
        <f>ROUND(E202*$P$10,2)</f>
        <v/>
      </c>
      <c r="D203" s="155">
        <f>MIN($Q$10,E202+C203)</f>
        <v/>
      </c>
      <c r="E203" s="155">
        <f>ROUND(E202+C203-D203,2)</f>
        <v/>
      </c>
      <c r="F203" s="155">
        <f>ROUND(H202*$P$11,2)</f>
        <v/>
      </c>
      <c r="G203" s="155">
        <f>MIN($Q$11,H202+F203)</f>
        <v/>
      </c>
      <c r="H203" s="155">
        <f>ROUND(H202+F203-G203,2)</f>
        <v/>
      </c>
      <c r="I203" s="155">
        <f>ROUND(K202*$P$12,2)</f>
        <v/>
      </c>
      <c r="J203" s="155">
        <f>MIN($Q$12,K202+I203)</f>
        <v/>
      </c>
      <c r="K203" s="155">
        <f>ROUND(K202+I203-J203,2)</f>
        <v/>
      </c>
      <c r="L203" s="155">
        <f>ROUND(N202*$P$13,2)</f>
        <v/>
      </c>
      <c r="M203" s="155">
        <f>MIN($Q$13,N202+L203)</f>
        <v/>
      </c>
      <c r="N203" s="155">
        <f>ROUND(N202+L203-M203,2)</f>
        <v/>
      </c>
      <c r="O203" s="155">
        <f>ROUND(Q202*$P$14,2)</f>
        <v/>
      </c>
      <c r="P203" s="155">
        <f>MIN($Q$14,Q202+O203)</f>
        <v/>
      </c>
      <c r="Q203" s="155">
        <f>ROUND(Q202+O203-P203,2)</f>
        <v/>
      </c>
      <c r="R203" s="155">
        <f>ROUND(T202*$P$15,2)</f>
        <v/>
      </c>
      <c r="S203" s="155">
        <f>MIN($Q$15,T202+R203)</f>
        <v/>
      </c>
      <c r="T203" s="155">
        <f>ROUND(T202+R203-S203,2)</f>
        <v/>
      </c>
      <c r="U203" s="155">
        <f>ROUND(W202*$P$16,2)</f>
        <v/>
      </c>
      <c r="V203" s="155">
        <f>MIN($Q$16,W202+U203)</f>
        <v/>
      </c>
      <c r="W203" s="155">
        <f>ROUND(W202+U203-V203,2)</f>
        <v/>
      </c>
      <c r="X203" s="155">
        <f>ROUND(Z202*$P$17,2)</f>
        <v/>
      </c>
      <c r="Y203" s="155">
        <f>MIN($Q$17,Z202+X203)</f>
        <v/>
      </c>
      <c r="Z203" s="155">
        <f>ROUND(Z202+X203-Y203,2)</f>
        <v/>
      </c>
      <c r="AA203" s="155">
        <f>ROUND(AC202*$P$18,2)</f>
        <v/>
      </c>
      <c r="AB203" s="155">
        <f>MIN($Q$18,AC202+AA203)</f>
        <v/>
      </c>
      <c r="AC203" s="155">
        <f>ROUND(AC202+AA203-AB203,2)</f>
        <v/>
      </c>
      <c r="AD203" s="155">
        <f>ROUND(AF202*$P$19,2)</f>
        <v/>
      </c>
      <c r="AE203" s="155">
        <f>MIN($Q$19,AF202+AD203)</f>
        <v/>
      </c>
      <c r="AF203" s="155">
        <f>ROUND(AF202+AD203-AE203,2)</f>
        <v/>
      </c>
      <c r="AG203" s="155">
        <f>D203+G203+J203+M203+P203+S203+V203+Y203+AB203+AE203</f>
        <v/>
      </c>
      <c r="AH203" s="155">
        <f>C203+F203+I203+L203+O203+R203+U203+X203+AA203+AD203</f>
        <v/>
      </c>
      <c r="AI203" s="155">
        <f>E203+H203+K203+N203+Q203+T203+W203+Z203+AC203+AF203</f>
        <v/>
      </c>
    </row>
    <row r="204">
      <c r="A204" s="154" t="n">
        <v>48</v>
      </c>
      <c r="B204" s="156">
        <f>EDATE($B$5,A204-1)</f>
        <v/>
      </c>
      <c r="C204" s="155">
        <f>ROUND(E203*$P$10,2)</f>
        <v/>
      </c>
      <c r="D204" s="155">
        <f>MIN($Q$10,E203+C204)</f>
        <v/>
      </c>
      <c r="E204" s="155">
        <f>ROUND(E203+C204-D204,2)</f>
        <v/>
      </c>
      <c r="F204" s="155">
        <f>ROUND(H203*$P$11,2)</f>
        <v/>
      </c>
      <c r="G204" s="155">
        <f>MIN($Q$11,H203+F204)</f>
        <v/>
      </c>
      <c r="H204" s="155">
        <f>ROUND(H203+F204-G204,2)</f>
        <v/>
      </c>
      <c r="I204" s="155">
        <f>ROUND(K203*$P$12,2)</f>
        <v/>
      </c>
      <c r="J204" s="155">
        <f>MIN($Q$12,K203+I204)</f>
        <v/>
      </c>
      <c r="K204" s="155">
        <f>ROUND(K203+I204-J204,2)</f>
        <v/>
      </c>
      <c r="L204" s="155">
        <f>ROUND(N203*$P$13,2)</f>
        <v/>
      </c>
      <c r="M204" s="155">
        <f>MIN($Q$13,N203+L204)</f>
        <v/>
      </c>
      <c r="N204" s="155">
        <f>ROUND(N203+L204-M204,2)</f>
        <v/>
      </c>
      <c r="O204" s="155">
        <f>ROUND(Q203*$P$14,2)</f>
        <v/>
      </c>
      <c r="P204" s="155">
        <f>MIN($Q$14,Q203+O204)</f>
        <v/>
      </c>
      <c r="Q204" s="155">
        <f>ROUND(Q203+O204-P204,2)</f>
        <v/>
      </c>
      <c r="R204" s="155">
        <f>ROUND(T203*$P$15,2)</f>
        <v/>
      </c>
      <c r="S204" s="155">
        <f>MIN($Q$15,T203+R204)</f>
        <v/>
      </c>
      <c r="T204" s="155">
        <f>ROUND(T203+R204-S204,2)</f>
        <v/>
      </c>
      <c r="U204" s="155">
        <f>ROUND(W203*$P$16,2)</f>
        <v/>
      </c>
      <c r="V204" s="155">
        <f>MIN($Q$16,W203+U204)</f>
        <v/>
      </c>
      <c r="W204" s="155">
        <f>ROUND(W203+U204-V204,2)</f>
        <v/>
      </c>
      <c r="X204" s="155">
        <f>ROUND(Z203*$P$17,2)</f>
        <v/>
      </c>
      <c r="Y204" s="155">
        <f>MIN($Q$17,Z203+X204)</f>
        <v/>
      </c>
      <c r="Z204" s="155">
        <f>ROUND(Z203+X204-Y204,2)</f>
        <v/>
      </c>
      <c r="AA204" s="155">
        <f>ROUND(AC203*$P$18,2)</f>
        <v/>
      </c>
      <c r="AB204" s="155">
        <f>MIN($Q$18,AC203+AA204)</f>
        <v/>
      </c>
      <c r="AC204" s="155">
        <f>ROUND(AC203+AA204-AB204,2)</f>
        <v/>
      </c>
      <c r="AD204" s="155">
        <f>ROUND(AF203*$P$19,2)</f>
        <v/>
      </c>
      <c r="AE204" s="155">
        <f>MIN($Q$19,AF203+AD204)</f>
        <v/>
      </c>
      <c r="AF204" s="155">
        <f>ROUND(AF203+AD204-AE204,2)</f>
        <v/>
      </c>
      <c r="AG204" s="155">
        <f>D204+G204+J204+M204+P204+S204+V204+Y204+AB204+AE204</f>
        <v/>
      </c>
      <c r="AH204" s="155">
        <f>C204+F204+I204+L204+O204+R204+U204+X204+AA204+AD204</f>
        <v/>
      </c>
      <c r="AI204" s="155">
        <f>E204+H204+K204+N204+Q204+T204+W204+Z204+AC204+AF204</f>
        <v/>
      </c>
    </row>
    <row r="205">
      <c r="A205" s="154" t="n">
        <v>49</v>
      </c>
      <c r="B205" s="156">
        <f>EDATE($B$5,A205-1)</f>
        <v/>
      </c>
      <c r="C205" s="155">
        <f>ROUND(E204*$P$10,2)</f>
        <v/>
      </c>
      <c r="D205" s="155">
        <f>MIN($Q$10,E204+C205)</f>
        <v/>
      </c>
      <c r="E205" s="155">
        <f>ROUND(E204+C205-D205,2)</f>
        <v/>
      </c>
      <c r="F205" s="155">
        <f>ROUND(H204*$P$11,2)</f>
        <v/>
      </c>
      <c r="G205" s="155">
        <f>MIN($Q$11,H204+F205)</f>
        <v/>
      </c>
      <c r="H205" s="155">
        <f>ROUND(H204+F205-G205,2)</f>
        <v/>
      </c>
      <c r="I205" s="155">
        <f>ROUND(K204*$P$12,2)</f>
        <v/>
      </c>
      <c r="J205" s="155">
        <f>MIN($Q$12,K204+I205)</f>
        <v/>
      </c>
      <c r="K205" s="155">
        <f>ROUND(K204+I205-J205,2)</f>
        <v/>
      </c>
      <c r="L205" s="155">
        <f>ROUND(N204*$P$13,2)</f>
        <v/>
      </c>
      <c r="M205" s="155">
        <f>MIN($Q$13,N204+L205)</f>
        <v/>
      </c>
      <c r="N205" s="155">
        <f>ROUND(N204+L205-M205,2)</f>
        <v/>
      </c>
      <c r="O205" s="155">
        <f>ROUND(Q204*$P$14,2)</f>
        <v/>
      </c>
      <c r="P205" s="155">
        <f>MIN($Q$14,Q204+O205)</f>
        <v/>
      </c>
      <c r="Q205" s="155">
        <f>ROUND(Q204+O205-P205,2)</f>
        <v/>
      </c>
      <c r="R205" s="155">
        <f>ROUND(T204*$P$15,2)</f>
        <v/>
      </c>
      <c r="S205" s="155">
        <f>MIN($Q$15,T204+R205)</f>
        <v/>
      </c>
      <c r="T205" s="155">
        <f>ROUND(T204+R205-S205,2)</f>
        <v/>
      </c>
      <c r="U205" s="155">
        <f>ROUND(W204*$P$16,2)</f>
        <v/>
      </c>
      <c r="V205" s="155">
        <f>MIN($Q$16,W204+U205)</f>
        <v/>
      </c>
      <c r="W205" s="155">
        <f>ROUND(W204+U205-V205,2)</f>
        <v/>
      </c>
      <c r="X205" s="155">
        <f>ROUND(Z204*$P$17,2)</f>
        <v/>
      </c>
      <c r="Y205" s="155">
        <f>MIN($Q$17,Z204+X205)</f>
        <v/>
      </c>
      <c r="Z205" s="155">
        <f>ROUND(Z204+X205-Y205,2)</f>
        <v/>
      </c>
      <c r="AA205" s="155">
        <f>ROUND(AC204*$P$18,2)</f>
        <v/>
      </c>
      <c r="AB205" s="155">
        <f>MIN($Q$18,AC204+AA205)</f>
        <v/>
      </c>
      <c r="AC205" s="155">
        <f>ROUND(AC204+AA205-AB205,2)</f>
        <v/>
      </c>
      <c r="AD205" s="155">
        <f>ROUND(AF204*$P$19,2)</f>
        <v/>
      </c>
      <c r="AE205" s="155">
        <f>MIN($Q$19,AF204+AD205)</f>
        <v/>
      </c>
      <c r="AF205" s="155">
        <f>ROUND(AF204+AD205-AE205,2)</f>
        <v/>
      </c>
      <c r="AG205" s="155">
        <f>D205+G205+J205+M205+P205+S205+V205+Y205+AB205+AE205</f>
        <v/>
      </c>
      <c r="AH205" s="155">
        <f>C205+F205+I205+L205+O205+R205+U205+X205+AA205+AD205</f>
        <v/>
      </c>
      <c r="AI205" s="155">
        <f>E205+H205+K205+N205+Q205+T205+W205+Z205+AC205+AF205</f>
        <v/>
      </c>
    </row>
    <row r="206">
      <c r="A206" s="154" t="n">
        <v>50</v>
      </c>
      <c r="B206" s="156">
        <f>EDATE($B$5,A206-1)</f>
        <v/>
      </c>
      <c r="C206" s="155">
        <f>ROUND(E205*$P$10,2)</f>
        <v/>
      </c>
      <c r="D206" s="155">
        <f>MIN($Q$10,E205+C206)</f>
        <v/>
      </c>
      <c r="E206" s="155">
        <f>ROUND(E205+C206-D206,2)</f>
        <v/>
      </c>
      <c r="F206" s="155">
        <f>ROUND(H205*$P$11,2)</f>
        <v/>
      </c>
      <c r="G206" s="155">
        <f>MIN($Q$11,H205+F206)</f>
        <v/>
      </c>
      <c r="H206" s="155">
        <f>ROUND(H205+F206-G206,2)</f>
        <v/>
      </c>
      <c r="I206" s="155">
        <f>ROUND(K205*$P$12,2)</f>
        <v/>
      </c>
      <c r="J206" s="155">
        <f>MIN($Q$12,K205+I206)</f>
        <v/>
      </c>
      <c r="K206" s="155">
        <f>ROUND(K205+I206-J206,2)</f>
        <v/>
      </c>
      <c r="L206" s="155">
        <f>ROUND(N205*$P$13,2)</f>
        <v/>
      </c>
      <c r="M206" s="155">
        <f>MIN($Q$13,N205+L206)</f>
        <v/>
      </c>
      <c r="N206" s="155">
        <f>ROUND(N205+L206-M206,2)</f>
        <v/>
      </c>
      <c r="O206" s="155">
        <f>ROUND(Q205*$P$14,2)</f>
        <v/>
      </c>
      <c r="P206" s="155">
        <f>MIN($Q$14,Q205+O206)</f>
        <v/>
      </c>
      <c r="Q206" s="155">
        <f>ROUND(Q205+O206-P206,2)</f>
        <v/>
      </c>
      <c r="R206" s="155">
        <f>ROUND(T205*$P$15,2)</f>
        <v/>
      </c>
      <c r="S206" s="155">
        <f>MIN($Q$15,T205+R206)</f>
        <v/>
      </c>
      <c r="T206" s="155">
        <f>ROUND(T205+R206-S206,2)</f>
        <v/>
      </c>
      <c r="U206" s="155">
        <f>ROUND(W205*$P$16,2)</f>
        <v/>
      </c>
      <c r="V206" s="155">
        <f>MIN($Q$16,W205+U206)</f>
        <v/>
      </c>
      <c r="W206" s="155">
        <f>ROUND(W205+U206-V206,2)</f>
        <v/>
      </c>
      <c r="X206" s="155">
        <f>ROUND(Z205*$P$17,2)</f>
        <v/>
      </c>
      <c r="Y206" s="155">
        <f>MIN($Q$17,Z205+X206)</f>
        <v/>
      </c>
      <c r="Z206" s="155">
        <f>ROUND(Z205+X206-Y206,2)</f>
        <v/>
      </c>
      <c r="AA206" s="155">
        <f>ROUND(AC205*$P$18,2)</f>
        <v/>
      </c>
      <c r="AB206" s="155">
        <f>MIN($Q$18,AC205+AA206)</f>
        <v/>
      </c>
      <c r="AC206" s="155">
        <f>ROUND(AC205+AA206-AB206,2)</f>
        <v/>
      </c>
      <c r="AD206" s="155">
        <f>ROUND(AF205*$P$19,2)</f>
        <v/>
      </c>
      <c r="AE206" s="155">
        <f>MIN($Q$19,AF205+AD206)</f>
        <v/>
      </c>
      <c r="AF206" s="155">
        <f>ROUND(AF205+AD206-AE206,2)</f>
        <v/>
      </c>
      <c r="AG206" s="155">
        <f>D206+G206+J206+M206+P206+S206+V206+Y206+AB206+AE206</f>
        <v/>
      </c>
      <c r="AH206" s="155">
        <f>C206+F206+I206+L206+O206+R206+U206+X206+AA206+AD206</f>
        <v/>
      </c>
      <c r="AI206" s="155">
        <f>E206+H206+K206+N206+Q206+T206+W206+Z206+AC206+AF206</f>
        <v/>
      </c>
    </row>
    <row r="207">
      <c r="A207" s="154" t="n">
        <v>51</v>
      </c>
      <c r="B207" s="156">
        <f>EDATE($B$5,A207-1)</f>
        <v/>
      </c>
      <c r="C207" s="155">
        <f>ROUND(E206*$P$10,2)</f>
        <v/>
      </c>
      <c r="D207" s="155">
        <f>MIN($Q$10,E206+C207)</f>
        <v/>
      </c>
      <c r="E207" s="155">
        <f>ROUND(E206+C207-D207,2)</f>
        <v/>
      </c>
      <c r="F207" s="155">
        <f>ROUND(H206*$P$11,2)</f>
        <v/>
      </c>
      <c r="G207" s="155">
        <f>MIN($Q$11,H206+F207)</f>
        <v/>
      </c>
      <c r="H207" s="155">
        <f>ROUND(H206+F207-G207,2)</f>
        <v/>
      </c>
      <c r="I207" s="155">
        <f>ROUND(K206*$P$12,2)</f>
        <v/>
      </c>
      <c r="J207" s="155">
        <f>MIN($Q$12,K206+I207)</f>
        <v/>
      </c>
      <c r="K207" s="155">
        <f>ROUND(K206+I207-J207,2)</f>
        <v/>
      </c>
      <c r="L207" s="155">
        <f>ROUND(N206*$P$13,2)</f>
        <v/>
      </c>
      <c r="M207" s="155">
        <f>MIN($Q$13,N206+L207)</f>
        <v/>
      </c>
      <c r="N207" s="155">
        <f>ROUND(N206+L207-M207,2)</f>
        <v/>
      </c>
      <c r="O207" s="155">
        <f>ROUND(Q206*$P$14,2)</f>
        <v/>
      </c>
      <c r="P207" s="155">
        <f>MIN($Q$14,Q206+O207)</f>
        <v/>
      </c>
      <c r="Q207" s="155">
        <f>ROUND(Q206+O207-P207,2)</f>
        <v/>
      </c>
      <c r="R207" s="155">
        <f>ROUND(T206*$P$15,2)</f>
        <v/>
      </c>
      <c r="S207" s="155">
        <f>MIN($Q$15,T206+R207)</f>
        <v/>
      </c>
      <c r="T207" s="155">
        <f>ROUND(T206+R207-S207,2)</f>
        <v/>
      </c>
      <c r="U207" s="155">
        <f>ROUND(W206*$P$16,2)</f>
        <v/>
      </c>
      <c r="V207" s="155">
        <f>MIN($Q$16,W206+U207)</f>
        <v/>
      </c>
      <c r="W207" s="155">
        <f>ROUND(W206+U207-V207,2)</f>
        <v/>
      </c>
      <c r="X207" s="155">
        <f>ROUND(Z206*$P$17,2)</f>
        <v/>
      </c>
      <c r="Y207" s="155">
        <f>MIN($Q$17,Z206+X207)</f>
        <v/>
      </c>
      <c r="Z207" s="155">
        <f>ROUND(Z206+X207-Y207,2)</f>
        <v/>
      </c>
      <c r="AA207" s="155">
        <f>ROUND(AC206*$P$18,2)</f>
        <v/>
      </c>
      <c r="AB207" s="155">
        <f>MIN($Q$18,AC206+AA207)</f>
        <v/>
      </c>
      <c r="AC207" s="155">
        <f>ROUND(AC206+AA207-AB207,2)</f>
        <v/>
      </c>
      <c r="AD207" s="155">
        <f>ROUND(AF206*$P$19,2)</f>
        <v/>
      </c>
      <c r="AE207" s="155">
        <f>MIN($Q$19,AF206+AD207)</f>
        <v/>
      </c>
      <c r="AF207" s="155">
        <f>ROUND(AF206+AD207-AE207,2)</f>
        <v/>
      </c>
      <c r="AG207" s="155">
        <f>D207+G207+J207+M207+P207+S207+V207+Y207+AB207+AE207</f>
        <v/>
      </c>
      <c r="AH207" s="155">
        <f>C207+F207+I207+L207+O207+R207+U207+X207+AA207+AD207</f>
        <v/>
      </c>
      <c r="AI207" s="155">
        <f>E207+H207+K207+N207+Q207+T207+W207+Z207+AC207+AF207</f>
        <v/>
      </c>
    </row>
    <row r="208">
      <c r="A208" s="154" t="n">
        <v>52</v>
      </c>
      <c r="B208" s="156">
        <f>EDATE($B$5,A208-1)</f>
        <v/>
      </c>
      <c r="C208" s="155">
        <f>ROUND(E207*$P$10,2)</f>
        <v/>
      </c>
      <c r="D208" s="155">
        <f>MIN($Q$10,E207+C208)</f>
        <v/>
      </c>
      <c r="E208" s="155">
        <f>ROUND(E207+C208-D208,2)</f>
        <v/>
      </c>
      <c r="F208" s="155">
        <f>ROUND(H207*$P$11,2)</f>
        <v/>
      </c>
      <c r="G208" s="155">
        <f>MIN($Q$11,H207+F208)</f>
        <v/>
      </c>
      <c r="H208" s="155">
        <f>ROUND(H207+F208-G208,2)</f>
        <v/>
      </c>
      <c r="I208" s="155">
        <f>ROUND(K207*$P$12,2)</f>
        <v/>
      </c>
      <c r="J208" s="155">
        <f>MIN($Q$12,K207+I208)</f>
        <v/>
      </c>
      <c r="K208" s="155">
        <f>ROUND(K207+I208-J208,2)</f>
        <v/>
      </c>
      <c r="L208" s="155">
        <f>ROUND(N207*$P$13,2)</f>
        <v/>
      </c>
      <c r="M208" s="155">
        <f>MIN($Q$13,N207+L208)</f>
        <v/>
      </c>
      <c r="N208" s="155">
        <f>ROUND(N207+L208-M208,2)</f>
        <v/>
      </c>
      <c r="O208" s="155">
        <f>ROUND(Q207*$P$14,2)</f>
        <v/>
      </c>
      <c r="P208" s="155">
        <f>MIN($Q$14,Q207+O208)</f>
        <v/>
      </c>
      <c r="Q208" s="155">
        <f>ROUND(Q207+O208-P208,2)</f>
        <v/>
      </c>
      <c r="R208" s="155">
        <f>ROUND(T207*$P$15,2)</f>
        <v/>
      </c>
      <c r="S208" s="155">
        <f>MIN($Q$15,T207+R208)</f>
        <v/>
      </c>
      <c r="T208" s="155">
        <f>ROUND(T207+R208-S208,2)</f>
        <v/>
      </c>
      <c r="U208" s="155">
        <f>ROUND(W207*$P$16,2)</f>
        <v/>
      </c>
      <c r="V208" s="155">
        <f>MIN($Q$16,W207+U208)</f>
        <v/>
      </c>
      <c r="W208" s="155">
        <f>ROUND(W207+U208-V208,2)</f>
        <v/>
      </c>
      <c r="X208" s="155">
        <f>ROUND(Z207*$P$17,2)</f>
        <v/>
      </c>
      <c r="Y208" s="155">
        <f>MIN($Q$17,Z207+X208)</f>
        <v/>
      </c>
      <c r="Z208" s="155">
        <f>ROUND(Z207+X208-Y208,2)</f>
        <v/>
      </c>
      <c r="AA208" s="155">
        <f>ROUND(AC207*$P$18,2)</f>
        <v/>
      </c>
      <c r="AB208" s="155">
        <f>MIN($Q$18,AC207+AA208)</f>
        <v/>
      </c>
      <c r="AC208" s="155">
        <f>ROUND(AC207+AA208-AB208,2)</f>
        <v/>
      </c>
      <c r="AD208" s="155">
        <f>ROUND(AF207*$P$19,2)</f>
        <v/>
      </c>
      <c r="AE208" s="155">
        <f>MIN($Q$19,AF207+AD208)</f>
        <v/>
      </c>
      <c r="AF208" s="155">
        <f>ROUND(AF207+AD208-AE208,2)</f>
        <v/>
      </c>
      <c r="AG208" s="155">
        <f>D208+G208+J208+M208+P208+S208+V208+Y208+AB208+AE208</f>
        <v/>
      </c>
      <c r="AH208" s="155">
        <f>C208+F208+I208+L208+O208+R208+U208+X208+AA208+AD208</f>
        <v/>
      </c>
      <c r="AI208" s="155">
        <f>E208+H208+K208+N208+Q208+T208+W208+Z208+AC208+AF208</f>
        <v/>
      </c>
    </row>
    <row r="209">
      <c r="A209" s="154" t="n">
        <v>53</v>
      </c>
      <c r="B209" s="156">
        <f>EDATE($B$5,A209-1)</f>
        <v/>
      </c>
      <c r="C209" s="155">
        <f>ROUND(E208*$P$10,2)</f>
        <v/>
      </c>
      <c r="D209" s="155">
        <f>MIN($Q$10,E208+C209)</f>
        <v/>
      </c>
      <c r="E209" s="155">
        <f>ROUND(E208+C209-D209,2)</f>
        <v/>
      </c>
      <c r="F209" s="155">
        <f>ROUND(H208*$P$11,2)</f>
        <v/>
      </c>
      <c r="G209" s="155">
        <f>MIN($Q$11,H208+F209)</f>
        <v/>
      </c>
      <c r="H209" s="155">
        <f>ROUND(H208+F209-G209,2)</f>
        <v/>
      </c>
      <c r="I209" s="155">
        <f>ROUND(K208*$P$12,2)</f>
        <v/>
      </c>
      <c r="J209" s="155">
        <f>MIN($Q$12,K208+I209)</f>
        <v/>
      </c>
      <c r="K209" s="155">
        <f>ROUND(K208+I209-J209,2)</f>
        <v/>
      </c>
      <c r="L209" s="155">
        <f>ROUND(N208*$P$13,2)</f>
        <v/>
      </c>
      <c r="M209" s="155">
        <f>MIN($Q$13,N208+L209)</f>
        <v/>
      </c>
      <c r="N209" s="155">
        <f>ROUND(N208+L209-M209,2)</f>
        <v/>
      </c>
      <c r="O209" s="155">
        <f>ROUND(Q208*$P$14,2)</f>
        <v/>
      </c>
      <c r="P209" s="155">
        <f>MIN($Q$14,Q208+O209)</f>
        <v/>
      </c>
      <c r="Q209" s="155">
        <f>ROUND(Q208+O209-P209,2)</f>
        <v/>
      </c>
      <c r="R209" s="155">
        <f>ROUND(T208*$P$15,2)</f>
        <v/>
      </c>
      <c r="S209" s="155">
        <f>MIN($Q$15,T208+R209)</f>
        <v/>
      </c>
      <c r="T209" s="155">
        <f>ROUND(T208+R209-S209,2)</f>
        <v/>
      </c>
      <c r="U209" s="155">
        <f>ROUND(W208*$P$16,2)</f>
        <v/>
      </c>
      <c r="V209" s="155">
        <f>MIN($Q$16,W208+U209)</f>
        <v/>
      </c>
      <c r="W209" s="155">
        <f>ROUND(W208+U209-V209,2)</f>
        <v/>
      </c>
      <c r="X209" s="155">
        <f>ROUND(Z208*$P$17,2)</f>
        <v/>
      </c>
      <c r="Y209" s="155">
        <f>MIN($Q$17,Z208+X209)</f>
        <v/>
      </c>
      <c r="Z209" s="155">
        <f>ROUND(Z208+X209-Y209,2)</f>
        <v/>
      </c>
      <c r="AA209" s="155">
        <f>ROUND(AC208*$P$18,2)</f>
        <v/>
      </c>
      <c r="AB209" s="155">
        <f>MIN($Q$18,AC208+AA209)</f>
        <v/>
      </c>
      <c r="AC209" s="155">
        <f>ROUND(AC208+AA209-AB209,2)</f>
        <v/>
      </c>
      <c r="AD209" s="155">
        <f>ROUND(AF208*$P$19,2)</f>
        <v/>
      </c>
      <c r="AE209" s="155">
        <f>MIN($Q$19,AF208+AD209)</f>
        <v/>
      </c>
      <c r="AF209" s="155">
        <f>ROUND(AF208+AD209-AE209,2)</f>
        <v/>
      </c>
      <c r="AG209" s="155">
        <f>D209+G209+J209+M209+P209+S209+V209+Y209+AB209+AE209</f>
        <v/>
      </c>
      <c r="AH209" s="155">
        <f>C209+F209+I209+L209+O209+R209+U209+X209+AA209+AD209</f>
        <v/>
      </c>
      <c r="AI209" s="155">
        <f>E209+H209+K209+N209+Q209+T209+W209+Z209+AC209+AF209</f>
        <v/>
      </c>
    </row>
    <row r="210">
      <c r="A210" s="154" t="n">
        <v>54</v>
      </c>
      <c r="B210" s="156">
        <f>EDATE($B$5,A210-1)</f>
        <v/>
      </c>
      <c r="C210" s="155">
        <f>ROUND(E209*$P$10,2)</f>
        <v/>
      </c>
      <c r="D210" s="155">
        <f>MIN($Q$10,E209+C210)</f>
        <v/>
      </c>
      <c r="E210" s="155">
        <f>ROUND(E209+C210-D210,2)</f>
        <v/>
      </c>
      <c r="F210" s="155">
        <f>ROUND(H209*$P$11,2)</f>
        <v/>
      </c>
      <c r="G210" s="155">
        <f>MIN($Q$11,H209+F210)</f>
        <v/>
      </c>
      <c r="H210" s="155">
        <f>ROUND(H209+F210-G210,2)</f>
        <v/>
      </c>
      <c r="I210" s="155">
        <f>ROUND(K209*$P$12,2)</f>
        <v/>
      </c>
      <c r="J210" s="155">
        <f>MIN($Q$12,K209+I210)</f>
        <v/>
      </c>
      <c r="K210" s="155">
        <f>ROUND(K209+I210-J210,2)</f>
        <v/>
      </c>
      <c r="L210" s="155">
        <f>ROUND(N209*$P$13,2)</f>
        <v/>
      </c>
      <c r="M210" s="155">
        <f>MIN($Q$13,N209+L210)</f>
        <v/>
      </c>
      <c r="N210" s="155">
        <f>ROUND(N209+L210-M210,2)</f>
        <v/>
      </c>
      <c r="O210" s="155">
        <f>ROUND(Q209*$P$14,2)</f>
        <v/>
      </c>
      <c r="P210" s="155">
        <f>MIN($Q$14,Q209+O210)</f>
        <v/>
      </c>
      <c r="Q210" s="155">
        <f>ROUND(Q209+O210-P210,2)</f>
        <v/>
      </c>
      <c r="R210" s="155">
        <f>ROUND(T209*$P$15,2)</f>
        <v/>
      </c>
      <c r="S210" s="155">
        <f>MIN($Q$15,T209+R210)</f>
        <v/>
      </c>
      <c r="T210" s="155">
        <f>ROUND(T209+R210-S210,2)</f>
        <v/>
      </c>
      <c r="U210" s="155">
        <f>ROUND(W209*$P$16,2)</f>
        <v/>
      </c>
      <c r="V210" s="155">
        <f>MIN($Q$16,W209+U210)</f>
        <v/>
      </c>
      <c r="W210" s="155">
        <f>ROUND(W209+U210-V210,2)</f>
        <v/>
      </c>
      <c r="X210" s="155">
        <f>ROUND(Z209*$P$17,2)</f>
        <v/>
      </c>
      <c r="Y210" s="155">
        <f>MIN($Q$17,Z209+X210)</f>
        <v/>
      </c>
      <c r="Z210" s="155">
        <f>ROUND(Z209+X210-Y210,2)</f>
        <v/>
      </c>
      <c r="AA210" s="155">
        <f>ROUND(AC209*$P$18,2)</f>
        <v/>
      </c>
      <c r="AB210" s="155">
        <f>MIN($Q$18,AC209+AA210)</f>
        <v/>
      </c>
      <c r="AC210" s="155">
        <f>ROUND(AC209+AA210-AB210,2)</f>
        <v/>
      </c>
      <c r="AD210" s="155">
        <f>ROUND(AF209*$P$19,2)</f>
        <v/>
      </c>
      <c r="AE210" s="155">
        <f>MIN($Q$19,AF209+AD210)</f>
        <v/>
      </c>
      <c r="AF210" s="155">
        <f>ROUND(AF209+AD210-AE210,2)</f>
        <v/>
      </c>
      <c r="AG210" s="155">
        <f>D210+G210+J210+M210+P210+S210+V210+Y210+AB210+AE210</f>
        <v/>
      </c>
      <c r="AH210" s="155">
        <f>C210+F210+I210+L210+O210+R210+U210+X210+AA210+AD210</f>
        <v/>
      </c>
      <c r="AI210" s="155">
        <f>E210+H210+K210+N210+Q210+T210+W210+Z210+AC210+AF210</f>
        <v/>
      </c>
    </row>
    <row r="211">
      <c r="A211" s="154" t="n">
        <v>55</v>
      </c>
      <c r="B211" s="156">
        <f>EDATE($B$5,A211-1)</f>
        <v/>
      </c>
      <c r="C211" s="155">
        <f>ROUND(E210*$P$10,2)</f>
        <v/>
      </c>
      <c r="D211" s="155">
        <f>MIN($Q$10,E210+C211)</f>
        <v/>
      </c>
      <c r="E211" s="155">
        <f>ROUND(E210+C211-D211,2)</f>
        <v/>
      </c>
      <c r="F211" s="155">
        <f>ROUND(H210*$P$11,2)</f>
        <v/>
      </c>
      <c r="G211" s="155">
        <f>MIN($Q$11,H210+F211)</f>
        <v/>
      </c>
      <c r="H211" s="155">
        <f>ROUND(H210+F211-G211,2)</f>
        <v/>
      </c>
      <c r="I211" s="155">
        <f>ROUND(K210*$P$12,2)</f>
        <v/>
      </c>
      <c r="J211" s="155">
        <f>MIN($Q$12,K210+I211)</f>
        <v/>
      </c>
      <c r="K211" s="155">
        <f>ROUND(K210+I211-J211,2)</f>
        <v/>
      </c>
      <c r="L211" s="155">
        <f>ROUND(N210*$P$13,2)</f>
        <v/>
      </c>
      <c r="M211" s="155">
        <f>MIN($Q$13,N210+L211)</f>
        <v/>
      </c>
      <c r="N211" s="155">
        <f>ROUND(N210+L211-M211,2)</f>
        <v/>
      </c>
      <c r="O211" s="155">
        <f>ROUND(Q210*$P$14,2)</f>
        <v/>
      </c>
      <c r="P211" s="155">
        <f>MIN($Q$14,Q210+O211)</f>
        <v/>
      </c>
      <c r="Q211" s="155">
        <f>ROUND(Q210+O211-P211,2)</f>
        <v/>
      </c>
      <c r="R211" s="155">
        <f>ROUND(T210*$P$15,2)</f>
        <v/>
      </c>
      <c r="S211" s="155">
        <f>MIN($Q$15,T210+R211)</f>
        <v/>
      </c>
      <c r="T211" s="155">
        <f>ROUND(T210+R211-S211,2)</f>
        <v/>
      </c>
      <c r="U211" s="155">
        <f>ROUND(W210*$P$16,2)</f>
        <v/>
      </c>
      <c r="V211" s="155">
        <f>MIN($Q$16,W210+U211)</f>
        <v/>
      </c>
      <c r="W211" s="155">
        <f>ROUND(W210+U211-V211,2)</f>
        <v/>
      </c>
      <c r="X211" s="155">
        <f>ROUND(Z210*$P$17,2)</f>
        <v/>
      </c>
      <c r="Y211" s="155">
        <f>MIN($Q$17,Z210+X211)</f>
        <v/>
      </c>
      <c r="Z211" s="155">
        <f>ROUND(Z210+X211-Y211,2)</f>
        <v/>
      </c>
      <c r="AA211" s="155">
        <f>ROUND(AC210*$P$18,2)</f>
        <v/>
      </c>
      <c r="AB211" s="155">
        <f>MIN($Q$18,AC210+AA211)</f>
        <v/>
      </c>
      <c r="AC211" s="155">
        <f>ROUND(AC210+AA211-AB211,2)</f>
        <v/>
      </c>
      <c r="AD211" s="155">
        <f>ROUND(AF210*$P$19,2)</f>
        <v/>
      </c>
      <c r="AE211" s="155">
        <f>MIN($Q$19,AF210+AD211)</f>
        <v/>
      </c>
      <c r="AF211" s="155">
        <f>ROUND(AF210+AD211-AE211,2)</f>
        <v/>
      </c>
      <c r="AG211" s="155">
        <f>D211+G211+J211+M211+P211+S211+V211+Y211+AB211+AE211</f>
        <v/>
      </c>
      <c r="AH211" s="155">
        <f>C211+F211+I211+L211+O211+R211+U211+X211+AA211+AD211</f>
        <v/>
      </c>
      <c r="AI211" s="155">
        <f>E211+H211+K211+N211+Q211+T211+W211+Z211+AC211+AF211</f>
        <v/>
      </c>
    </row>
    <row r="212">
      <c r="A212" s="154" t="n">
        <v>56</v>
      </c>
      <c r="B212" s="156">
        <f>EDATE($B$5,A212-1)</f>
        <v/>
      </c>
      <c r="C212" s="155">
        <f>ROUND(E211*$P$10,2)</f>
        <v/>
      </c>
      <c r="D212" s="155">
        <f>MIN($Q$10,E211+C212)</f>
        <v/>
      </c>
      <c r="E212" s="155">
        <f>ROUND(E211+C212-D212,2)</f>
        <v/>
      </c>
      <c r="F212" s="155">
        <f>ROUND(H211*$P$11,2)</f>
        <v/>
      </c>
      <c r="G212" s="155">
        <f>MIN($Q$11,H211+F212)</f>
        <v/>
      </c>
      <c r="H212" s="155">
        <f>ROUND(H211+F212-G212,2)</f>
        <v/>
      </c>
      <c r="I212" s="155">
        <f>ROUND(K211*$P$12,2)</f>
        <v/>
      </c>
      <c r="J212" s="155">
        <f>MIN($Q$12,K211+I212)</f>
        <v/>
      </c>
      <c r="K212" s="155">
        <f>ROUND(K211+I212-J212,2)</f>
        <v/>
      </c>
      <c r="L212" s="155">
        <f>ROUND(N211*$P$13,2)</f>
        <v/>
      </c>
      <c r="M212" s="155">
        <f>MIN($Q$13,N211+L212)</f>
        <v/>
      </c>
      <c r="N212" s="155">
        <f>ROUND(N211+L212-M212,2)</f>
        <v/>
      </c>
      <c r="O212" s="155">
        <f>ROUND(Q211*$P$14,2)</f>
        <v/>
      </c>
      <c r="P212" s="155">
        <f>MIN($Q$14,Q211+O212)</f>
        <v/>
      </c>
      <c r="Q212" s="155">
        <f>ROUND(Q211+O212-P212,2)</f>
        <v/>
      </c>
      <c r="R212" s="155">
        <f>ROUND(T211*$P$15,2)</f>
        <v/>
      </c>
      <c r="S212" s="155">
        <f>MIN($Q$15,T211+R212)</f>
        <v/>
      </c>
      <c r="T212" s="155">
        <f>ROUND(T211+R212-S212,2)</f>
        <v/>
      </c>
      <c r="U212" s="155">
        <f>ROUND(W211*$P$16,2)</f>
        <v/>
      </c>
      <c r="V212" s="155">
        <f>MIN($Q$16,W211+U212)</f>
        <v/>
      </c>
      <c r="W212" s="155">
        <f>ROUND(W211+U212-V212,2)</f>
        <v/>
      </c>
      <c r="X212" s="155">
        <f>ROUND(Z211*$P$17,2)</f>
        <v/>
      </c>
      <c r="Y212" s="155">
        <f>MIN($Q$17,Z211+X212)</f>
        <v/>
      </c>
      <c r="Z212" s="155">
        <f>ROUND(Z211+X212-Y212,2)</f>
        <v/>
      </c>
      <c r="AA212" s="155">
        <f>ROUND(AC211*$P$18,2)</f>
        <v/>
      </c>
      <c r="AB212" s="155">
        <f>MIN($Q$18,AC211+AA212)</f>
        <v/>
      </c>
      <c r="AC212" s="155">
        <f>ROUND(AC211+AA212-AB212,2)</f>
        <v/>
      </c>
      <c r="AD212" s="155">
        <f>ROUND(AF211*$P$19,2)</f>
        <v/>
      </c>
      <c r="AE212" s="155">
        <f>MIN($Q$19,AF211+AD212)</f>
        <v/>
      </c>
      <c r="AF212" s="155">
        <f>ROUND(AF211+AD212-AE212,2)</f>
        <v/>
      </c>
      <c r="AG212" s="155">
        <f>D212+G212+J212+M212+P212+S212+V212+Y212+AB212+AE212</f>
        <v/>
      </c>
      <c r="AH212" s="155">
        <f>C212+F212+I212+L212+O212+R212+U212+X212+AA212+AD212</f>
        <v/>
      </c>
      <c r="AI212" s="155">
        <f>E212+H212+K212+N212+Q212+T212+W212+Z212+AC212+AF212</f>
        <v/>
      </c>
    </row>
    <row r="213">
      <c r="A213" s="154" t="n">
        <v>57</v>
      </c>
      <c r="B213" s="156">
        <f>EDATE($B$5,A213-1)</f>
        <v/>
      </c>
      <c r="C213" s="155">
        <f>ROUND(E212*$P$10,2)</f>
        <v/>
      </c>
      <c r="D213" s="155">
        <f>MIN($Q$10,E212+C213)</f>
        <v/>
      </c>
      <c r="E213" s="155">
        <f>ROUND(E212+C213-D213,2)</f>
        <v/>
      </c>
      <c r="F213" s="155">
        <f>ROUND(H212*$P$11,2)</f>
        <v/>
      </c>
      <c r="G213" s="155">
        <f>MIN($Q$11,H212+F213)</f>
        <v/>
      </c>
      <c r="H213" s="155">
        <f>ROUND(H212+F213-G213,2)</f>
        <v/>
      </c>
      <c r="I213" s="155">
        <f>ROUND(K212*$P$12,2)</f>
        <v/>
      </c>
      <c r="J213" s="155">
        <f>MIN($Q$12,K212+I213)</f>
        <v/>
      </c>
      <c r="K213" s="155">
        <f>ROUND(K212+I213-J213,2)</f>
        <v/>
      </c>
      <c r="L213" s="155">
        <f>ROUND(N212*$P$13,2)</f>
        <v/>
      </c>
      <c r="M213" s="155">
        <f>MIN($Q$13,N212+L213)</f>
        <v/>
      </c>
      <c r="N213" s="155">
        <f>ROUND(N212+L213-M213,2)</f>
        <v/>
      </c>
      <c r="O213" s="155">
        <f>ROUND(Q212*$P$14,2)</f>
        <v/>
      </c>
      <c r="P213" s="155">
        <f>MIN($Q$14,Q212+O213)</f>
        <v/>
      </c>
      <c r="Q213" s="155">
        <f>ROUND(Q212+O213-P213,2)</f>
        <v/>
      </c>
      <c r="R213" s="155">
        <f>ROUND(T212*$P$15,2)</f>
        <v/>
      </c>
      <c r="S213" s="155">
        <f>MIN($Q$15,T212+R213)</f>
        <v/>
      </c>
      <c r="T213" s="155">
        <f>ROUND(T212+R213-S213,2)</f>
        <v/>
      </c>
      <c r="U213" s="155">
        <f>ROUND(W212*$P$16,2)</f>
        <v/>
      </c>
      <c r="V213" s="155">
        <f>MIN($Q$16,W212+U213)</f>
        <v/>
      </c>
      <c r="W213" s="155">
        <f>ROUND(W212+U213-V213,2)</f>
        <v/>
      </c>
      <c r="X213" s="155">
        <f>ROUND(Z212*$P$17,2)</f>
        <v/>
      </c>
      <c r="Y213" s="155">
        <f>MIN($Q$17,Z212+X213)</f>
        <v/>
      </c>
      <c r="Z213" s="155">
        <f>ROUND(Z212+X213-Y213,2)</f>
        <v/>
      </c>
      <c r="AA213" s="155">
        <f>ROUND(AC212*$P$18,2)</f>
        <v/>
      </c>
      <c r="AB213" s="155">
        <f>MIN($Q$18,AC212+AA213)</f>
        <v/>
      </c>
      <c r="AC213" s="155">
        <f>ROUND(AC212+AA213-AB213,2)</f>
        <v/>
      </c>
      <c r="AD213" s="155">
        <f>ROUND(AF212*$P$19,2)</f>
        <v/>
      </c>
      <c r="AE213" s="155">
        <f>MIN($Q$19,AF212+AD213)</f>
        <v/>
      </c>
      <c r="AF213" s="155">
        <f>ROUND(AF212+AD213-AE213,2)</f>
        <v/>
      </c>
      <c r="AG213" s="155">
        <f>D213+G213+J213+M213+P213+S213+V213+Y213+AB213+AE213</f>
        <v/>
      </c>
      <c r="AH213" s="155">
        <f>C213+F213+I213+L213+O213+R213+U213+X213+AA213+AD213</f>
        <v/>
      </c>
      <c r="AI213" s="155">
        <f>E213+H213+K213+N213+Q213+T213+W213+Z213+AC213+AF213</f>
        <v/>
      </c>
    </row>
    <row r="214">
      <c r="A214" s="154" t="n">
        <v>58</v>
      </c>
      <c r="B214" s="156">
        <f>EDATE($B$5,A214-1)</f>
        <v/>
      </c>
      <c r="C214" s="155">
        <f>ROUND(E213*$P$10,2)</f>
        <v/>
      </c>
      <c r="D214" s="155">
        <f>MIN($Q$10,E213+C214)</f>
        <v/>
      </c>
      <c r="E214" s="155">
        <f>ROUND(E213+C214-D214,2)</f>
        <v/>
      </c>
      <c r="F214" s="155">
        <f>ROUND(H213*$P$11,2)</f>
        <v/>
      </c>
      <c r="G214" s="155">
        <f>MIN($Q$11,H213+F214)</f>
        <v/>
      </c>
      <c r="H214" s="155">
        <f>ROUND(H213+F214-G214,2)</f>
        <v/>
      </c>
      <c r="I214" s="155">
        <f>ROUND(K213*$P$12,2)</f>
        <v/>
      </c>
      <c r="J214" s="155">
        <f>MIN($Q$12,K213+I214)</f>
        <v/>
      </c>
      <c r="K214" s="155">
        <f>ROUND(K213+I214-J214,2)</f>
        <v/>
      </c>
      <c r="L214" s="155">
        <f>ROUND(N213*$P$13,2)</f>
        <v/>
      </c>
      <c r="M214" s="155">
        <f>MIN($Q$13,N213+L214)</f>
        <v/>
      </c>
      <c r="N214" s="155">
        <f>ROUND(N213+L214-M214,2)</f>
        <v/>
      </c>
      <c r="O214" s="155">
        <f>ROUND(Q213*$P$14,2)</f>
        <v/>
      </c>
      <c r="P214" s="155">
        <f>MIN($Q$14,Q213+O214)</f>
        <v/>
      </c>
      <c r="Q214" s="155">
        <f>ROUND(Q213+O214-P214,2)</f>
        <v/>
      </c>
      <c r="R214" s="155">
        <f>ROUND(T213*$P$15,2)</f>
        <v/>
      </c>
      <c r="S214" s="155">
        <f>MIN($Q$15,T213+R214)</f>
        <v/>
      </c>
      <c r="T214" s="155">
        <f>ROUND(T213+R214-S214,2)</f>
        <v/>
      </c>
      <c r="U214" s="155">
        <f>ROUND(W213*$P$16,2)</f>
        <v/>
      </c>
      <c r="V214" s="155">
        <f>MIN($Q$16,W213+U214)</f>
        <v/>
      </c>
      <c r="W214" s="155">
        <f>ROUND(W213+U214-V214,2)</f>
        <v/>
      </c>
      <c r="X214" s="155">
        <f>ROUND(Z213*$P$17,2)</f>
        <v/>
      </c>
      <c r="Y214" s="155">
        <f>MIN($Q$17,Z213+X214)</f>
        <v/>
      </c>
      <c r="Z214" s="155">
        <f>ROUND(Z213+X214-Y214,2)</f>
        <v/>
      </c>
      <c r="AA214" s="155">
        <f>ROUND(AC213*$P$18,2)</f>
        <v/>
      </c>
      <c r="AB214" s="155">
        <f>MIN($Q$18,AC213+AA214)</f>
        <v/>
      </c>
      <c r="AC214" s="155">
        <f>ROUND(AC213+AA214-AB214,2)</f>
        <v/>
      </c>
      <c r="AD214" s="155">
        <f>ROUND(AF213*$P$19,2)</f>
        <v/>
      </c>
      <c r="AE214" s="155">
        <f>MIN($Q$19,AF213+AD214)</f>
        <v/>
      </c>
      <c r="AF214" s="155">
        <f>ROUND(AF213+AD214-AE214,2)</f>
        <v/>
      </c>
      <c r="AG214" s="155">
        <f>D214+G214+J214+M214+P214+S214+V214+Y214+AB214+AE214</f>
        <v/>
      </c>
      <c r="AH214" s="155">
        <f>C214+F214+I214+L214+O214+R214+U214+X214+AA214+AD214</f>
        <v/>
      </c>
      <c r="AI214" s="155">
        <f>E214+H214+K214+N214+Q214+T214+W214+Z214+AC214+AF214</f>
        <v/>
      </c>
    </row>
    <row r="215">
      <c r="A215" s="154" t="n">
        <v>59</v>
      </c>
      <c r="B215" s="156">
        <f>EDATE($B$5,A215-1)</f>
        <v/>
      </c>
      <c r="C215" s="155">
        <f>ROUND(E214*$P$10,2)</f>
        <v/>
      </c>
      <c r="D215" s="155">
        <f>MIN($Q$10,E214+C215)</f>
        <v/>
      </c>
      <c r="E215" s="155">
        <f>ROUND(E214+C215-D215,2)</f>
        <v/>
      </c>
      <c r="F215" s="155">
        <f>ROUND(H214*$P$11,2)</f>
        <v/>
      </c>
      <c r="G215" s="155">
        <f>MIN($Q$11,H214+F215)</f>
        <v/>
      </c>
      <c r="H215" s="155">
        <f>ROUND(H214+F215-G215,2)</f>
        <v/>
      </c>
      <c r="I215" s="155">
        <f>ROUND(K214*$P$12,2)</f>
        <v/>
      </c>
      <c r="J215" s="155">
        <f>MIN($Q$12,K214+I215)</f>
        <v/>
      </c>
      <c r="K215" s="155">
        <f>ROUND(K214+I215-J215,2)</f>
        <v/>
      </c>
      <c r="L215" s="155">
        <f>ROUND(N214*$P$13,2)</f>
        <v/>
      </c>
      <c r="M215" s="155">
        <f>MIN($Q$13,N214+L215)</f>
        <v/>
      </c>
      <c r="N215" s="155">
        <f>ROUND(N214+L215-M215,2)</f>
        <v/>
      </c>
      <c r="O215" s="155">
        <f>ROUND(Q214*$P$14,2)</f>
        <v/>
      </c>
      <c r="P215" s="155">
        <f>MIN($Q$14,Q214+O215)</f>
        <v/>
      </c>
      <c r="Q215" s="155">
        <f>ROUND(Q214+O215-P215,2)</f>
        <v/>
      </c>
      <c r="R215" s="155">
        <f>ROUND(T214*$P$15,2)</f>
        <v/>
      </c>
      <c r="S215" s="155">
        <f>MIN($Q$15,T214+R215)</f>
        <v/>
      </c>
      <c r="T215" s="155">
        <f>ROUND(T214+R215-S215,2)</f>
        <v/>
      </c>
      <c r="U215" s="155">
        <f>ROUND(W214*$P$16,2)</f>
        <v/>
      </c>
      <c r="V215" s="155">
        <f>MIN($Q$16,W214+U215)</f>
        <v/>
      </c>
      <c r="W215" s="155">
        <f>ROUND(W214+U215-V215,2)</f>
        <v/>
      </c>
      <c r="X215" s="155">
        <f>ROUND(Z214*$P$17,2)</f>
        <v/>
      </c>
      <c r="Y215" s="155">
        <f>MIN($Q$17,Z214+X215)</f>
        <v/>
      </c>
      <c r="Z215" s="155">
        <f>ROUND(Z214+X215-Y215,2)</f>
        <v/>
      </c>
      <c r="AA215" s="155">
        <f>ROUND(AC214*$P$18,2)</f>
        <v/>
      </c>
      <c r="AB215" s="155">
        <f>MIN($Q$18,AC214+AA215)</f>
        <v/>
      </c>
      <c r="AC215" s="155">
        <f>ROUND(AC214+AA215-AB215,2)</f>
        <v/>
      </c>
      <c r="AD215" s="155">
        <f>ROUND(AF214*$P$19,2)</f>
        <v/>
      </c>
      <c r="AE215" s="155">
        <f>MIN($Q$19,AF214+AD215)</f>
        <v/>
      </c>
      <c r="AF215" s="155">
        <f>ROUND(AF214+AD215-AE215,2)</f>
        <v/>
      </c>
      <c r="AG215" s="155">
        <f>D215+G215+J215+M215+P215+S215+V215+Y215+AB215+AE215</f>
        <v/>
      </c>
      <c r="AH215" s="155">
        <f>C215+F215+I215+L215+O215+R215+U215+X215+AA215+AD215</f>
        <v/>
      </c>
      <c r="AI215" s="155">
        <f>E215+H215+K215+N215+Q215+T215+W215+Z215+AC215+AF215</f>
        <v/>
      </c>
    </row>
    <row r="216">
      <c r="A216" s="154" t="n">
        <v>60</v>
      </c>
      <c r="B216" s="156">
        <f>EDATE($B$5,A216-1)</f>
        <v/>
      </c>
      <c r="C216" s="155">
        <f>ROUND(E215*$P$10,2)</f>
        <v/>
      </c>
      <c r="D216" s="155">
        <f>MIN($Q$10,E215+C216)</f>
        <v/>
      </c>
      <c r="E216" s="155">
        <f>ROUND(E215+C216-D216,2)</f>
        <v/>
      </c>
      <c r="F216" s="155">
        <f>ROUND(H215*$P$11,2)</f>
        <v/>
      </c>
      <c r="G216" s="155">
        <f>MIN($Q$11,H215+F216)</f>
        <v/>
      </c>
      <c r="H216" s="155">
        <f>ROUND(H215+F216-G216,2)</f>
        <v/>
      </c>
      <c r="I216" s="155">
        <f>ROUND(K215*$P$12,2)</f>
        <v/>
      </c>
      <c r="J216" s="155">
        <f>MIN($Q$12,K215+I216)</f>
        <v/>
      </c>
      <c r="K216" s="155">
        <f>ROUND(K215+I216-J216,2)</f>
        <v/>
      </c>
      <c r="L216" s="155">
        <f>ROUND(N215*$P$13,2)</f>
        <v/>
      </c>
      <c r="M216" s="155">
        <f>MIN($Q$13,N215+L216)</f>
        <v/>
      </c>
      <c r="N216" s="155">
        <f>ROUND(N215+L216-M216,2)</f>
        <v/>
      </c>
      <c r="O216" s="155">
        <f>ROUND(Q215*$P$14,2)</f>
        <v/>
      </c>
      <c r="P216" s="155">
        <f>MIN($Q$14,Q215+O216)</f>
        <v/>
      </c>
      <c r="Q216" s="155">
        <f>ROUND(Q215+O216-P216,2)</f>
        <v/>
      </c>
      <c r="R216" s="155">
        <f>ROUND(T215*$P$15,2)</f>
        <v/>
      </c>
      <c r="S216" s="155">
        <f>MIN($Q$15,T215+R216)</f>
        <v/>
      </c>
      <c r="T216" s="155">
        <f>ROUND(T215+R216-S216,2)</f>
        <v/>
      </c>
      <c r="U216" s="155">
        <f>ROUND(W215*$P$16,2)</f>
        <v/>
      </c>
      <c r="V216" s="155">
        <f>MIN($Q$16,W215+U216)</f>
        <v/>
      </c>
      <c r="W216" s="155">
        <f>ROUND(W215+U216-V216,2)</f>
        <v/>
      </c>
      <c r="X216" s="155">
        <f>ROUND(Z215*$P$17,2)</f>
        <v/>
      </c>
      <c r="Y216" s="155">
        <f>MIN($Q$17,Z215+X216)</f>
        <v/>
      </c>
      <c r="Z216" s="155">
        <f>ROUND(Z215+X216-Y216,2)</f>
        <v/>
      </c>
      <c r="AA216" s="155">
        <f>ROUND(AC215*$P$18,2)</f>
        <v/>
      </c>
      <c r="AB216" s="155">
        <f>MIN($Q$18,AC215+AA216)</f>
        <v/>
      </c>
      <c r="AC216" s="155">
        <f>ROUND(AC215+AA216-AB216,2)</f>
        <v/>
      </c>
      <c r="AD216" s="155">
        <f>ROUND(AF215*$P$19,2)</f>
        <v/>
      </c>
      <c r="AE216" s="155">
        <f>MIN($Q$19,AF215+AD216)</f>
        <v/>
      </c>
      <c r="AF216" s="155">
        <f>ROUND(AF215+AD216-AE216,2)</f>
        <v/>
      </c>
      <c r="AG216" s="155">
        <f>D216+G216+J216+M216+P216+S216+V216+Y216+AB216+AE216</f>
        <v/>
      </c>
      <c r="AH216" s="155">
        <f>C216+F216+I216+L216+O216+R216+U216+X216+AA216+AD216</f>
        <v/>
      </c>
      <c r="AI216" s="155">
        <f>E216+H216+K216+N216+Q216+T216+W216+Z216+AC216+AF216</f>
        <v/>
      </c>
    </row>
  </sheetData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Theros</dc:creator>
  <dc:title xmlns:dc="http://purl.org/dc/elements/1.1/">Planilha de controle financeiro pessoal — Theros</dc:title>
  <dc:description xmlns:dc="http://purl.org/dc/elements/1.1/">Planilha gratuita de controle financeiro pessoal (v2): painel, lançamentos, contas, cartões, orçamento, fluxo de caixa, metas, dívidas, investimentos e simuladores.</dc:description>
  <dcterms:created xmlns:dcterms="http://purl.org/dc/terms/" xmlns:xsi="http://www.w3.org/2001/XMLSchema-instance" xsi:type="dcterms:W3CDTF">2026-10-05T12:00:00Z</dcterms:created>
  <dcterms:modified xmlns:dcterms="http://purl.org/dc/terms/" xmlns:xsi="http://www.w3.org/2001/XMLSchema-instance" xsi:type="dcterms:W3CDTF">2026-10-06T01:47:00Z</dcterms:modified>
</cp:coreProperties>
</file>